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Inga\Desktop\2025-12-29\2026-01-22\"/>
    </mc:Choice>
  </mc:AlternateContent>
  <xr:revisionPtr revIDLastSave="0" documentId="8_{3A31FEF9-05E1-4652-806A-B3B1E55E903F}" xr6:coauthVersionLast="47" xr6:coauthVersionMax="47" xr10:uidLastSave="{00000000-0000-0000-0000-000000000000}"/>
  <bookViews>
    <workbookView xWindow="-108" yWindow="-108" windowWidth="41496" windowHeight="16896" tabRatio="896" xr2:uid="{00000000-000D-0000-FFFF-FFFF00000000}"/>
  </bookViews>
  <sheets>
    <sheet name="I skyrius " sheetId="30" r:id="rId1"/>
    <sheet name="II skyrius" sheetId="31" r:id="rId2"/>
    <sheet name="III skyrius. 2023-2030  m. " sheetId="61" r:id="rId3"/>
    <sheet name="IV skyrius" sheetId="58" r:id="rId4"/>
    <sheet name="V skyrius. Programos" sheetId="34" r:id="rId5"/>
    <sheet name="1 programa " sheetId="56" r:id="rId6"/>
    <sheet name="2 programa " sheetId="45" r:id="rId7"/>
    <sheet name="+3 programa" sheetId="46" r:id="rId8"/>
    <sheet name="ĮV-E-123 stebėsenos rodikliai" sheetId="55" r:id="rId9"/>
    <sheet name="4 programa" sheetId="47" r:id="rId10"/>
    <sheet name="+5 programa" sheetId="48" r:id="rId11"/>
    <sheet name="6 programa" sheetId="49" r:id="rId12"/>
    <sheet name="7 programa" sheetId="50" r:id="rId13"/>
    <sheet name="8 programa" sheetId="51" r:id="rId14"/>
    <sheet name="+9 programa" sheetId="52" r:id="rId15"/>
    <sheet name="10 programa" sheetId="54" r:id="rId16"/>
    <sheet name="VI skyrius VŠĮ+UAB rodikliai" sheetId="40" r:id="rId17"/>
    <sheet name="VšĮ Visagino ligoninė rodikl" sheetId="63" r:id="rId18"/>
    <sheet name="VII skyrius. Kita svarbi info" sheetId="42" r:id="rId19"/>
    <sheet name="Suvestinė pagal FŠ" sheetId="60" state="hidden" r:id="rId20"/>
    <sheet name="Vertinimo kriterijai" sheetId="27" state="hidden" r:id="rId21"/>
    <sheet name="Lapas3" sheetId="29" state="hidden" r:id="rId22"/>
  </sheets>
  <externalReferences>
    <externalReference r:id="rId23"/>
  </externalReferences>
  <definedNames>
    <definedName name="_xlnm._FilterDatabase" localSheetId="16" hidden="1">'VI skyrius VŠĮ+UAB rodikliai'!$A$6:$K$8</definedName>
    <definedName name="_Hlk122275804" localSheetId="1">'II skyrius'!$U$126</definedName>
    <definedName name="_Hlk219881047" localSheetId="16">'VI skyrius VŠĮ+UAB rodikliai'!$C$195</definedName>
    <definedName name="_Hlk89418331" localSheetId="16">'VI skyrius VŠĮ+UAB rodikliai'!#REF!</definedName>
    <definedName name="_Hlk92374825" localSheetId="16">'VI skyrius VŠĮ+UAB rodikliai'!#REF!</definedName>
    <definedName name="_Hlk92374960" localSheetId="16">'VI skyrius VŠĮ+UAB rodikliai'!$C$22</definedName>
    <definedName name="_Hlk92375563" localSheetId="16">'VI skyrius VŠĮ+UAB rodikliai'!$C$35</definedName>
    <definedName name="_Hlk92375700" localSheetId="16">'VI skyrius VŠĮ+UAB rodikliai'!$C$69</definedName>
    <definedName name="_Hlk92375786" localSheetId="16">'VI skyrius VŠĮ+UAB rodikliai'!#REF!</definedName>
    <definedName name="_Hlk92376639" localSheetId="16">'VI skyrius VŠĮ+UAB rodikliai'!$C$47</definedName>
    <definedName name="_Toc123901348" localSheetId="18">'VII skyrius. Kita svarbi info'!#REF!</definedName>
    <definedName name="_Toc123901357" localSheetId="18">'VII skyrius. Kita svarbi info'!#REF!</definedName>
    <definedName name="_Toc123901359" localSheetId="16">'VI skyrius VŠĮ+UAB rodikliai'!$C$162</definedName>
    <definedName name="_Toc506024955" localSheetId="20">'Vertinimo kriterijai'!$A$1</definedName>
    <definedName name="Excel_BuiltIn__FilterDatabase_2">#REF!</definedName>
    <definedName name="_xlnm.Print_Area" localSheetId="10">'+5 programa'!$A$1:$AE$116</definedName>
    <definedName name="_xlnm.Print_Area" localSheetId="5">'1 programa '!$A$1:$AB$246</definedName>
    <definedName name="_xlnm.Print_Area" localSheetId="15">'10 programa'!$A$1:$AB$299</definedName>
    <definedName name="_xlnm.Print_Area" localSheetId="12">'7 programa'!$A$1:$AC$179</definedName>
    <definedName name="_xlnm.Print_Area" localSheetId="0">'I skyrius '!$B$1:$L$23</definedName>
    <definedName name="_xlnm.Print_Area" localSheetId="1">'II skyrius'!$B$2:$P$87</definedName>
    <definedName name="_xlnm.Print_Area" localSheetId="3">'IV skyrius'!$A$1:$P$56</definedName>
    <definedName name="_xlnm.Print_Area" localSheetId="4">'V skyrius. Programos'!$E$2:$AH$42</definedName>
    <definedName name="_xlnm.Print_Area" localSheetId="18">'VII skyrius. Kita svarbi info'!$A$1:$H$34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G23" i="60" l="1"/>
  <c r="M399" i="56"/>
  <c r="N399" i="56"/>
  <c r="O399" i="56"/>
  <c r="P399" i="56"/>
  <c r="Q399" i="56"/>
  <c r="L27" i="54"/>
  <c r="L24" i="54" s="1"/>
  <c r="P27" i="54"/>
  <c r="P24" i="54" s="1"/>
  <c r="P321" i="54" s="1"/>
  <c r="P310" i="54" s="1"/>
  <c r="Q27" i="54"/>
  <c r="Q24" i="54" s="1"/>
  <c r="O27" i="54"/>
  <c r="O24" i="54" s="1"/>
  <c r="M65" i="54"/>
  <c r="N65" i="54"/>
  <c r="O65" i="54"/>
  <c r="O47" i="54" s="1"/>
  <c r="P65" i="54"/>
  <c r="Q65" i="54"/>
  <c r="L65" i="54"/>
  <c r="L47" i="54" s="1"/>
  <c r="M279" i="54"/>
  <c r="N279" i="54"/>
  <c r="O279" i="54"/>
  <c r="P279" i="54"/>
  <c r="Q279" i="54"/>
  <c r="L279" i="54"/>
  <c r="M256" i="54"/>
  <c r="N256" i="54"/>
  <c r="O256" i="54"/>
  <c r="P256" i="54"/>
  <c r="Q256" i="54"/>
  <c r="L256" i="54"/>
  <c r="M221" i="54"/>
  <c r="N221" i="54"/>
  <c r="O221" i="54"/>
  <c r="P221" i="54"/>
  <c r="Q221" i="54"/>
  <c r="L221" i="54"/>
  <c r="M174" i="54"/>
  <c r="N174" i="54"/>
  <c r="O174" i="54"/>
  <c r="P174" i="54"/>
  <c r="Q174" i="54"/>
  <c r="L174" i="54"/>
  <c r="M132" i="54"/>
  <c r="N132" i="54"/>
  <c r="O132" i="54"/>
  <c r="P132" i="54"/>
  <c r="Q132" i="54"/>
  <c r="L132" i="54"/>
  <c r="M97" i="54"/>
  <c r="N97" i="54"/>
  <c r="O97" i="54"/>
  <c r="P97" i="54"/>
  <c r="Q97" i="54"/>
  <c r="L97" i="54"/>
  <c r="M47" i="54"/>
  <c r="N47" i="54"/>
  <c r="P47" i="54"/>
  <c r="Q47" i="54"/>
  <c r="M24" i="54"/>
  <c r="N200" i="52"/>
  <c r="M134" i="52"/>
  <c r="M90" i="52" s="1"/>
  <c r="N134" i="52"/>
  <c r="N90" i="52" s="1"/>
  <c r="L134" i="52"/>
  <c r="L90" i="52" s="1"/>
  <c r="J90" i="52"/>
  <c r="K90" i="52"/>
  <c r="J167" i="52"/>
  <c r="K167" i="52"/>
  <c r="L167" i="52"/>
  <c r="M167" i="52"/>
  <c r="N167" i="52"/>
  <c r="I167" i="52"/>
  <c r="I90" i="52"/>
  <c r="J78" i="52"/>
  <c r="K78" i="52"/>
  <c r="L78" i="52"/>
  <c r="M78" i="52"/>
  <c r="N78" i="52"/>
  <c r="I78" i="52"/>
  <c r="J59" i="52"/>
  <c r="K59" i="52"/>
  <c r="L59" i="52"/>
  <c r="M59" i="52"/>
  <c r="N59" i="52"/>
  <c r="I59" i="52"/>
  <c r="J52" i="52"/>
  <c r="K52" i="52"/>
  <c r="L52" i="52"/>
  <c r="M52" i="52"/>
  <c r="N52" i="52"/>
  <c r="I52" i="52"/>
  <c r="J19" i="52"/>
  <c r="K19" i="52"/>
  <c r="L19" i="52"/>
  <c r="M19" i="52"/>
  <c r="N19" i="52"/>
  <c r="I19" i="52"/>
  <c r="I25" i="52"/>
  <c r="I31" i="52"/>
  <c r="I40" i="52"/>
  <c r="I69" i="52"/>
  <c r="I96" i="52"/>
  <c r="I122" i="52"/>
  <c r="I128" i="52"/>
  <c r="I166" i="52"/>
  <c r="I170" i="52"/>
  <c r="I182" i="52"/>
  <c r="O121" i="51"/>
  <c r="O71" i="51"/>
  <c r="O67" i="51"/>
  <c r="O50" i="51"/>
  <c r="O40" i="51"/>
  <c r="O22" i="51"/>
  <c r="O122" i="51"/>
  <c r="M207" i="51"/>
  <c r="N207" i="51"/>
  <c r="P207" i="51"/>
  <c r="Q207" i="51"/>
  <c r="L207" i="51"/>
  <c r="M206" i="51"/>
  <c r="N206" i="51"/>
  <c r="P206" i="51"/>
  <c r="Q206" i="51"/>
  <c r="L206" i="51"/>
  <c r="M95" i="50"/>
  <c r="N95" i="50"/>
  <c r="O95" i="50"/>
  <c r="P95" i="50"/>
  <c r="Q95" i="50"/>
  <c r="L95" i="50"/>
  <c r="P12" i="50"/>
  <c r="P193" i="50" s="1"/>
  <c r="Q12" i="50"/>
  <c r="Q193" i="50" s="1"/>
  <c r="Q194" i="50" s="1"/>
  <c r="O12" i="50"/>
  <c r="O193" i="50" s="1"/>
  <c r="O194" i="50" s="1"/>
  <c r="M193" i="50"/>
  <c r="L193" i="50"/>
  <c r="L194" i="50" s="1"/>
  <c r="P258" i="49"/>
  <c r="N215" i="49"/>
  <c r="O215" i="49"/>
  <c r="P215" i="49"/>
  <c r="Q215" i="49"/>
  <c r="R215" i="49"/>
  <c r="M215" i="49"/>
  <c r="O107" i="48"/>
  <c r="O113" i="48"/>
  <c r="O56" i="48"/>
  <c r="M22" i="48"/>
  <c r="N22" i="48"/>
  <c r="O22" i="48"/>
  <c r="P22" i="48"/>
  <c r="Q22" i="48"/>
  <c r="M47" i="48"/>
  <c r="N47" i="48"/>
  <c r="O47" i="48"/>
  <c r="P47" i="48"/>
  <c r="Q47" i="48"/>
  <c r="M56" i="48"/>
  <c r="N56" i="48"/>
  <c r="P56" i="48"/>
  <c r="Q56" i="48"/>
  <c r="M80" i="48"/>
  <c r="N80" i="48"/>
  <c r="O80" i="48"/>
  <c r="P80" i="48"/>
  <c r="Q80" i="48"/>
  <c r="M93" i="48"/>
  <c r="N93" i="48"/>
  <c r="O93" i="48"/>
  <c r="P93" i="48"/>
  <c r="Q93" i="48"/>
  <c r="M96" i="48"/>
  <c r="N96" i="48"/>
  <c r="O96" i="48"/>
  <c r="P96" i="48"/>
  <c r="Q96" i="48"/>
  <c r="M99" i="48"/>
  <c r="N99" i="48"/>
  <c r="O99" i="48"/>
  <c r="P99" i="48"/>
  <c r="Q99" i="48"/>
  <c r="M102" i="48"/>
  <c r="N102" i="48"/>
  <c r="O102" i="48"/>
  <c r="P102" i="48"/>
  <c r="Q102" i="48"/>
  <c r="L99" i="48"/>
  <c r="L96" i="48"/>
  <c r="L93" i="48"/>
  <c r="L80" i="48"/>
  <c r="L56" i="48"/>
  <c r="L47" i="48"/>
  <c r="L22" i="48"/>
  <c r="Q43" i="47"/>
  <c r="Q41" i="47" s="1"/>
  <c r="O43" i="47"/>
  <c r="O41" i="47"/>
  <c r="L100" i="47"/>
  <c r="L90" i="47"/>
  <c r="L63" i="47"/>
  <c r="L16" i="47"/>
  <c r="M23" i="47"/>
  <c r="N23" i="47"/>
  <c r="O23" i="47"/>
  <c r="P23" i="47"/>
  <c r="Q23" i="47"/>
  <c r="L23" i="47"/>
  <c r="M29" i="46"/>
  <c r="N29" i="46"/>
  <c r="O29" i="46"/>
  <c r="P29" i="46"/>
  <c r="Q29" i="46"/>
  <c r="Q314" i="46" s="1"/>
  <c r="Q315" i="46" s="1"/>
  <c r="L29" i="46"/>
  <c r="L314" i="46" s="1"/>
  <c r="L315" i="46" s="1"/>
  <c r="M314" i="46"/>
  <c r="M315" i="46" s="1"/>
  <c r="O314" i="46"/>
  <c r="O315" i="46" s="1"/>
  <c r="P314" i="46"/>
  <c r="P315" i="46" s="1"/>
  <c r="O348" i="45"/>
  <c r="M350" i="45"/>
  <c r="N350" i="45"/>
  <c r="O350" i="45"/>
  <c r="P350" i="45"/>
  <c r="Q350" i="45"/>
  <c r="L350" i="45"/>
  <c r="M262" i="45"/>
  <c r="N262" i="45"/>
  <c r="O262" i="45"/>
  <c r="P262" i="45"/>
  <c r="Q262" i="45"/>
  <c r="L262" i="45"/>
  <c r="M397" i="56"/>
  <c r="N397" i="56"/>
  <c r="O397" i="56"/>
  <c r="P397" i="56"/>
  <c r="Q397" i="56"/>
  <c r="L209" i="56"/>
  <c r="L210" i="56"/>
  <c r="L213" i="56"/>
  <c r="L189" i="56"/>
  <c r="L183" i="56"/>
  <c r="L129" i="56"/>
  <c r="L118" i="56"/>
  <c r="L95" i="56"/>
  <c r="L36" i="56"/>
  <c r="L18" i="56"/>
  <c r="L321" i="54" l="1"/>
  <c r="L310" i="54" s="1"/>
  <c r="O321" i="54"/>
  <c r="O310" i="54" s="1"/>
  <c r="Q321" i="54"/>
  <c r="M321" i="54"/>
  <c r="M310" i="54" s="1"/>
  <c r="N265" i="52"/>
  <c r="L265" i="52"/>
  <c r="L266" i="52" s="1"/>
  <c r="J265" i="52"/>
  <c r="J266" i="52" s="1"/>
  <c r="M265" i="52"/>
  <c r="M266" i="52" s="1"/>
  <c r="O16" i="51"/>
  <c r="O206" i="51" s="1"/>
  <c r="O207" i="51" s="1"/>
  <c r="P128" i="48"/>
  <c r="P129" i="48" s="1"/>
  <c r="O128" i="48"/>
  <c r="M128" i="48"/>
  <c r="M129" i="48" s="1"/>
  <c r="Q128" i="48"/>
  <c r="Q129" i="48" s="1"/>
  <c r="L128" i="48"/>
  <c r="L129" i="48" s="1"/>
  <c r="L84" i="56"/>
  <c r="L52" i="56"/>
  <c r="L50" i="56"/>
  <c r="L47" i="56"/>
  <c r="L40" i="56"/>
  <c r="L23" i="56"/>
  <c r="M123" i="56"/>
  <c r="N123" i="56"/>
  <c r="O123" i="56"/>
  <c r="P123" i="56"/>
  <c r="Q123" i="56"/>
  <c r="L123" i="56"/>
  <c r="L126" i="56"/>
  <c r="Q189" i="56"/>
  <c r="O189" i="56"/>
  <c r="Q118" i="56"/>
  <c r="M118" i="56"/>
  <c r="O118" i="56"/>
  <c r="P118" i="56"/>
  <c r="Q95" i="56"/>
  <c r="O95" i="56"/>
  <c r="Q36" i="56"/>
  <c r="O36" i="56"/>
  <c r="P36" i="56"/>
  <c r="Q18" i="56"/>
  <c r="O18" i="56"/>
  <c r="M122" i="51"/>
  <c r="N122" i="51"/>
  <c r="P122" i="51"/>
  <c r="Q122" i="51"/>
  <c r="L122" i="51"/>
  <c r="Q37" i="47"/>
  <c r="Q17" i="47"/>
  <c r="O17" i="47"/>
  <c r="Q30" i="46"/>
  <c r="P30" i="46"/>
  <c r="O30" i="46"/>
  <c r="Q83" i="56"/>
  <c r="O83" i="56"/>
  <c r="Q49" i="56"/>
  <c r="O49" i="56"/>
  <c r="Q46" i="56"/>
  <c r="O46" i="56"/>
  <c r="L318" i="54" l="1"/>
  <c r="Q314" i="54"/>
  <c r="P314" i="54"/>
  <c r="O314" i="54"/>
  <c r="N314" i="54"/>
  <c r="K300" i="54"/>
  <c r="G298" i="54"/>
  <c r="Q296" i="54"/>
  <c r="P296" i="54"/>
  <c r="O296" i="54"/>
  <c r="I296" i="54"/>
  <c r="F296" i="54"/>
  <c r="R295" i="54"/>
  <c r="Q295" i="54"/>
  <c r="P295" i="54"/>
  <c r="O295" i="54"/>
  <c r="M295" i="54"/>
  <c r="J295" i="54"/>
  <c r="R294" i="54"/>
  <c r="Q294" i="54"/>
  <c r="P294" i="54"/>
  <c r="O294" i="54"/>
  <c r="M294" i="54"/>
  <c r="L294" i="54"/>
  <c r="K294" i="54"/>
  <c r="J294" i="54"/>
  <c r="H294" i="54"/>
  <c r="G294" i="54"/>
  <c r="E294" i="54"/>
  <c r="R293" i="54"/>
  <c r="Q293" i="54"/>
  <c r="P293" i="54"/>
  <c r="O293" i="54"/>
  <c r="N293" i="54"/>
  <c r="M293" i="54"/>
  <c r="L293" i="54"/>
  <c r="K293" i="54"/>
  <c r="H293" i="54"/>
  <c r="G293" i="54"/>
  <c r="E293" i="54"/>
  <c r="F293" i="54" s="1"/>
  <c r="L292" i="54"/>
  <c r="K292" i="54"/>
  <c r="J292" i="54"/>
  <c r="I292" i="54" s="1"/>
  <c r="G292" i="54"/>
  <c r="E292" i="54"/>
  <c r="R291" i="54"/>
  <c r="J291" i="54"/>
  <c r="H291" i="54"/>
  <c r="F291" i="54" s="1"/>
  <c r="G291" i="54"/>
  <c r="E291" i="54"/>
  <c r="R288" i="54"/>
  <c r="Q288" i="54"/>
  <c r="P288" i="54"/>
  <c r="O288" i="54"/>
  <c r="M288" i="54"/>
  <c r="L288" i="54"/>
  <c r="K288" i="54"/>
  <c r="H288" i="54"/>
  <c r="G288" i="54"/>
  <c r="R287" i="54"/>
  <c r="Q287" i="54"/>
  <c r="P287" i="54"/>
  <c r="O287" i="54"/>
  <c r="M287" i="54"/>
  <c r="L287" i="54"/>
  <c r="K287" i="54"/>
  <c r="J287" i="54"/>
  <c r="R283" i="54"/>
  <c r="Q283" i="54"/>
  <c r="P283" i="54"/>
  <c r="O283" i="54"/>
  <c r="M283" i="54"/>
  <c r="L283" i="54"/>
  <c r="N283" i="54" s="1"/>
  <c r="K283" i="54"/>
  <c r="J283" i="54"/>
  <c r="N280" i="54"/>
  <c r="R279" i="54"/>
  <c r="K279" i="54"/>
  <c r="J279" i="54"/>
  <c r="R278" i="54"/>
  <c r="Q278" i="54"/>
  <c r="P278" i="54"/>
  <c r="P275" i="54" s="1"/>
  <c r="O278" i="54"/>
  <c r="O275" i="54" s="1"/>
  <c r="M278" i="54"/>
  <c r="M275" i="54" s="1"/>
  <c r="L278" i="54"/>
  <c r="J278" i="54"/>
  <c r="H278" i="54"/>
  <c r="G278" i="54"/>
  <c r="E278" i="54"/>
  <c r="E275" i="54" s="1"/>
  <c r="K277" i="54"/>
  <c r="N276" i="54"/>
  <c r="I276" i="54"/>
  <c r="F276" i="54"/>
  <c r="R275" i="54"/>
  <c r="Q275" i="54"/>
  <c r="J275" i="54"/>
  <c r="G275" i="54"/>
  <c r="Q272" i="54"/>
  <c r="Q269" i="54" s="1"/>
  <c r="M272" i="54"/>
  <c r="M269" i="54" s="1"/>
  <c r="L272" i="54"/>
  <c r="K272" i="54"/>
  <c r="J272" i="54"/>
  <c r="H272" i="54"/>
  <c r="G272" i="54"/>
  <c r="E272" i="54"/>
  <c r="R270" i="54"/>
  <c r="R272" i="54" s="1"/>
  <c r="Q270" i="54"/>
  <c r="P270" i="54"/>
  <c r="P272" i="54" s="1"/>
  <c r="P269" i="54" s="1"/>
  <c r="O270" i="54"/>
  <c r="O272" i="54" s="1"/>
  <c r="O269" i="54" s="1"/>
  <c r="N270" i="54"/>
  <c r="M270" i="54"/>
  <c r="I270" i="54"/>
  <c r="F270" i="54"/>
  <c r="R269" i="54"/>
  <c r="K269" i="54"/>
  <c r="J269" i="54"/>
  <c r="G269" i="54"/>
  <c r="E269" i="54"/>
  <c r="R268" i="54"/>
  <c r="Q268" i="54"/>
  <c r="Q266" i="54" s="1"/>
  <c r="P268" i="54"/>
  <c r="P266" i="54" s="1"/>
  <c r="O268" i="54"/>
  <c r="M268" i="54"/>
  <c r="L268" i="54"/>
  <c r="K268" i="54"/>
  <c r="K266" i="54" s="1"/>
  <c r="J268" i="54"/>
  <c r="H268" i="54"/>
  <c r="G268" i="54"/>
  <c r="E268" i="54"/>
  <c r="E266" i="54" s="1"/>
  <c r="N267" i="54"/>
  <c r="I267" i="54"/>
  <c r="F267" i="54"/>
  <c r="R266" i="54"/>
  <c r="O266" i="54"/>
  <c r="M266" i="54"/>
  <c r="L266" i="54"/>
  <c r="N266" i="54" s="1"/>
  <c r="J266" i="54"/>
  <c r="G266" i="54"/>
  <c r="R265" i="54"/>
  <c r="Q265" i="54"/>
  <c r="P265" i="54"/>
  <c r="O265" i="54"/>
  <c r="M265" i="54"/>
  <c r="L265" i="54"/>
  <c r="N265" i="54" s="1"/>
  <c r="K265" i="54"/>
  <c r="J265" i="54"/>
  <c r="H265" i="54"/>
  <c r="F265" i="54" s="1"/>
  <c r="G265" i="54"/>
  <c r="E265" i="54"/>
  <c r="F264" i="54"/>
  <c r="N263" i="54"/>
  <c r="I262" i="54"/>
  <c r="F262" i="54"/>
  <c r="L261" i="54"/>
  <c r="L257" i="54" s="1"/>
  <c r="N257" i="54" s="1"/>
  <c r="N260" i="54"/>
  <c r="L260" i="54"/>
  <c r="N259" i="54"/>
  <c r="M258" i="54"/>
  <c r="J258" i="54"/>
  <c r="J256" i="54" s="1"/>
  <c r="H258" i="54"/>
  <c r="G258" i="54"/>
  <c r="E258" i="54"/>
  <c r="E256" i="54" s="1"/>
  <c r="R257" i="54"/>
  <c r="R258" i="54" s="1"/>
  <c r="Q257" i="54"/>
  <c r="Q258" i="54" s="1"/>
  <c r="P257" i="54"/>
  <c r="P258" i="54" s="1"/>
  <c r="O257" i="54"/>
  <c r="O258" i="54" s="1"/>
  <c r="M257" i="54"/>
  <c r="K257" i="54"/>
  <c r="K258" i="54" s="1"/>
  <c r="J257" i="54"/>
  <c r="I257" i="54"/>
  <c r="F257" i="54"/>
  <c r="K256" i="54"/>
  <c r="G256" i="54"/>
  <c r="N255" i="54"/>
  <c r="G255" i="54"/>
  <c r="E255" i="54"/>
  <c r="F255" i="54" s="1"/>
  <c r="N254" i="54"/>
  <c r="F254" i="54"/>
  <c r="R253" i="54"/>
  <c r="Q253" i="54"/>
  <c r="P253" i="54"/>
  <c r="O253" i="54"/>
  <c r="M253" i="54"/>
  <c r="L253" i="54"/>
  <c r="K253" i="54"/>
  <c r="N253" i="54" s="1"/>
  <c r="J253" i="54"/>
  <c r="G253" i="54"/>
  <c r="G221" i="54" s="1"/>
  <c r="E253" i="54"/>
  <c r="F253" i="54" s="1"/>
  <c r="N252" i="54"/>
  <c r="F252" i="54"/>
  <c r="M251" i="54"/>
  <c r="L251" i="54"/>
  <c r="N251" i="54" s="1"/>
  <c r="K251" i="54"/>
  <c r="H251" i="54"/>
  <c r="I251" i="54" s="1"/>
  <c r="G251" i="54"/>
  <c r="F251" i="54"/>
  <c r="E251" i="54"/>
  <c r="N250" i="54"/>
  <c r="I250" i="54"/>
  <c r="F250" i="54"/>
  <c r="M249" i="54"/>
  <c r="L249" i="54"/>
  <c r="K249" i="54"/>
  <c r="H249" i="54"/>
  <c r="G249" i="54"/>
  <c r="E249" i="54"/>
  <c r="N248" i="54"/>
  <c r="I248" i="54"/>
  <c r="F248" i="54"/>
  <c r="N247" i="54"/>
  <c r="N246" i="54"/>
  <c r="N245" i="54"/>
  <c r="N244" i="54"/>
  <c r="N243" i="54"/>
  <c r="N242" i="54"/>
  <c r="N241" i="54"/>
  <c r="N240" i="54"/>
  <c r="N239" i="54"/>
  <c r="N238" i="54"/>
  <c r="L237" i="54"/>
  <c r="N237" i="54" s="1"/>
  <c r="N236" i="54"/>
  <c r="N235" i="54"/>
  <c r="L234" i="54"/>
  <c r="N234" i="54" s="1"/>
  <c r="K234" i="54"/>
  <c r="H234" i="54"/>
  <c r="G234" i="54"/>
  <c r="F234" i="54"/>
  <c r="E234" i="54"/>
  <c r="N233" i="54"/>
  <c r="R232" i="54"/>
  <c r="R234" i="54" s="1"/>
  <c r="Q232" i="54"/>
  <c r="Q234" i="54" s="1"/>
  <c r="P232" i="54"/>
  <c r="P234" i="54" s="1"/>
  <c r="O232" i="54"/>
  <c r="O234" i="54" s="1"/>
  <c r="M232" i="54"/>
  <c r="M234" i="54" s="1"/>
  <c r="L232" i="54"/>
  <c r="N232" i="54" s="1"/>
  <c r="J232" i="54"/>
  <c r="J234" i="54" s="1"/>
  <c r="I234" i="54" s="1"/>
  <c r="G232" i="54"/>
  <c r="F232" i="54"/>
  <c r="R231" i="54"/>
  <c r="Q231" i="54"/>
  <c r="P231" i="54"/>
  <c r="O231" i="54"/>
  <c r="M231" i="54"/>
  <c r="L231" i="54"/>
  <c r="K231" i="54"/>
  <c r="J231" i="54"/>
  <c r="H231" i="54"/>
  <c r="G231" i="54"/>
  <c r="E231" i="54"/>
  <c r="N230" i="54"/>
  <c r="I230" i="54"/>
  <c r="F230" i="54"/>
  <c r="N229" i="54"/>
  <c r="M229" i="54"/>
  <c r="L229" i="54"/>
  <c r="K229" i="54"/>
  <c r="H229" i="54"/>
  <c r="F229" i="54" s="1"/>
  <c r="G229" i="54"/>
  <c r="E229" i="54"/>
  <c r="N228" i="54"/>
  <c r="F228" i="54"/>
  <c r="N227" i="54"/>
  <c r="F227" i="54"/>
  <c r="N226" i="54"/>
  <c r="F226" i="54"/>
  <c r="M225" i="54"/>
  <c r="L225" i="54"/>
  <c r="N225" i="54" s="1"/>
  <c r="K225" i="54"/>
  <c r="H225" i="54"/>
  <c r="I225" i="54" s="1"/>
  <c r="G225" i="54"/>
  <c r="E225" i="54"/>
  <c r="E221" i="54" s="1"/>
  <c r="N224" i="54"/>
  <c r="I224" i="54"/>
  <c r="F224" i="54"/>
  <c r="R223" i="54"/>
  <c r="Q223" i="54"/>
  <c r="P223" i="54"/>
  <c r="O223" i="54"/>
  <c r="N223" i="54"/>
  <c r="M223" i="54"/>
  <c r="L223" i="54"/>
  <c r="K223" i="54"/>
  <c r="K221" i="54" s="1"/>
  <c r="J223" i="54"/>
  <c r="H223" i="54"/>
  <c r="I223" i="54" s="1"/>
  <c r="G223" i="54"/>
  <c r="F223" i="54"/>
  <c r="E223" i="54"/>
  <c r="N222" i="54"/>
  <c r="I222" i="54"/>
  <c r="F222" i="54"/>
  <c r="N220" i="54"/>
  <c r="N219" i="54"/>
  <c r="N218" i="54"/>
  <c r="N217" i="54"/>
  <c r="N216" i="54"/>
  <c r="I216" i="54"/>
  <c r="F216" i="54"/>
  <c r="N215" i="54"/>
  <c r="I215" i="54"/>
  <c r="F215" i="54"/>
  <c r="N214" i="54"/>
  <c r="I214" i="54"/>
  <c r="E214" i="54"/>
  <c r="F214" i="54" s="1"/>
  <c r="R213" i="54"/>
  <c r="Q213" i="54"/>
  <c r="P213" i="54"/>
  <c r="P211" i="54" s="1"/>
  <c r="O213" i="54"/>
  <c r="M213" i="54"/>
  <c r="L213" i="54"/>
  <c r="N213" i="54" s="1"/>
  <c r="K213" i="54"/>
  <c r="K211" i="54" s="1"/>
  <c r="J213" i="54"/>
  <c r="I213" i="54"/>
  <c r="H213" i="54"/>
  <c r="G213" i="54"/>
  <c r="E213" i="54"/>
  <c r="E211" i="54" s="1"/>
  <c r="N212" i="54"/>
  <c r="I212" i="54"/>
  <c r="F212" i="54"/>
  <c r="R211" i="54"/>
  <c r="Q211" i="54"/>
  <c r="O211" i="54"/>
  <c r="M211" i="54"/>
  <c r="L211" i="54"/>
  <c r="N211" i="54" s="1"/>
  <c r="J211" i="54"/>
  <c r="G211" i="54"/>
  <c r="R210" i="54"/>
  <c r="Q210" i="54"/>
  <c r="P210" i="54"/>
  <c r="O210" i="54"/>
  <c r="M210" i="54"/>
  <c r="L210" i="54"/>
  <c r="K210" i="54"/>
  <c r="J210" i="54"/>
  <c r="I210" i="54"/>
  <c r="H210" i="54"/>
  <c r="G210" i="54"/>
  <c r="L209" i="54"/>
  <c r="J209" i="54"/>
  <c r="I209" i="54"/>
  <c r="R208" i="54"/>
  <c r="Q208" i="54"/>
  <c r="P208" i="54"/>
  <c r="O208" i="54"/>
  <c r="M208" i="54"/>
  <c r="L208" i="54"/>
  <c r="K208" i="54"/>
  <c r="H208" i="54"/>
  <c r="G208" i="54"/>
  <c r="J206" i="54"/>
  <c r="I206" i="54" s="1"/>
  <c r="R205" i="54"/>
  <c r="Q205" i="54"/>
  <c r="P205" i="54"/>
  <c r="O205" i="54"/>
  <c r="M205" i="54"/>
  <c r="L205" i="54"/>
  <c r="K205" i="54"/>
  <c r="H205" i="54"/>
  <c r="G205" i="54"/>
  <c r="J203" i="54"/>
  <c r="J205" i="54" s="1"/>
  <c r="I205" i="54" s="1"/>
  <c r="I203" i="54"/>
  <c r="R202" i="54"/>
  <c r="Q202" i="54"/>
  <c r="P202" i="54"/>
  <c r="O202" i="54"/>
  <c r="M202" i="54"/>
  <c r="L202" i="54"/>
  <c r="K202" i="54"/>
  <c r="H202" i="54"/>
  <c r="G202" i="54"/>
  <c r="E202" i="54"/>
  <c r="N199" i="54"/>
  <c r="N198" i="54"/>
  <c r="N197" i="54"/>
  <c r="K196" i="54"/>
  <c r="H196" i="54"/>
  <c r="G196" i="54"/>
  <c r="E196" i="54"/>
  <c r="R195" i="54"/>
  <c r="R196" i="54" s="1"/>
  <c r="Q195" i="54"/>
  <c r="Q196" i="54" s="1"/>
  <c r="P195" i="54"/>
  <c r="P196" i="54" s="1"/>
  <c r="O195" i="54"/>
  <c r="O196" i="54" s="1"/>
  <c r="M195" i="54"/>
  <c r="M196" i="54" s="1"/>
  <c r="L195" i="54"/>
  <c r="J195" i="54"/>
  <c r="N194" i="54"/>
  <c r="I194" i="54"/>
  <c r="N193" i="54"/>
  <c r="I193" i="54"/>
  <c r="N192" i="54"/>
  <c r="I192" i="54"/>
  <c r="N191" i="54"/>
  <c r="I191" i="54"/>
  <c r="N190" i="54"/>
  <c r="I190" i="54"/>
  <c r="H190" i="54"/>
  <c r="N189" i="54"/>
  <c r="I189" i="54"/>
  <c r="N188" i="54"/>
  <c r="I188" i="54"/>
  <c r="N187" i="54"/>
  <c r="I187" i="54"/>
  <c r="N186" i="54"/>
  <c r="I186" i="54"/>
  <c r="N185" i="54"/>
  <c r="I185" i="54"/>
  <c r="N184" i="54"/>
  <c r="I184" i="54"/>
  <c r="N183" i="54"/>
  <c r="I183" i="54"/>
  <c r="N182" i="54"/>
  <c r="I182" i="54"/>
  <c r="N181" i="54"/>
  <c r="I181" i="54"/>
  <c r="Q178" i="54"/>
  <c r="O178" i="54"/>
  <c r="K178" i="54"/>
  <c r="K174" i="54" s="1"/>
  <c r="H178" i="54"/>
  <c r="E178" i="54"/>
  <c r="I177" i="54"/>
  <c r="L176" i="54"/>
  <c r="K176" i="54"/>
  <c r="I176" i="54"/>
  <c r="H176" i="54"/>
  <c r="R175" i="54"/>
  <c r="R178" i="54" s="1"/>
  <c r="P175" i="54"/>
  <c r="P178" i="54" s="1"/>
  <c r="M175" i="54"/>
  <c r="M178" i="54" s="1"/>
  <c r="I175" i="54"/>
  <c r="H175" i="54"/>
  <c r="F175" i="54" s="1"/>
  <c r="G175" i="54"/>
  <c r="G178" i="54" s="1"/>
  <c r="G174" i="54" s="1"/>
  <c r="J174" i="54"/>
  <c r="E174" i="54"/>
  <c r="N173" i="54"/>
  <c r="N172" i="54"/>
  <c r="I172" i="54"/>
  <c r="F172" i="54"/>
  <c r="E172" i="54"/>
  <c r="N171" i="54"/>
  <c r="I171" i="54"/>
  <c r="F171" i="54"/>
  <c r="N170" i="54"/>
  <c r="I170" i="54"/>
  <c r="F170" i="54"/>
  <c r="N169" i="54"/>
  <c r="I169" i="54"/>
  <c r="F169" i="54"/>
  <c r="M168" i="54"/>
  <c r="L168" i="54"/>
  <c r="N168" i="54" s="1"/>
  <c r="K168" i="54"/>
  <c r="H168" i="54"/>
  <c r="F168" i="54" s="1"/>
  <c r="G168" i="54"/>
  <c r="E168" i="54"/>
  <c r="N167" i="54"/>
  <c r="F167" i="54"/>
  <c r="N166" i="54"/>
  <c r="F166" i="54"/>
  <c r="N165" i="54"/>
  <c r="F165" i="54"/>
  <c r="N164" i="54"/>
  <c r="F164" i="54"/>
  <c r="N163" i="54"/>
  <c r="F163" i="54"/>
  <c r="N162" i="54"/>
  <c r="N161" i="54"/>
  <c r="N160" i="54"/>
  <c r="N159" i="54"/>
  <c r="N158" i="54"/>
  <c r="M157" i="54"/>
  <c r="L157" i="54"/>
  <c r="N157" i="54" s="1"/>
  <c r="H157" i="54"/>
  <c r="G157" i="54"/>
  <c r="E157" i="54"/>
  <c r="C157" i="54"/>
  <c r="K156" i="54"/>
  <c r="N156" i="54" s="1"/>
  <c r="I156" i="54"/>
  <c r="H156" i="54"/>
  <c r="H292" i="54" s="1"/>
  <c r="F292" i="54" s="1"/>
  <c r="R155" i="54"/>
  <c r="R157" i="54" s="1"/>
  <c r="Q155" i="54"/>
  <c r="Q157" i="54" s="1"/>
  <c r="P155" i="54"/>
  <c r="P157" i="54" s="1"/>
  <c r="O155" i="54"/>
  <c r="O157" i="54" s="1"/>
  <c r="M155" i="54"/>
  <c r="L155" i="54"/>
  <c r="K155" i="54"/>
  <c r="K157" i="54" s="1"/>
  <c r="J155" i="54"/>
  <c r="J157" i="54" s="1"/>
  <c r="F155" i="54"/>
  <c r="N154" i="54"/>
  <c r="N153" i="54"/>
  <c r="N152" i="54"/>
  <c r="N151" i="54"/>
  <c r="N150" i="54"/>
  <c r="K150" i="54"/>
  <c r="H150" i="54"/>
  <c r="F150" i="54" s="1"/>
  <c r="G150" i="54"/>
  <c r="E150" i="54"/>
  <c r="C150" i="54"/>
  <c r="N149" i="54"/>
  <c r="N148" i="54"/>
  <c r="K147" i="54"/>
  <c r="N147" i="54" s="1"/>
  <c r="H147" i="54"/>
  <c r="F147" i="54" s="1"/>
  <c r="G147" i="54"/>
  <c r="E147" i="54"/>
  <c r="N146" i="54"/>
  <c r="N145" i="54"/>
  <c r="M144" i="54"/>
  <c r="I144" i="54"/>
  <c r="H144" i="54"/>
  <c r="E144" i="54"/>
  <c r="C144" i="54"/>
  <c r="B144" i="54"/>
  <c r="R143" i="54"/>
  <c r="R144" i="54" s="1"/>
  <c r="Q143" i="54"/>
  <c r="Q144" i="54" s="1"/>
  <c r="P143" i="54"/>
  <c r="P144" i="54" s="1"/>
  <c r="O143" i="54"/>
  <c r="O144" i="54" s="1"/>
  <c r="L143" i="54"/>
  <c r="K143" i="54"/>
  <c r="K144" i="54" s="1"/>
  <c r="J143" i="54"/>
  <c r="J144" i="54" s="1"/>
  <c r="H143" i="54"/>
  <c r="G143" i="54"/>
  <c r="G144" i="54" s="1"/>
  <c r="F143" i="54"/>
  <c r="E143" i="54"/>
  <c r="N142" i="54"/>
  <c r="N141" i="54"/>
  <c r="O140" i="54"/>
  <c r="O138" i="54" s="1"/>
  <c r="O139" i="54" s="1"/>
  <c r="N140" i="54"/>
  <c r="H139" i="54"/>
  <c r="G139" i="54"/>
  <c r="E139" i="54"/>
  <c r="C139" i="54"/>
  <c r="B139" i="54"/>
  <c r="R138" i="54"/>
  <c r="R139" i="54" s="1"/>
  <c r="Q138" i="54"/>
  <c r="Q139" i="54" s="1"/>
  <c r="P138" i="54"/>
  <c r="P139" i="54" s="1"/>
  <c r="M138" i="54"/>
  <c r="M139" i="54" s="1"/>
  <c r="L138" i="54"/>
  <c r="L139" i="54" s="1"/>
  <c r="K138" i="54"/>
  <c r="J138" i="54"/>
  <c r="J139" i="54" s="1"/>
  <c r="I138" i="54"/>
  <c r="F138" i="54"/>
  <c r="M137" i="54"/>
  <c r="L137" i="54"/>
  <c r="K137" i="54"/>
  <c r="I137" i="54"/>
  <c r="H137" i="54"/>
  <c r="G137" i="54"/>
  <c r="E137" i="54"/>
  <c r="C137" i="54"/>
  <c r="B137" i="54"/>
  <c r="N136" i="54"/>
  <c r="I136" i="54"/>
  <c r="R135" i="54"/>
  <c r="P135" i="54"/>
  <c r="O135" i="54"/>
  <c r="L135" i="54"/>
  <c r="I135" i="54"/>
  <c r="H135" i="54"/>
  <c r="G135" i="54"/>
  <c r="G132" i="54" s="1"/>
  <c r="E135" i="54"/>
  <c r="C135" i="54"/>
  <c r="B135" i="54"/>
  <c r="Q133" i="54"/>
  <c r="O133" i="54"/>
  <c r="M133" i="54"/>
  <c r="M135" i="54" s="1"/>
  <c r="I133" i="54"/>
  <c r="H132" i="54"/>
  <c r="M131" i="54"/>
  <c r="L131" i="54"/>
  <c r="N131" i="54" s="1"/>
  <c r="K131" i="54"/>
  <c r="H131" i="54"/>
  <c r="F131" i="54" s="1"/>
  <c r="G131" i="54"/>
  <c r="E131" i="54"/>
  <c r="N130" i="54"/>
  <c r="F130" i="54"/>
  <c r="N129" i="54"/>
  <c r="F129" i="54"/>
  <c r="N128" i="54"/>
  <c r="F128" i="54"/>
  <c r="N127" i="54"/>
  <c r="F127" i="54"/>
  <c r="N124" i="54"/>
  <c r="N123" i="54"/>
  <c r="N122" i="54"/>
  <c r="N121" i="54"/>
  <c r="N120" i="54"/>
  <c r="L119" i="54"/>
  <c r="H119" i="54"/>
  <c r="G119" i="54"/>
  <c r="E119" i="54"/>
  <c r="F119" i="54" s="1"/>
  <c r="F118" i="54"/>
  <c r="F117" i="54"/>
  <c r="R116" i="54"/>
  <c r="R119" i="54" s="1"/>
  <c r="Q116" i="54"/>
  <c r="Q119" i="54" s="1"/>
  <c r="P116" i="54"/>
  <c r="P119" i="54" s="1"/>
  <c r="O116" i="54"/>
  <c r="O119" i="54" s="1"/>
  <c r="M116" i="54"/>
  <c r="M119" i="54" s="1"/>
  <c r="K116" i="54"/>
  <c r="N116" i="54" s="1"/>
  <c r="J116" i="54"/>
  <c r="J119" i="54" s="1"/>
  <c r="I119" i="54" s="1"/>
  <c r="I115" i="54"/>
  <c r="H115" i="54"/>
  <c r="H295" i="54" s="1"/>
  <c r="F115" i="54"/>
  <c r="M114" i="54"/>
  <c r="L114" i="54"/>
  <c r="N114" i="54" s="1"/>
  <c r="K114" i="54"/>
  <c r="H114" i="54"/>
  <c r="G114" i="54"/>
  <c r="E114" i="54"/>
  <c r="N113" i="54"/>
  <c r="I113" i="54"/>
  <c r="F113" i="54"/>
  <c r="R112" i="54"/>
  <c r="Q112" i="54"/>
  <c r="P112" i="54"/>
  <c r="O112" i="54"/>
  <c r="M112" i="54"/>
  <c r="K112" i="54"/>
  <c r="J112" i="54"/>
  <c r="H112" i="54"/>
  <c r="F112" i="54" s="1"/>
  <c r="G112" i="54"/>
  <c r="E112" i="54"/>
  <c r="L110" i="54"/>
  <c r="L112" i="54" s="1"/>
  <c r="R109" i="54"/>
  <c r="Q109" i="54"/>
  <c r="P109" i="54"/>
  <c r="O109" i="54"/>
  <c r="M109" i="54"/>
  <c r="L109" i="54"/>
  <c r="K109" i="54"/>
  <c r="J109" i="54"/>
  <c r="H109" i="54"/>
  <c r="G109" i="54"/>
  <c r="E109" i="54"/>
  <c r="R106" i="54"/>
  <c r="Q106" i="54"/>
  <c r="P106" i="54"/>
  <c r="O106" i="54"/>
  <c r="M106" i="54"/>
  <c r="L106" i="54"/>
  <c r="K106" i="54"/>
  <c r="J106" i="54"/>
  <c r="H106" i="54"/>
  <c r="F106" i="54" s="1"/>
  <c r="G106" i="54"/>
  <c r="E106" i="54"/>
  <c r="N104" i="54"/>
  <c r="M103" i="54"/>
  <c r="L103" i="54"/>
  <c r="N103" i="54" s="1"/>
  <c r="K103" i="54"/>
  <c r="J103" i="54"/>
  <c r="H103" i="54"/>
  <c r="F103" i="54" s="1"/>
  <c r="G103" i="54"/>
  <c r="G97" i="54" s="1"/>
  <c r="E103" i="54"/>
  <c r="J102" i="54"/>
  <c r="J293" i="54" s="1"/>
  <c r="I293" i="54" s="1"/>
  <c r="R101" i="54"/>
  <c r="R103" i="54" s="1"/>
  <c r="Q101" i="54"/>
  <c r="Q103" i="54" s="1"/>
  <c r="P101" i="54"/>
  <c r="P103" i="54" s="1"/>
  <c r="O101" i="54"/>
  <c r="O103" i="54" s="1"/>
  <c r="N101" i="54"/>
  <c r="M101" i="54"/>
  <c r="K101" i="54"/>
  <c r="J101" i="54"/>
  <c r="I101" i="54" s="1"/>
  <c r="M100" i="54"/>
  <c r="L100" i="54"/>
  <c r="K100" i="54"/>
  <c r="N100" i="54" s="1"/>
  <c r="H100" i="54"/>
  <c r="G100" i="54"/>
  <c r="E100" i="54"/>
  <c r="N99" i="54"/>
  <c r="N98" i="54"/>
  <c r="R96" i="54"/>
  <c r="Q96" i="54"/>
  <c r="P96" i="54"/>
  <c r="O96" i="54"/>
  <c r="N96" i="54"/>
  <c r="M96" i="54"/>
  <c r="L96" i="54"/>
  <c r="K96" i="54"/>
  <c r="J96" i="54"/>
  <c r="I96" i="54" s="1"/>
  <c r="H96" i="54"/>
  <c r="G96" i="54"/>
  <c r="E96" i="54"/>
  <c r="F96" i="54" s="1"/>
  <c r="N95" i="54"/>
  <c r="H95" i="54"/>
  <c r="I95" i="54" s="1"/>
  <c r="F95" i="54"/>
  <c r="L92" i="54"/>
  <c r="K92" i="54"/>
  <c r="J92" i="54"/>
  <c r="I92" i="54" s="1"/>
  <c r="H92" i="54"/>
  <c r="F92" i="54" s="1"/>
  <c r="G92" i="54"/>
  <c r="E92" i="54"/>
  <c r="R90" i="54"/>
  <c r="R92" i="54" s="1"/>
  <c r="Q90" i="54"/>
  <c r="P90" i="54"/>
  <c r="P92" i="54" s="1"/>
  <c r="O90" i="54"/>
  <c r="O92" i="54" s="1"/>
  <c r="N90" i="54"/>
  <c r="M90" i="54"/>
  <c r="M92" i="54" s="1"/>
  <c r="I90" i="54"/>
  <c r="F90" i="54"/>
  <c r="M89" i="54"/>
  <c r="L89" i="54"/>
  <c r="N89" i="54" s="1"/>
  <c r="K89" i="54"/>
  <c r="H89" i="54"/>
  <c r="F89" i="54" s="1"/>
  <c r="G89" i="54"/>
  <c r="E89" i="54"/>
  <c r="N88" i="54"/>
  <c r="F88" i="54"/>
  <c r="N87" i="54"/>
  <c r="F87" i="54"/>
  <c r="N86" i="54"/>
  <c r="N85" i="54"/>
  <c r="F85" i="54"/>
  <c r="N84" i="54"/>
  <c r="F84" i="54"/>
  <c r="M83" i="54"/>
  <c r="L83" i="54"/>
  <c r="K83" i="54"/>
  <c r="N83" i="54" s="1"/>
  <c r="I83" i="54"/>
  <c r="H83" i="54"/>
  <c r="G83" i="54"/>
  <c r="E83" i="54"/>
  <c r="F83" i="54" s="1"/>
  <c r="N82" i="54"/>
  <c r="I82" i="54"/>
  <c r="F82" i="54"/>
  <c r="R81" i="54"/>
  <c r="Q81" i="54"/>
  <c r="P81" i="54"/>
  <c r="O81" i="54"/>
  <c r="M81" i="54"/>
  <c r="L81" i="54"/>
  <c r="K81" i="54"/>
  <c r="N81" i="54" s="1"/>
  <c r="J81" i="54"/>
  <c r="I81" i="54" s="1"/>
  <c r="H81" i="54"/>
  <c r="G81" i="54"/>
  <c r="E81" i="54"/>
  <c r="F81" i="54" s="1"/>
  <c r="N80" i="54"/>
  <c r="I80" i="54"/>
  <c r="F80" i="54"/>
  <c r="N79" i="54"/>
  <c r="N78" i="54"/>
  <c r="N77" i="54"/>
  <c r="N76" i="54"/>
  <c r="N75" i="54"/>
  <c r="M74" i="54"/>
  <c r="K74" i="54"/>
  <c r="H74" i="54"/>
  <c r="G74" i="54"/>
  <c r="E74" i="54"/>
  <c r="N73" i="54"/>
  <c r="I73" i="54"/>
  <c r="R71" i="54"/>
  <c r="Q71" i="54"/>
  <c r="Q291" i="54" s="1"/>
  <c r="P71" i="54"/>
  <c r="O71" i="54"/>
  <c r="O291" i="54" s="1"/>
  <c r="M71" i="54"/>
  <c r="L71" i="54"/>
  <c r="I71" i="54"/>
  <c r="F71" i="54"/>
  <c r="R70" i="54"/>
  <c r="R74" i="54" s="1"/>
  <c r="Q70" i="54"/>
  <c r="Q74" i="54" s="1"/>
  <c r="P70" i="54"/>
  <c r="O70" i="54"/>
  <c r="O74" i="54" s="1"/>
  <c r="N70" i="54"/>
  <c r="M70" i="54"/>
  <c r="J70" i="54"/>
  <c r="F70" i="54"/>
  <c r="N69" i="54"/>
  <c r="M69" i="54"/>
  <c r="L69" i="54"/>
  <c r="K69" i="54"/>
  <c r="H69" i="54"/>
  <c r="I69" i="54" s="1"/>
  <c r="G69" i="54"/>
  <c r="F69" i="54"/>
  <c r="E69" i="54"/>
  <c r="N68" i="54"/>
  <c r="I68" i="54"/>
  <c r="F68" i="54"/>
  <c r="N67" i="54"/>
  <c r="I67" i="54"/>
  <c r="F67" i="54"/>
  <c r="N66" i="54"/>
  <c r="I66" i="54"/>
  <c r="F66" i="54"/>
  <c r="R65" i="54"/>
  <c r="O298" i="54"/>
  <c r="K65" i="54"/>
  <c r="J65" i="54"/>
  <c r="H65" i="54"/>
  <c r="F65" i="54" s="1"/>
  <c r="G65" i="54"/>
  <c r="E65" i="54"/>
  <c r="N60" i="54"/>
  <c r="F60" i="54"/>
  <c r="R59" i="54"/>
  <c r="Q59" i="54"/>
  <c r="P59" i="54"/>
  <c r="O59" i="54"/>
  <c r="M59" i="54"/>
  <c r="L59" i="54"/>
  <c r="K59" i="54"/>
  <c r="K298" i="54" s="1"/>
  <c r="J59" i="54"/>
  <c r="H59" i="54"/>
  <c r="G59" i="54"/>
  <c r="E59" i="54"/>
  <c r="F59" i="54" s="1"/>
  <c r="N57" i="54"/>
  <c r="N56" i="54"/>
  <c r="N54" i="54"/>
  <c r="F54" i="54"/>
  <c r="R53" i="54"/>
  <c r="R298" i="54" s="1"/>
  <c r="Q53" i="54"/>
  <c r="Q298" i="54" s="1"/>
  <c r="P53" i="54"/>
  <c r="O53" i="54"/>
  <c r="M53" i="54"/>
  <c r="L53" i="54"/>
  <c r="K53" i="54"/>
  <c r="J53" i="54"/>
  <c r="J298" i="54" s="1"/>
  <c r="H53" i="54"/>
  <c r="G53" i="54"/>
  <c r="E53" i="54"/>
  <c r="N51" i="54"/>
  <c r="N50" i="54"/>
  <c r="N48" i="54"/>
  <c r="F48" i="54"/>
  <c r="R46" i="54"/>
  <c r="P46" i="54"/>
  <c r="O46" i="54"/>
  <c r="M46" i="54"/>
  <c r="L46" i="54"/>
  <c r="N46" i="54" s="1"/>
  <c r="K46" i="54"/>
  <c r="J46" i="54"/>
  <c r="I46" i="54"/>
  <c r="H46" i="54"/>
  <c r="G46" i="54"/>
  <c r="E46" i="54"/>
  <c r="Q45" i="54"/>
  <c r="Q46" i="54" s="1"/>
  <c r="O45" i="54"/>
  <c r="N45" i="54"/>
  <c r="I45" i="54"/>
  <c r="F45" i="54"/>
  <c r="N44" i="54"/>
  <c r="I44" i="54"/>
  <c r="F44" i="54"/>
  <c r="N43" i="54"/>
  <c r="N42" i="54"/>
  <c r="I42" i="54"/>
  <c r="F42" i="54"/>
  <c r="R41" i="54"/>
  <c r="R40" i="54"/>
  <c r="P40" i="54"/>
  <c r="M40" i="54"/>
  <c r="K40" i="54"/>
  <c r="K291" i="54" s="1"/>
  <c r="R39" i="54"/>
  <c r="P39" i="54"/>
  <c r="M39" i="54"/>
  <c r="L39" i="54"/>
  <c r="K39" i="54"/>
  <c r="K41" i="54" s="1"/>
  <c r="J39" i="54"/>
  <c r="H39" i="54"/>
  <c r="H41" i="54" s="1"/>
  <c r="H24" i="54" s="1"/>
  <c r="G39" i="54"/>
  <c r="G290" i="54" s="1"/>
  <c r="G289" i="54" s="1"/>
  <c r="G297" i="54" s="1"/>
  <c r="E39" i="54"/>
  <c r="N38" i="54"/>
  <c r="R37" i="54"/>
  <c r="Q37" i="54"/>
  <c r="P37" i="54"/>
  <c r="O37" i="54"/>
  <c r="M37" i="54"/>
  <c r="L37" i="54"/>
  <c r="K37" i="54"/>
  <c r="H37" i="54"/>
  <c r="G37" i="54"/>
  <c r="E37" i="54"/>
  <c r="K36" i="54"/>
  <c r="J36" i="54"/>
  <c r="I36" i="54" s="1"/>
  <c r="N35" i="54"/>
  <c r="N34" i="54"/>
  <c r="O33" i="54"/>
  <c r="N33" i="54"/>
  <c r="N32" i="54"/>
  <c r="N31" i="54"/>
  <c r="N30" i="54"/>
  <c r="N29" i="54"/>
  <c r="N28" i="54"/>
  <c r="R27" i="54"/>
  <c r="M27" i="54"/>
  <c r="H27" i="54"/>
  <c r="G27" i="54"/>
  <c r="F27" i="54"/>
  <c r="E27" i="54"/>
  <c r="R26" i="54"/>
  <c r="Q26" i="54"/>
  <c r="Q292" i="54" s="1"/>
  <c r="P26" i="54"/>
  <c r="P292" i="54" s="1"/>
  <c r="O26" i="54"/>
  <c r="O292" i="54" s="1"/>
  <c r="M26" i="54"/>
  <c r="M292" i="54" s="1"/>
  <c r="L26" i="54"/>
  <c r="R25" i="54"/>
  <c r="P25" i="54"/>
  <c r="M25" i="54"/>
  <c r="L25" i="54"/>
  <c r="K25" i="54"/>
  <c r="K27" i="54" s="1"/>
  <c r="J25" i="54"/>
  <c r="I25" i="54"/>
  <c r="F25" i="54"/>
  <c r="B15" i="54"/>
  <c r="A15" i="54"/>
  <c r="B14" i="54"/>
  <c r="A14" i="54"/>
  <c r="B13" i="54"/>
  <c r="A13" i="54"/>
  <c r="B12" i="54"/>
  <c r="A12" i="54"/>
  <c r="B11" i="54"/>
  <c r="A11" i="54"/>
  <c r="B10" i="54"/>
  <c r="A10" i="54"/>
  <c r="B9" i="54"/>
  <c r="A9" i="54"/>
  <c r="B8" i="54"/>
  <c r="A8" i="54"/>
  <c r="B7" i="54"/>
  <c r="A7" i="54"/>
  <c r="B6" i="54"/>
  <c r="A6" i="54"/>
  <c r="B5" i="54"/>
  <c r="A5" i="54"/>
  <c r="B4" i="54"/>
  <c r="A4" i="54"/>
  <c r="B4" i="49"/>
  <c r="B12" i="48"/>
  <c r="A12" i="48"/>
  <c r="B11" i="48"/>
  <c r="A11" i="48"/>
  <c r="B10" i="48"/>
  <c r="A10" i="48"/>
  <c r="I258" i="54" l="1"/>
  <c r="R256" i="54"/>
  <c r="I232" i="54"/>
  <c r="R174" i="54"/>
  <c r="I155" i="54"/>
  <c r="N155" i="54"/>
  <c r="K119" i="54"/>
  <c r="R97" i="54"/>
  <c r="F109" i="54"/>
  <c r="P74" i="54"/>
  <c r="M291" i="54"/>
  <c r="R47" i="54"/>
  <c r="I39" i="54"/>
  <c r="K24" i="54"/>
  <c r="N40" i="54"/>
  <c r="G41" i="54"/>
  <c r="G24" i="54" s="1"/>
  <c r="N312" i="54"/>
  <c r="H290" i="54"/>
  <c r="H302" i="54" s="1"/>
  <c r="N25" i="54"/>
  <c r="N313" i="54"/>
  <c r="K139" i="54"/>
  <c r="N139" i="54" s="1"/>
  <c r="K290" i="54"/>
  <c r="H275" i="54"/>
  <c r="I278" i="54"/>
  <c r="P291" i="54"/>
  <c r="J290" i="54"/>
  <c r="J27" i="54"/>
  <c r="Q135" i="54"/>
  <c r="R132" i="54"/>
  <c r="F225" i="54"/>
  <c r="H174" i="54"/>
  <c r="F174" i="54" s="1"/>
  <c r="F178" i="54"/>
  <c r="N27" i="54"/>
  <c r="N24" i="54" s="1"/>
  <c r="I178" i="54"/>
  <c r="E205" i="54"/>
  <c r="P313" i="54"/>
  <c r="F272" i="54"/>
  <c r="H269" i="54"/>
  <c r="F269" i="54" s="1"/>
  <c r="O312" i="54"/>
  <c r="L290" i="54"/>
  <c r="L41" i="54"/>
  <c r="N41" i="54" s="1"/>
  <c r="O39" i="54"/>
  <c r="N39" i="54"/>
  <c r="J74" i="54"/>
  <c r="I70" i="54"/>
  <c r="R221" i="54"/>
  <c r="I249" i="54"/>
  <c r="F249" i="54"/>
  <c r="H256" i="54"/>
  <c r="F256" i="54" s="1"/>
  <c r="F258" i="54"/>
  <c r="I272" i="54"/>
  <c r="N277" i="54"/>
  <c r="K278" i="54"/>
  <c r="K275" i="54" s="1"/>
  <c r="M298" i="54"/>
  <c r="I174" i="54"/>
  <c r="L275" i="54"/>
  <c r="N275" i="54" s="1"/>
  <c r="N278" i="54"/>
  <c r="O25" i="54"/>
  <c r="F53" i="54"/>
  <c r="H47" i="54"/>
  <c r="I53" i="54"/>
  <c r="L291" i="54"/>
  <c r="N291" i="54" s="1"/>
  <c r="N71" i="54"/>
  <c r="L74" i="54"/>
  <c r="N74" i="54" s="1"/>
  <c r="N195" i="54"/>
  <c r="L196" i="54"/>
  <c r="N196" i="54" s="1"/>
  <c r="R24" i="54"/>
  <c r="J37" i="54"/>
  <c r="I37" i="54" s="1"/>
  <c r="P41" i="54"/>
  <c r="K299" i="54"/>
  <c r="G47" i="54"/>
  <c r="N92" i="54"/>
  <c r="J208" i="54"/>
  <c r="I208" i="54" s="1"/>
  <c r="N249" i="54"/>
  <c r="L258" i="54"/>
  <c r="O313" i="54"/>
  <c r="F278" i="54"/>
  <c r="I291" i="54"/>
  <c r="F294" i="54"/>
  <c r="I294" i="54"/>
  <c r="H298" i="54"/>
  <c r="N53" i="54"/>
  <c r="L298" i="54"/>
  <c r="N298" i="54" s="1"/>
  <c r="N138" i="54"/>
  <c r="F139" i="54"/>
  <c r="I139" i="54"/>
  <c r="M41" i="54"/>
  <c r="K47" i="54"/>
  <c r="F114" i="54"/>
  <c r="H97" i="54"/>
  <c r="I114" i="54"/>
  <c r="Q33" i="54"/>
  <c r="R290" i="54"/>
  <c r="R289" i="54" s="1"/>
  <c r="R297" i="54" s="1"/>
  <c r="R306" i="54" s="1"/>
  <c r="E290" i="54"/>
  <c r="E289" i="54" s="1"/>
  <c r="E297" i="54" s="1"/>
  <c r="E41" i="54"/>
  <c r="F39" i="54"/>
  <c r="J41" i="54"/>
  <c r="I41" i="54" s="1"/>
  <c r="N59" i="54"/>
  <c r="Q92" i="54"/>
  <c r="P318" i="54"/>
  <c r="J132" i="54"/>
  <c r="I132" i="54" s="1"/>
  <c r="F157" i="54"/>
  <c r="I157" i="54"/>
  <c r="J200" i="54"/>
  <c r="P312" i="54"/>
  <c r="E47" i="54"/>
  <c r="I103" i="54"/>
  <c r="N137" i="54"/>
  <c r="N143" i="54"/>
  <c r="F144" i="54"/>
  <c r="K295" i="54"/>
  <c r="N175" i="54"/>
  <c r="F231" i="54"/>
  <c r="I265" i="54"/>
  <c r="H266" i="54"/>
  <c r="F268" i="54"/>
  <c r="M290" i="54"/>
  <c r="M289" i="54" s="1"/>
  <c r="M297" i="54" s="1"/>
  <c r="M306" i="54" s="1"/>
  <c r="F46" i="54"/>
  <c r="F74" i="54"/>
  <c r="L295" i="54"/>
  <c r="L178" i="54"/>
  <c r="N176" i="54"/>
  <c r="I195" i="54"/>
  <c r="J196" i="54"/>
  <c r="I196" i="54" s="1"/>
  <c r="H211" i="54"/>
  <c r="F211" i="54" s="1"/>
  <c r="F213" i="54"/>
  <c r="I231" i="54"/>
  <c r="I268" i="54"/>
  <c r="N272" i="54"/>
  <c r="L269" i="54"/>
  <c r="N269" i="54" s="1"/>
  <c r="N292" i="54"/>
  <c r="E132" i="54"/>
  <c r="F132" i="54" s="1"/>
  <c r="L144" i="54"/>
  <c r="N144" i="54" s="1"/>
  <c r="F156" i="54"/>
  <c r="H221" i="54"/>
  <c r="F221" i="54" s="1"/>
  <c r="J221" i="54"/>
  <c r="P290" i="54"/>
  <c r="P289" i="54" s="1"/>
  <c r="P297" i="54" s="1"/>
  <c r="P306" i="54" s="1"/>
  <c r="P298" i="54"/>
  <c r="I298" i="54"/>
  <c r="E97" i="54"/>
  <c r="N231" i="54"/>
  <c r="N268" i="54"/>
  <c r="I295" i="54"/>
  <c r="O318" i="54"/>
  <c r="L106" i="51"/>
  <c r="N119" i="54" l="1"/>
  <c r="K97" i="54"/>
  <c r="H289" i="54"/>
  <c r="N315" i="54"/>
  <c r="N316" i="54" s="1"/>
  <c r="I275" i="54"/>
  <c r="F275" i="54"/>
  <c r="Q313" i="54"/>
  <c r="L317" i="54"/>
  <c r="L319" i="54" s="1"/>
  <c r="Q39" i="54"/>
  <c r="Q41" i="54" s="1"/>
  <c r="O41" i="54"/>
  <c r="N258" i="54"/>
  <c r="N178" i="54"/>
  <c r="Q25" i="54"/>
  <c r="I256" i="54"/>
  <c r="F47" i="54"/>
  <c r="N290" i="54"/>
  <c r="L289" i="54"/>
  <c r="I221" i="54"/>
  <c r="N295" i="54"/>
  <c r="P315" i="54"/>
  <c r="P316" i="54" s="1"/>
  <c r="I269" i="54"/>
  <c r="H299" i="54"/>
  <c r="I299" i="54" s="1"/>
  <c r="O315" i="54"/>
  <c r="Q312" i="54"/>
  <c r="J24" i="54"/>
  <c r="I24" i="54" s="1"/>
  <c r="I27" i="54"/>
  <c r="I211" i="54"/>
  <c r="E24" i="54"/>
  <c r="F24" i="54" s="1"/>
  <c r="F41" i="54"/>
  <c r="N321" i="54"/>
  <c r="N310" i="54" s="1"/>
  <c r="K289" i="54"/>
  <c r="K297" i="54" s="1"/>
  <c r="K306" i="54" s="1"/>
  <c r="K307" i="54" s="1"/>
  <c r="K304" i="54"/>
  <c r="I266" i="54"/>
  <c r="F266" i="54"/>
  <c r="F290" i="54"/>
  <c r="O320" i="54"/>
  <c r="I290" i="54"/>
  <c r="J289" i="54"/>
  <c r="E208" i="54"/>
  <c r="E210" i="54" s="1"/>
  <c r="I200" i="54"/>
  <c r="J202" i="54"/>
  <c r="I202" i="54" s="1"/>
  <c r="I97" i="54"/>
  <c r="F97" i="54"/>
  <c r="H297" i="54"/>
  <c r="F297" i="54" s="1"/>
  <c r="F289" i="54"/>
  <c r="O290" i="54"/>
  <c r="O289" i="54" s="1"/>
  <c r="O297" i="54" s="1"/>
  <c r="K132" i="54"/>
  <c r="I74" i="54"/>
  <c r="J47" i="54"/>
  <c r="I47" i="54" s="1"/>
  <c r="L47" i="47"/>
  <c r="O306" i="54" l="1"/>
  <c r="O316" i="54"/>
  <c r="Q315" i="54"/>
  <c r="J297" i="54"/>
  <c r="I297" i="54" s="1"/>
  <c r="I289" i="54"/>
  <c r="Q290" i="54"/>
  <c r="Q289" i="54" s="1"/>
  <c r="Q297" i="54" s="1"/>
  <c r="Q310" i="54" s="1"/>
  <c r="P320" i="54"/>
  <c r="L297" i="54"/>
  <c r="N289" i="54"/>
  <c r="Q210" i="56"/>
  <c r="I73" i="52"/>
  <c r="L153" i="50"/>
  <c r="L102" i="50"/>
  <c r="L67" i="50"/>
  <c r="L46" i="50"/>
  <c r="L42" i="50"/>
  <c r="L27" i="50"/>
  <c r="M140" i="49"/>
  <c r="M134" i="49"/>
  <c r="M122" i="49"/>
  <c r="M119" i="49"/>
  <c r="L60" i="48"/>
  <c r="L42" i="48"/>
  <c r="L35" i="48"/>
  <c r="L37" i="48" s="1"/>
  <c r="L115" i="47"/>
  <c r="L26" i="56"/>
  <c r="Q306" i="54" l="1"/>
  <c r="Q299" i="54"/>
  <c r="L306" i="54"/>
  <c r="N297" i="54"/>
  <c r="L299" i="54"/>
  <c r="O299" i="54"/>
  <c r="L175" i="50"/>
  <c r="L112" i="48"/>
  <c r="K31" i="60"/>
  <c r="I144" i="52"/>
  <c r="E43" i="60" l="1"/>
  <c r="I187" i="52"/>
  <c r="I168" i="52"/>
  <c r="L47" i="51" l="1"/>
  <c r="E31" i="60"/>
  <c r="E27" i="60"/>
  <c r="E23" i="60"/>
  <c r="L59" i="48"/>
  <c r="L61" i="48" s="1"/>
  <c r="L15" i="46"/>
  <c r="L87" i="46" s="1"/>
  <c r="L23" i="46"/>
  <c r="E7" i="60"/>
  <c r="L133" i="56"/>
  <c r="L134" i="56"/>
  <c r="L136" i="56" l="1"/>
  <c r="L167" i="51"/>
  <c r="E35" i="60"/>
  <c r="E15" i="60"/>
  <c r="L94" i="48"/>
  <c r="M286" i="49" l="1"/>
  <c r="K39" i="60"/>
  <c r="K43" i="60"/>
  <c r="M236" i="49"/>
  <c r="L111" i="48"/>
  <c r="K35" i="60"/>
  <c r="M272" i="49"/>
  <c r="L253" i="45"/>
  <c r="L291" i="45"/>
  <c r="K11" i="60"/>
  <c r="L47" i="60"/>
  <c r="CT43" i="60"/>
  <c r="CS43" i="60"/>
  <c r="CT39" i="60"/>
  <c r="CS39" i="60"/>
  <c r="CT35" i="60"/>
  <c r="CS35" i="60"/>
  <c r="CT27" i="60"/>
  <c r="CS27" i="60"/>
  <c r="CT23" i="60"/>
  <c r="CS23" i="60"/>
  <c r="CT11" i="60"/>
  <c r="CS11" i="60"/>
  <c r="L25" i="52"/>
  <c r="I134" i="52"/>
  <c r="CR43" i="60"/>
  <c r="CR39" i="60"/>
  <c r="CR35" i="60"/>
  <c r="CR27" i="60"/>
  <c r="CR23" i="60"/>
  <c r="CR11" i="60"/>
  <c r="L79" i="48"/>
  <c r="Q87" i="46"/>
  <c r="P87" i="46"/>
  <c r="O87" i="46"/>
  <c r="L53" i="46"/>
  <c r="L368" i="45"/>
  <c r="K15" i="60" l="1"/>
  <c r="CR47" i="60"/>
  <c r="J56" i="60" s="1"/>
  <c r="CS47" i="60"/>
  <c r="CT47" i="60"/>
  <c r="N16" i="49" l="1"/>
  <c r="P166" i="49"/>
  <c r="P194" i="49"/>
  <c r="P203" i="49"/>
  <c r="P213" i="49"/>
  <c r="P236" i="49"/>
  <c r="P239" i="49"/>
  <c r="P256" i="49"/>
  <c r="CF11" i="60"/>
  <c r="M11" i="60"/>
  <c r="L205" i="52"/>
  <c r="CF43" i="60"/>
  <c r="P285" i="49" l="1"/>
  <c r="AK155" i="49"/>
  <c r="M27" i="60"/>
  <c r="CY35" i="60" l="1"/>
  <c r="CX35" i="60"/>
  <c r="CX31" i="60"/>
  <c r="CX15" i="60"/>
  <c r="CQ27" i="60"/>
  <c r="CQ47" i="60" s="1"/>
  <c r="CG43" i="60" l="1"/>
  <c r="CG39" i="60"/>
  <c r="CG35" i="60"/>
  <c r="CF27" i="60"/>
  <c r="CF40" i="60"/>
  <c r="CG15" i="60"/>
  <c r="CG7" i="60"/>
  <c r="CF8" i="60"/>
  <c r="BR39" i="60" l="1"/>
  <c r="P83" i="46" l="1"/>
  <c r="AA48" i="60"/>
  <c r="AB48" i="60"/>
  <c r="Z48" i="60"/>
  <c r="Y48" i="60"/>
  <c r="I72" i="52"/>
  <c r="Z39" i="60" s="1"/>
  <c r="Z42" i="60" s="1"/>
  <c r="AB39" i="60"/>
  <c r="AB42" i="60" s="1"/>
  <c r="AA39" i="60"/>
  <c r="AA42" i="60" s="1"/>
  <c r="Y18" i="60"/>
  <c r="AB7" i="60"/>
  <c r="AA7" i="60"/>
  <c r="Z7" i="60"/>
  <c r="Z10" i="60" s="1"/>
  <c r="Q17" i="46"/>
  <c r="AB15" i="60" s="1"/>
  <c r="AB18" i="60" s="1"/>
  <c r="O17" i="46"/>
  <c r="O83" i="46" s="1"/>
  <c r="L17" i="46"/>
  <c r="L83" i="46" s="1"/>
  <c r="Z15" i="60" l="1"/>
  <c r="Z18" i="60" s="1"/>
  <c r="AA15" i="60"/>
  <c r="AA18" i="60" s="1"/>
  <c r="Q83" i="46"/>
  <c r="AB10" i="60"/>
  <c r="AA10" i="60"/>
  <c r="Z43" i="60"/>
  <c r="Z46" i="60" s="1"/>
  <c r="K93" i="52"/>
  <c r="K87" i="52"/>
  <c r="K28" i="52"/>
  <c r="K22" i="52"/>
  <c r="L178" i="52"/>
  <c r="L182" i="52" s="1"/>
  <c r="K171" i="52"/>
  <c r="L168" i="52"/>
  <c r="K132" i="52"/>
  <c r="K126" i="52"/>
  <c r="K120" i="52"/>
  <c r="Q21" i="51"/>
  <c r="O21" i="51"/>
  <c r="N21" i="51"/>
  <c r="N18" i="51"/>
  <c r="N156" i="51"/>
  <c r="N155" i="51"/>
  <c r="N153" i="51"/>
  <c r="N152" i="51"/>
  <c r="N151" i="51"/>
  <c r="N146" i="51"/>
  <c r="N142" i="51"/>
  <c r="N119" i="51"/>
  <c r="N117" i="51"/>
  <c r="N115" i="51"/>
  <c r="N114" i="51"/>
  <c r="N112" i="51"/>
  <c r="N111" i="51"/>
  <c r="N104" i="51"/>
  <c r="N103" i="51"/>
  <c r="N102" i="51"/>
  <c r="N101" i="51"/>
  <c r="N100" i="51"/>
  <c r="N99" i="51"/>
  <c r="N98" i="51"/>
  <c r="N96" i="51"/>
  <c r="N95" i="51"/>
  <c r="N94" i="51"/>
  <c r="N93" i="51"/>
  <c r="N92" i="51"/>
  <c r="N91" i="51"/>
  <c r="N90" i="51"/>
  <c r="N89" i="51"/>
  <c r="N84" i="51"/>
  <c r="N82" i="51"/>
  <c r="N81" i="51"/>
  <c r="N80" i="51"/>
  <c r="N79" i="51"/>
  <c r="N78" i="51"/>
  <c r="N77" i="51"/>
  <c r="N76" i="51"/>
  <c r="N75" i="51"/>
  <c r="N74" i="51"/>
  <c r="N73" i="51"/>
  <c r="N72" i="51"/>
  <c r="N65" i="51"/>
  <c r="N64" i="51"/>
  <c r="N62" i="51"/>
  <c r="N61" i="51"/>
  <c r="N60" i="51"/>
  <c r="N59" i="51"/>
  <c r="N58" i="51"/>
  <c r="N57" i="51"/>
  <c r="N56" i="51"/>
  <c r="N55" i="51"/>
  <c r="N54" i="51"/>
  <c r="N53" i="51"/>
  <c r="N52" i="51"/>
  <c r="N51" i="51"/>
  <c r="N47" i="51"/>
  <c r="N45" i="51"/>
  <c r="N44" i="51"/>
  <c r="N43" i="51"/>
  <c r="N42" i="51"/>
  <c r="N41" i="51"/>
  <c r="N29" i="51"/>
  <c r="N26" i="51"/>
  <c r="N25" i="51"/>
  <c r="N24" i="51"/>
  <c r="N23" i="51"/>
  <c r="N19" i="51"/>
  <c r="Q168" i="51"/>
  <c r="O168" i="51"/>
  <c r="L168" i="51"/>
  <c r="L121" i="51"/>
  <c r="L176" i="50"/>
  <c r="L86" i="50"/>
  <c r="N164" i="50"/>
  <c r="N163" i="50"/>
  <c r="N162" i="50"/>
  <c r="N160" i="50"/>
  <c r="N159" i="50"/>
  <c r="N158" i="50"/>
  <c r="N156" i="50"/>
  <c r="N155" i="50"/>
  <c r="N154" i="50"/>
  <c r="N148" i="50"/>
  <c r="N147" i="50"/>
  <c r="N146" i="50"/>
  <c r="N144" i="50"/>
  <c r="N143" i="50"/>
  <c r="N142" i="50"/>
  <c r="N139" i="50"/>
  <c r="N138" i="50"/>
  <c r="N133" i="50"/>
  <c r="N131" i="50"/>
  <c r="N128" i="50"/>
  <c r="N127" i="50"/>
  <c r="N126" i="50"/>
  <c r="N125" i="50"/>
  <c r="N124" i="50"/>
  <c r="N123" i="50"/>
  <c r="N122" i="50"/>
  <c r="N121" i="50"/>
  <c r="N120" i="50"/>
  <c r="N119" i="50"/>
  <c r="N118" i="50"/>
  <c r="N117" i="50"/>
  <c r="N116" i="50"/>
  <c r="N115" i="50"/>
  <c r="N113" i="50"/>
  <c r="N111" i="50"/>
  <c r="N109" i="50"/>
  <c r="N107" i="50"/>
  <c r="N105" i="50"/>
  <c r="N103" i="50"/>
  <c r="N97" i="50"/>
  <c r="N96" i="50"/>
  <c r="N93" i="50"/>
  <c r="N92" i="50"/>
  <c r="N91" i="50"/>
  <c r="N89" i="50"/>
  <c r="N88" i="50"/>
  <c r="N87" i="50"/>
  <c r="N84" i="50"/>
  <c r="N83" i="50"/>
  <c r="N81" i="50"/>
  <c r="N80" i="50"/>
  <c r="N78" i="50"/>
  <c r="N77" i="50"/>
  <c r="N76" i="50"/>
  <c r="N74" i="50"/>
  <c r="N73" i="50"/>
  <c r="N72" i="50"/>
  <c r="N70" i="50"/>
  <c r="N69" i="50"/>
  <c r="N68" i="50"/>
  <c r="N65" i="50"/>
  <c r="N62" i="50"/>
  <c r="N61" i="50"/>
  <c r="N60" i="50"/>
  <c r="N58" i="50"/>
  <c r="N57" i="50"/>
  <c r="N56" i="50"/>
  <c r="N54" i="50"/>
  <c r="N53" i="50"/>
  <c r="N52" i="50"/>
  <c r="N48" i="50"/>
  <c r="N45" i="50"/>
  <c r="N43" i="50"/>
  <c r="N39" i="50"/>
  <c r="N37" i="50"/>
  <c r="N36" i="50"/>
  <c r="N28" i="50"/>
  <c r="N25" i="50"/>
  <c r="N21" i="50"/>
  <c r="N17" i="50"/>
  <c r="N16" i="50"/>
  <c r="N14" i="50"/>
  <c r="N13" i="50"/>
  <c r="P286" i="49"/>
  <c r="R194" i="49"/>
  <c r="N178" i="52" l="1"/>
  <c r="N168" i="52"/>
  <c r="M19" i="49"/>
  <c r="R203" i="49"/>
  <c r="Q122" i="49"/>
  <c r="P122" i="49" s="1"/>
  <c r="P199" i="49"/>
  <c r="P197" i="49"/>
  <c r="P193" i="49" s="1"/>
  <c r="R179" i="49"/>
  <c r="R197" i="49" l="1"/>
  <c r="R199" i="49"/>
  <c r="O153" i="49"/>
  <c r="M61" i="49"/>
  <c r="M20" i="49"/>
  <c r="O276" i="49"/>
  <c r="O275" i="49"/>
  <c r="O274" i="49"/>
  <c r="O273" i="49"/>
  <c r="O270" i="49"/>
  <c r="O265" i="49"/>
  <c r="O263" i="49"/>
  <c r="O261" i="49"/>
  <c r="O252" i="49"/>
  <c r="O251" i="49"/>
  <c r="O250" i="49"/>
  <c r="O248" i="49"/>
  <c r="O246" i="49"/>
  <c r="O244" i="49"/>
  <c r="O242" i="49"/>
  <c r="O234" i="49"/>
  <c r="O233" i="49"/>
  <c r="O231" i="49"/>
  <c r="O230" i="49"/>
  <c r="O226" i="49"/>
  <c r="O222" i="49"/>
  <c r="O221" i="49"/>
  <c r="O220" i="49"/>
  <c r="O218" i="49"/>
  <c r="O217" i="49"/>
  <c r="O216" i="49"/>
  <c r="O206" i="49"/>
  <c r="O205" i="49"/>
  <c r="O202" i="49"/>
  <c r="O201" i="49"/>
  <c r="O200" i="49"/>
  <c r="O199" i="49"/>
  <c r="O198" i="49"/>
  <c r="O197" i="49"/>
  <c r="O195" i="49"/>
  <c r="O189" i="49"/>
  <c r="O187" i="49"/>
  <c r="O186" i="49"/>
  <c r="O185" i="49"/>
  <c r="O184" i="49"/>
  <c r="O183" i="49"/>
  <c r="O182" i="49"/>
  <c r="O175" i="49"/>
  <c r="O174" i="49"/>
  <c r="O171" i="49"/>
  <c r="O170" i="49"/>
  <c r="O162" i="49"/>
  <c r="O161" i="49"/>
  <c r="O158" i="49"/>
  <c r="O157" i="49"/>
  <c r="O156" i="49"/>
  <c r="O150" i="49"/>
  <c r="O146" i="49"/>
  <c r="O145" i="49"/>
  <c r="O144" i="49"/>
  <c r="O141" i="49"/>
  <c r="O139" i="49"/>
  <c r="O138" i="49"/>
  <c r="O136" i="49"/>
  <c r="O133" i="49"/>
  <c r="O132" i="49"/>
  <c r="O130" i="49"/>
  <c r="O128" i="49"/>
  <c r="O127" i="49"/>
  <c r="O126" i="49"/>
  <c r="O125" i="49"/>
  <c r="O124" i="49"/>
  <c r="O120" i="49"/>
  <c r="O117" i="49"/>
  <c r="O115" i="49"/>
  <c r="O114" i="49"/>
  <c r="O113" i="49"/>
  <c r="O112" i="49"/>
  <c r="O107" i="49"/>
  <c r="O104" i="49"/>
  <c r="O103" i="49"/>
  <c r="O101" i="49"/>
  <c r="O99" i="49"/>
  <c r="O98" i="49"/>
  <c r="O97" i="49"/>
  <c r="O94" i="49"/>
  <c r="O93" i="49"/>
  <c r="O92" i="49"/>
  <c r="O91" i="49"/>
  <c r="O88" i="49"/>
  <c r="O87" i="49"/>
  <c r="O86" i="49"/>
  <c r="O85" i="49"/>
  <c r="O84" i="49"/>
  <c r="O83" i="49"/>
  <c r="O82" i="49"/>
  <c r="O81" i="49"/>
  <c r="O80" i="49"/>
  <c r="O79" i="49"/>
  <c r="O78" i="49"/>
  <c r="O76" i="49"/>
  <c r="O74" i="49"/>
  <c r="O73" i="49"/>
  <c r="O72" i="49"/>
  <c r="O69" i="49"/>
  <c r="O68" i="49"/>
  <c r="O67" i="49"/>
  <c r="O66" i="49"/>
  <c r="O65" i="49"/>
  <c r="O64" i="49"/>
  <c r="O58" i="49"/>
  <c r="O57" i="49"/>
  <c r="O56" i="49"/>
  <c r="O55" i="49"/>
  <c r="O54" i="49"/>
  <c r="O53" i="49"/>
  <c r="O52" i="49"/>
  <c r="O51" i="49"/>
  <c r="O50" i="49"/>
  <c r="O47" i="49"/>
  <c r="O46" i="49"/>
  <c r="O44" i="49"/>
  <c r="O43" i="49"/>
  <c r="O42" i="49"/>
  <c r="O40" i="49"/>
  <c r="O39" i="49"/>
  <c r="O37" i="49"/>
  <c r="O36" i="49"/>
  <c r="O34" i="49"/>
  <c r="O31" i="49"/>
  <c r="O28" i="49"/>
  <c r="N27" i="49"/>
  <c r="S33" i="49"/>
  <c r="R33" i="49"/>
  <c r="Q33" i="49"/>
  <c r="M288" i="49" l="1"/>
  <c r="CX27" i="60"/>
  <c r="R193" i="49"/>
  <c r="O79" i="48"/>
  <c r="N57" i="48" l="1"/>
  <c r="N30" i="48"/>
  <c r="N94" i="48"/>
  <c r="N91" i="48"/>
  <c r="N88" i="48"/>
  <c r="N87" i="48"/>
  <c r="N86" i="48"/>
  <c r="N85" i="48"/>
  <c r="N83" i="48"/>
  <c r="N81" i="48"/>
  <c r="N68" i="48"/>
  <c r="N66" i="48"/>
  <c r="N65" i="48"/>
  <c r="N64" i="48"/>
  <c r="N63" i="48"/>
  <c r="N62" i="48"/>
  <c r="N54" i="48"/>
  <c r="N52" i="48"/>
  <c r="N50" i="48"/>
  <c r="N48" i="48"/>
  <c r="N43" i="48"/>
  <c r="N40" i="48"/>
  <c r="N33" i="48"/>
  <c r="N32" i="48"/>
  <c r="N31" i="48"/>
  <c r="N28" i="48"/>
  <c r="N23" i="48"/>
  <c r="M104" i="48"/>
  <c r="L101" i="47"/>
  <c r="O37" i="47"/>
  <c r="L37" i="47"/>
  <c r="N37" i="47"/>
  <c r="O79" i="45"/>
  <c r="Q79" i="45"/>
  <c r="P79" i="45"/>
  <c r="N290" i="45"/>
  <c r="N345" i="45"/>
  <c r="N358" i="45"/>
  <c r="N357" i="45"/>
  <c r="N356" i="45"/>
  <c r="N353" i="45"/>
  <c r="N351" i="45"/>
  <c r="N349" i="45"/>
  <c r="N347" i="45"/>
  <c r="N343" i="45"/>
  <c r="N342" i="45"/>
  <c r="N341" i="45"/>
  <c r="N340" i="45"/>
  <c r="N338" i="45"/>
  <c r="N337" i="45"/>
  <c r="N336" i="45"/>
  <c r="N335" i="45"/>
  <c r="N333" i="45"/>
  <c r="N332" i="45"/>
  <c r="N331" i="45"/>
  <c r="N330" i="45"/>
  <c r="N329" i="45"/>
  <c r="N322" i="45"/>
  <c r="N321" i="45"/>
  <c r="N320" i="45"/>
  <c r="N319" i="45"/>
  <c r="N317" i="45"/>
  <c r="N316" i="45"/>
  <c r="N315" i="45"/>
  <c r="N314" i="45"/>
  <c r="N312" i="45"/>
  <c r="N311" i="45"/>
  <c r="N310" i="45"/>
  <c r="N309" i="45"/>
  <c r="N308" i="45"/>
  <c r="N307" i="45"/>
  <c r="N306" i="45"/>
  <c r="N299" i="45"/>
  <c r="N297" i="45"/>
  <c r="N284" i="45"/>
  <c r="N283" i="45"/>
  <c r="N279" i="45"/>
  <c r="N278" i="45"/>
  <c r="N274" i="45"/>
  <c r="N273" i="45"/>
  <c r="N271" i="45"/>
  <c r="N270" i="45"/>
  <c r="N269" i="45"/>
  <c r="N268" i="45"/>
  <c r="N260" i="45"/>
  <c r="N258" i="45"/>
  <c r="N246" i="45"/>
  <c r="N244" i="45"/>
  <c r="N243" i="45"/>
  <c r="N236" i="45"/>
  <c r="N235" i="45"/>
  <c r="N229" i="45"/>
  <c r="N228" i="45"/>
  <c r="N227" i="45"/>
  <c r="N226" i="45"/>
  <c r="N224" i="45"/>
  <c r="N223" i="45"/>
  <c r="N222" i="45"/>
  <c r="N221" i="45"/>
  <c r="N220" i="45"/>
  <c r="N218" i="45"/>
  <c r="N217" i="45"/>
  <c r="N216" i="45"/>
  <c r="N207" i="45"/>
  <c r="N206" i="45"/>
  <c r="N205" i="45"/>
  <c r="N204" i="45"/>
  <c r="N199" i="45"/>
  <c r="N198" i="45"/>
  <c r="N197" i="45"/>
  <c r="N196" i="45"/>
  <c r="N195" i="45"/>
  <c r="N194" i="45"/>
  <c r="N193" i="45"/>
  <c r="N185" i="45"/>
  <c r="N181" i="45"/>
  <c r="N180" i="45"/>
  <c r="N179" i="45"/>
  <c r="N178" i="45"/>
  <c r="N177" i="45"/>
  <c r="N176" i="45"/>
  <c r="N175" i="45"/>
  <c r="N174" i="45"/>
  <c r="N173" i="45"/>
  <c r="N172" i="45"/>
  <c r="N170" i="45"/>
  <c r="N165" i="45"/>
  <c r="N164" i="45"/>
  <c r="N160" i="45"/>
  <c r="N159" i="45"/>
  <c r="N158" i="45"/>
  <c r="N157" i="45"/>
  <c r="N156" i="45"/>
  <c r="N154" i="45"/>
  <c r="N153" i="45"/>
  <c r="N152" i="45"/>
  <c r="N151" i="45"/>
  <c r="N150" i="45"/>
  <c r="N148" i="45"/>
  <c r="N147" i="45"/>
  <c r="N146" i="45"/>
  <c r="N145" i="45"/>
  <c r="N144" i="45"/>
  <c r="N142" i="45"/>
  <c r="N141" i="45"/>
  <c r="N140" i="45"/>
  <c r="N139" i="45"/>
  <c r="N138" i="45"/>
  <c r="N136" i="45"/>
  <c r="N135" i="45"/>
  <c r="N134" i="45"/>
  <c r="N133" i="45"/>
  <c r="N132" i="45"/>
  <c r="N130" i="45"/>
  <c r="N129" i="45"/>
  <c r="N128" i="45"/>
  <c r="N127" i="45"/>
  <c r="N126" i="45"/>
  <c r="N124" i="45"/>
  <c r="N123" i="45"/>
  <c r="N122" i="45"/>
  <c r="N121" i="45"/>
  <c r="N120" i="45"/>
  <c r="N118" i="45"/>
  <c r="N117" i="45"/>
  <c r="N116" i="45"/>
  <c r="N115" i="45"/>
  <c r="N114" i="45"/>
  <c r="N112" i="45"/>
  <c r="N111" i="45"/>
  <c r="N109" i="45"/>
  <c r="N108" i="45"/>
  <c r="N107" i="45"/>
  <c r="N105" i="45"/>
  <c r="N104" i="45"/>
  <c r="N101" i="45"/>
  <c r="N100" i="45"/>
  <c r="N98" i="45"/>
  <c r="N97" i="45"/>
  <c r="N94" i="45"/>
  <c r="N93" i="45"/>
  <c r="N91" i="45"/>
  <c r="N90" i="45"/>
  <c r="N88" i="45"/>
  <c r="N87" i="45"/>
  <c r="N86" i="45"/>
  <c r="N84" i="45"/>
  <c r="N82" i="45"/>
  <c r="N80" i="45"/>
  <c r="N77" i="45"/>
  <c r="N73" i="45"/>
  <c r="N72" i="45"/>
  <c r="N71" i="45"/>
  <c r="N69" i="45"/>
  <c r="N68" i="45"/>
  <c r="N66" i="45"/>
  <c r="N64" i="45"/>
  <c r="N63" i="45"/>
  <c r="N62" i="45"/>
  <c r="N60" i="45"/>
  <c r="N58" i="45"/>
  <c r="N57" i="45"/>
  <c r="N55" i="45"/>
  <c r="N53" i="45"/>
  <c r="N52" i="45"/>
  <c r="N51" i="45"/>
  <c r="N49" i="45"/>
  <c r="N48" i="45"/>
  <c r="N46" i="45"/>
  <c r="N44" i="45"/>
  <c r="N43" i="45"/>
  <c r="N42" i="45"/>
  <c r="N41" i="45"/>
  <c r="N39" i="45"/>
  <c r="N38" i="45"/>
  <c r="N37" i="45"/>
  <c r="N36" i="45"/>
  <c r="N34" i="45"/>
  <c r="N33" i="45"/>
  <c r="N32" i="45"/>
  <c r="N31" i="45"/>
  <c r="N29" i="45"/>
  <c r="N28" i="45"/>
  <c r="N27" i="45"/>
  <c r="N26" i="45"/>
  <c r="N24" i="45"/>
  <c r="N23" i="45"/>
  <c r="N22" i="45"/>
  <c r="N21" i="45"/>
  <c r="N43" i="46"/>
  <c r="N76" i="46"/>
  <c r="N73" i="46"/>
  <c r="N71" i="46"/>
  <c r="N70" i="46"/>
  <c r="N69" i="46"/>
  <c r="N67" i="46"/>
  <c r="N66" i="46"/>
  <c r="N65" i="46"/>
  <c r="N64" i="46"/>
  <c r="N49" i="46"/>
  <c r="N48" i="46"/>
  <c r="N47" i="46"/>
  <c r="N42" i="46"/>
  <c r="N41" i="46"/>
  <c r="N40" i="46"/>
  <c r="N39" i="46"/>
  <c r="N38" i="46"/>
  <c r="N37" i="46"/>
  <c r="N36" i="46"/>
  <c r="N34" i="46"/>
  <c r="N33" i="46"/>
  <c r="N22" i="46"/>
  <c r="N23" i="46"/>
  <c r="N25" i="46"/>
  <c r="N26" i="46"/>
  <c r="N27" i="46"/>
  <c r="N28" i="46"/>
  <c r="N21" i="46"/>
  <c r="L83" i="45" l="1"/>
  <c r="L364" i="45"/>
  <c r="L231" i="45"/>
  <c r="L230" i="45"/>
  <c r="O230" i="45" s="1"/>
  <c r="Q230" i="45" s="1"/>
  <c r="Q246" i="45"/>
  <c r="O246" i="45"/>
  <c r="O244" i="45"/>
  <c r="Q244" i="45" s="1"/>
  <c r="O235" i="45"/>
  <c r="Q96" i="56"/>
  <c r="O96" i="56"/>
  <c r="L96" i="56"/>
  <c r="O168" i="45"/>
  <c r="L81" i="45"/>
  <c r="O22" i="45"/>
  <c r="O19" i="45"/>
  <c r="M16" i="45"/>
  <c r="BS39" i="60"/>
  <c r="BS19" i="60"/>
  <c r="BS7" i="60"/>
  <c r="I204" i="52"/>
  <c r="M18" i="49"/>
  <c r="L19" i="47"/>
  <c r="L17" i="45"/>
  <c r="N125" i="56"/>
  <c r="N27" i="56"/>
  <c r="L20" i="56"/>
  <c r="BR7" i="60" s="1"/>
  <c r="P198" i="56"/>
  <c r="O68" i="56"/>
  <c r="Q68" i="56" s="1"/>
  <c r="O38" i="56"/>
  <c r="Q38" i="56" s="1"/>
  <c r="O81" i="45" l="1"/>
  <c r="Q81" i="45" s="1"/>
  <c r="AH11" i="60"/>
  <c r="AH14" i="60" s="1"/>
  <c r="BS11" i="60"/>
  <c r="Q235" i="45"/>
  <c r="BS47" i="60"/>
  <c r="BS49" i="60" s="1"/>
  <c r="AJ39" i="60"/>
  <c r="AJ42" i="60" s="1"/>
  <c r="AJ7" i="60"/>
  <c r="AI7" i="60"/>
  <c r="AH7" i="60"/>
  <c r="R75" i="49"/>
  <c r="P75" i="49"/>
  <c r="M75" i="49"/>
  <c r="AH10" i="60" l="1"/>
  <c r="AI10" i="60"/>
  <c r="AJ10" i="60"/>
  <c r="L79" i="45"/>
  <c r="L211" i="56"/>
  <c r="L61" i="56"/>
  <c r="L212" i="56"/>
  <c r="R59" i="49"/>
  <c r="P59" i="49"/>
  <c r="M59" i="49"/>
  <c r="O59" i="49" s="1"/>
  <c r="Q16" i="46"/>
  <c r="O16" i="46"/>
  <c r="L16" i="46"/>
  <c r="Q201" i="45"/>
  <c r="O201" i="45"/>
  <c r="Q20" i="50"/>
  <c r="O20" i="50"/>
  <c r="L20" i="50"/>
  <c r="N20" i="50" s="1"/>
  <c r="CN31" i="60" l="1"/>
  <c r="CM31" i="60"/>
  <c r="CK31" i="60"/>
  <c r="L107" i="51" l="1"/>
  <c r="L86" i="51"/>
  <c r="L69" i="51"/>
  <c r="L68" i="51"/>
  <c r="L39" i="51"/>
  <c r="L38" i="51"/>
  <c r="L37" i="51"/>
  <c r="L109" i="51" l="1"/>
  <c r="N229" i="49"/>
  <c r="P229" i="49"/>
  <c r="Q229" i="49"/>
  <c r="R229" i="49"/>
  <c r="S229" i="49"/>
  <c r="M229" i="49"/>
  <c r="J77" i="52" l="1"/>
  <c r="I77" i="52"/>
  <c r="I70" i="52"/>
  <c r="J70" i="52"/>
  <c r="K216" i="56" l="1"/>
  <c r="BF39" i="60" l="1"/>
  <c r="BF19" i="60" l="1"/>
  <c r="O30" i="47"/>
  <c r="N119" i="47" l="1"/>
  <c r="N118" i="47"/>
  <c r="N117" i="47"/>
  <c r="N114" i="47"/>
  <c r="N113" i="47"/>
  <c r="N112" i="47"/>
  <c r="N110" i="47"/>
  <c r="N109" i="47"/>
  <c r="N106" i="47"/>
  <c r="N105" i="47"/>
  <c r="N104" i="47"/>
  <c r="N103" i="47"/>
  <c r="N99" i="47"/>
  <c r="N98" i="47"/>
  <c r="N97" i="47"/>
  <c r="N94" i="47"/>
  <c r="N89" i="47"/>
  <c r="N88" i="47"/>
  <c r="N87" i="47"/>
  <c r="N86" i="47"/>
  <c r="N82" i="47"/>
  <c r="N80" i="47"/>
  <c r="N79" i="47"/>
  <c r="N76" i="47"/>
  <c r="N75" i="47"/>
  <c r="N72" i="47"/>
  <c r="N71" i="47"/>
  <c r="N67" i="47"/>
  <c r="N66" i="47"/>
  <c r="N65" i="47"/>
  <c r="N64" i="47"/>
  <c r="N62" i="47"/>
  <c r="N61" i="47"/>
  <c r="N60" i="47"/>
  <c r="N59" i="47"/>
  <c r="N58" i="47"/>
  <c r="N57" i="47"/>
  <c r="N54" i="47"/>
  <c r="N53" i="47"/>
  <c r="N52" i="47"/>
  <c r="N44" i="47"/>
  <c r="N40" i="47"/>
  <c r="N39" i="47"/>
  <c r="N35" i="47"/>
  <c r="N31" i="47"/>
  <c r="N30" i="47"/>
  <c r="N28" i="47"/>
  <c r="N27" i="47"/>
  <c r="N26" i="47"/>
  <c r="N25" i="47"/>
  <c r="N24" i="47"/>
  <c r="N43" i="60" l="1"/>
  <c r="N39" i="60"/>
  <c r="N35" i="60"/>
  <c r="M43" i="60"/>
  <c r="M39" i="60"/>
  <c r="P116" i="51"/>
  <c r="Q116" i="51"/>
  <c r="R116" i="51"/>
  <c r="O116" i="51"/>
  <c r="M35" i="60"/>
  <c r="Q256" i="49"/>
  <c r="BU39" i="60" l="1"/>
  <c r="BU42" i="60" s="1"/>
  <c r="BU7" i="60"/>
  <c r="O204" i="52"/>
  <c r="M204" i="52"/>
  <c r="L204" i="52"/>
  <c r="R132" i="49"/>
  <c r="P132" i="49"/>
  <c r="N179" i="52"/>
  <c r="P29" i="49"/>
  <c r="P33" i="49" s="1"/>
  <c r="P184" i="49"/>
  <c r="P115" i="49"/>
  <c r="R23" i="49"/>
  <c r="R17" i="49" s="1"/>
  <c r="P23" i="49"/>
  <c r="P27" i="49" s="1"/>
  <c r="O31" i="47"/>
  <c r="Q20" i="56"/>
  <c r="Q213" i="56" s="1"/>
  <c r="N204" i="52" l="1"/>
  <c r="N182" i="52"/>
  <c r="K23" i="60"/>
  <c r="M193" i="49" l="1"/>
  <c r="N36" i="48"/>
  <c r="P104" i="46"/>
  <c r="O104" i="46"/>
  <c r="L54" i="46"/>
  <c r="L15" i="45" l="1"/>
  <c r="L28" i="51"/>
  <c r="L19" i="56"/>
  <c r="M16" i="49"/>
  <c r="N24" i="56"/>
  <c r="N83" i="56"/>
  <c r="N46" i="56"/>
  <c r="L18" i="47"/>
  <c r="L17" i="47"/>
  <c r="BR19" i="60" l="1"/>
  <c r="L125" i="47"/>
  <c r="O224" i="56"/>
  <c r="Q307" i="49"/>
  <c r="P16" i="49"/>
  <c r="Q183" i="51"/>
  <c r="N28" i="51"/>
  <c r="O28" i="51"/>
  <c r="Q28" i="51" s="1"/>
  <c r="BC11" i="60"/>
  <c r="BC14" i="60" s="1"/>
  <c r="O15" i="45"/>
  <c r="P381" i="45"/>
  <c r="M29" i="49"/>
  <c r="M203" i="49"/>
  <c r="K190" i="52"/>
  <c r="K189" i="52"/>
  <c r="K188" i="52"/>
  <c r="K183" i="52"/>
  <c r="K179" i="52"/>
  <c r="K178" i="52"/>
  <c r="K176" i="52"/>
  <c r="K162" i="52"/>
  <c r="K159" i="52"/>
  <c r="K158" i="52"/>
  <c r="K157" i="52"/>
  <c r="K156" i="52"/>
  <c r="K154" i="52"/>
  <c r="K153" i="52"/>
  <c r="K152" i="52"/>
  <c r="K151" i="52"/>
  <c r="K150" i="52"/>
  <c r="K149" i="52"/>
  <c r="K148" i="52"/>
  <c r="K147" i="52"/>
  <c r="K146" i="52"/>
  <c r="K143" i="52"/>
  <c r="K142" i="52"/>
  <c r="K141" i="52"/>
  <c r="K140" i="52"/>
  <c r="K139" i="52"/>
  <c r="K136" i="52"/>
  <c r="K119" i="52"/>
  <c r="K118" i="52"/>
  <c r="K117" i="52"/>
  <c r="K116" i="52"/>
  <c r="K115" i="52"/>
  <c r="K114" i="52"/>
  <c r="K113" i="52"/>
  <c r="K112" i="52"/>
  <c r="K111" i="52"/>
  <c r="K110" i="52"/>
  <c r="K109" i="52"/>
  <c r="K108" i="52"/>
  <c r="K107" i="52"/>
  <c r="K106" i="52"/>
  <c r="K104" i="52"/>
  <c r="K103" i="52"/>
  <c r="K102" i="52"/>
  <c r="K101" i="52"/>
  <c r="K98" i="52"/>
  <c r="K97" i="52"/>
  <c r="K92" i="52"/>
  <c r="K85" i="52"/>
  <c r="K83" i="52"/>
  <c r="K81" i="52"/>
  <c r="K79" i="52"/>
  <c r="K74" i="52"/>
  <c r="K67" i="52"/>
  <c r="K66" i="52"/>
  <c r="K65" i="52"/>
  <c r="K60" i="52"/>
  <c r="K55" i="52"/>
  <c r="K50" i="52"/>
  <c r="K49" i="52"/>
  <c r="K48" i="52"/>
  <c r="K47" i="52"/>
  <c r="K46" i="52"/>
  <c r="K39" i="52"/>
  <c r="K38" i="52"/>
  <c r="K34" i="52"/>
  <c r="K27" i="52"/>
  <c r="M33" i="49" l="1"/>
  <c r="O29" i="49"/>
  <c r="Q15" i="45"/>
  <c r="BE11" i="60"/>
  <c r="BE27" i="60"/>
  <c r="R16" i="49"/>
  <c r="P314" i="49"/>
  <c r="BF35" i="60"/>
  <c r="R194" i="51"/>
  <c r="Q361" i="45" l="1"/>
  <c r="BC43" i="60"/>
  <c r="BC46" i="60" s="1"/>
  <c r="BE43" i="60" l="1"/>
  <c r="BF43" i="60" l="1"/>
  <c r="N205" i="56"/>
  <c r="N203" i="56"/>
  <c r="N202" i="56"/>
  <c r="N200" i="56"/>
  <c r="N197" i="56"/>
  <c r="N196" i="56"/>
  <c r="N193" i="56"/>
  <c r="N192" i="56"/>
  <c r="N188" i="56"/>
  <c r="N181" i="56"/>
  <c r="N180" i="56"/>
  <c r="N179" i="56"/>
  <c r="N178" i="56"/>
  <c r="N177" i="56"/>
  <c r="N174" i="56"/>
  <c r="N171" i="56"/>
  <c r="N170" i="56"/>
  <c r="N168" i="56"/>
  <c r="N166" i="56"/>
  <c r="N165" i="56"/>
  <c r="N164" i="56"/>
  <c r="N163" i="56"/>
  <c r="N157" i="56"/>
  <c r="N156" i="56"/>
  <c r="N155" i="56"/>
  <c r="N154" i="56"/>
  <c r="N153" i="56"/>
  <c r="N152" i="56"/>
  <c r="N151" i="56"/>
  <c r="N150" i="56"/>
  <c r="N149" i="56"/>
  <c r="N148" i="56"/>
  <c r="N147" i="56"/>
  <c r="N146" i="56"/>
  <c r="N130" i="56"/>
  <c r="N127" i="56"/>
  <c r="N122" i="56"/>
  <c r="N119" i="56"/>
  <c r="N116" i="56"/>
  <c r="N114" i="56"/>
  <c r="N113" i="56"/>
  <c r="N112" i="56"/>
  <c r="N111" i="56"/>
  <c r="N109" i="56"/>
  <c r="N108" i="56"/>
  <c r="N107" i="56"/>
  <c r="N105" i="56"/>
  <c r="N104" i="56"/>
  <c r="N102" i="56"/>
  <c r="N101" i="56"/>
  <c r="N100" i="56"/>
  <c r="N99" i="56"/>
  <c r="N97" i="56"/>
  <c r="N93" i="56"/>
  <c r="N92" i="56"/>
  <c r="N90" i="56"/>
  <c r="N89" i="56"/>
  <c r="N87" i="56"/>
  <c r="N82" i="56"/>
  <c r="N80" i="56"/>
  <c r="N78" i="56"/>
  <c r="N77" i="56"/>
  <c r="N75" i="56"/>
  <c r="N74" i="56"/>
  <c r="N72" i="56"/>
  <c r="N70" i="56"/>
  <c r="N68" i="56"/>
  <c r="N67" i="56"/>
  <c r="N65" i="56"/>
  <c r="N63" i="56"/>
  <c r="N62" i="56"/>
  <c r="N60" i="56"/>
  <c r="N59" i="56"/>
  <c r="N57" i="56"/>
  <c r="N55" i="56"/>
  <c r="N53" i="56"/>
  <c r="N51" i="56"/>
  <c r="N49" i="56"/>
  <c r="N48" i="56"/>
  <c r="N45" i="56"/>
  <c r="N44" i="56"/>
  <c r="N43" i="56"/>
  <c r="N42" i="56"/>
  <c r="N41" i="56"/>
  <c r="N38" i="56"/>
  <c r="N37" i="56"/>
  <c r="N34" i="56"/>
  <c r="N32" i="56"/>
  <c r="N30" i="56"/>
  <c r="N29" i="56"/>
  <c r="N28" i="56"/>
  <c r="N25" i="56"/>
  <c r="N22" i="56"/>
  <c r="L254" i="45"/>
  <c r="L30" i="46"/>
  <c r="N30" i="46" s="1"/>
  <c r="L47" i="45"/>
  <c r="N47" i="45" s="1"/>
  <c r="Q47" i="45"/>
  <c r="O47" i="45"/>
  <c r="Q32" i="45"/>
  <c r="O27" i="45"/>
  <c r="R232" i="45"/>
  <c r="P232" i="45"/>
  <c r="M232" i="45"/>
  <c r="Q237" i="45"/>
  <c r="Q232" i="45" s="1"/>
  <c r="O237" i="45"/>
  <c r="O232" i="45" s="1"/>
  <c r="L237" i="45"/>
  <c r="Q67" i="45"/>
  <c r="O67" i="45"/>
  <c r="L67" i="45"/>
  <c r="N67" i="45" s="1"/>
  <c r="Q61" i="45"/>
  <c r="O61" i="45"/>
  <c r="L61" i="45"/>
  <c r="N61" i="45" s="1"/>
  <c r="Q56" i="45"/>
  <c r="O56" i="45"/>
  <c r="L56" i="45"/>
  <c r="N56" i="45" s="1"/>
  <c r="O52" i="45"/>
  <c r="Q52" i="45"/>
  <c r="Q22" i="45"/>
  <c r="K394" i="45"/>
  <c r="K393" i="45"/>
  <c r="K392" i="45"/>
  <c r="K391" i="45"/>
  <c r="Q37" i="45"/>
  <c r="O37" i="45"/>
  <c r="Q27" i="45"/>
  <c r="L232" i="45" l="1"/>
  <c r="N237" i="45"/>
  <c r="L16" i="45"/>
  <c r="K395" i="45"/>
  <c r="O394" i="45" s="1"/>
  <c r="L14" i="46" l="1"/>
  <c r="L18" i="46" l="1"/>
  <c r="O14" i="46"/>
  <c r="O18" i="46" s="1"/>
  <c r="Q14" i="46" l="1"/>
  <c r="Q18" i="46" s="1"/>
  <c r="I32" i="52"/>
  <c r="K32" i="52" l="1"/>
  <c r="S193" i="49"/>
  <c r="Q193" i="49"/>
  <c r="N193" i="49"/>
  <c r="S122" i="49"/>
  <c r="R122" i="49" s="1"/>
  <c r="R117" i="49"/>
  <c r="P117" i="49"/>
  <c r="S110" i="49"/>
  <c r="Q110" i="49"/>
  <c r="M110" i="49"/>
  <c r="S89" i="49"/>
  <c r="R89" i="49"/>
  <c r="Q89" i="49"/>
  <c r="P89" i="49"/>
  <c r="N89" i="49"/>
  <c r="M89" i="49"/>
  <c r="Q75" i="49"/>
  <c r="S75" i="49"/>
  <c r="N75" i="49"/>
  <c r="S61" i="49"/>
  <c r="R61" i="49"/>
  <c r="Q61" i="49"/>
  <c r="P61" i="49"/>
  <c r="N61" i="49"/>
  <c r="R62" i="49"/>
  <c r="M48" i="49"/>
  <c r="P48" i="49"/>
  <c r="Q48" i="49"/>
  <c r="R48" i="49"/>
  <c r="R27" i="49"/>
  <c r="P122" i="48"/>
  <c r="O122" i="48"/>
  <c r="L125" i="48" s="1"/>
  <c r="Q59" i="48"/>
  <c r="P59" i="48"/>
  <c r="Q46" i="48"/>
  <c r="O46" i="48"/>
  <c r="M26" i="48"/>
  <c r="L26" i="48"/>
  <c r="R147" i="47"/>
  <c r="R115" i="47"/>
  <c r="Q115" i="47"/>
  <c r="P115" i="47"/>
  <c r="O115" i="47"/>
  <c r="L107" i="47"/>
  <c r="M101" i="47"/>
  <c r="M95" i="47"/>
  <c r="L95" i="47"/>
  <c r="O77" i="47"/>
  <c r="Q77" i="47"/>
  <c r="R77" i="47"/>
  <c r="P77" i="47"/>
  <c r="M77" i="47"/>
  <c r="L77" i="47"/>
  <c r="L68" i="47"/>
  <c r="P55" i="47"/>
  <c r="L55" i="47"/>
  <c r="L50" i="47"/>
  <c r="L42" i="47"/>
  <c r="R42" i="47"/>
  <c r="Q42" i="47"/>
  <c r="P42" i="47"/>
  <c r="O42" i="47"/>
  <c r="M42" i="47"/>
  <c r="O74" i="46"/>
  <c r="P74" i="46"/>
  <c r="R74" i="46"/>
  <c r="Q74" i="46"/>
  <c r="M63" i="46"/>
  <c r="L63" i="46"/>
  <c r="L45" i="46"/>
  <c r="R30" i="46"/>
  <c r="L324" i="45"/>
  <c r="L334" i="45"/>
  <c r="L304" i="45"/>
  <c r="P293" i="45"/>
  <c r="M266" i="45"/>
  <c r="M263" i="45"/>
  <c r="L263" i="45"/>
  <c r="Q255" i="45"/>
  <c r="O255" i="45"/>
  <c r="R253" i="45"/>
  <c r="P253" i="45"/>
  <c r="Q253" i="45"/>
  <c r="O253" i="45"/>
  <c r="O200" i="45"/>
  <c r="L200" i="45"/>
  <c r="O183" i="45"/>
  <c r="P168" i="45"/>
  <c r="L168" i="45"/>
  <c r="L198" i="56"/>
  <c r="O226" i="56"/>
  <c r="P226" i="56"/>
  <c r="M169" i="50"/>
  <c r="P198" i="50"/>
  <c r="K165" i="50"/>
  <c r="K157" i="50"/>
  <c r="M165" i="50"/>
  <c r="O165" i="50"/>
  <c r="P165" i="50"/>
  <c r="Q165" i="50"/>
  <c r="R165" i="50"/>
  <c r="L165" i="50"/>
  <c r="N165" i="50" s="1"/>
  <c r="P152" i="50"/>
  <c r="O152" i="50"/>
  <c r="M152" i="50"/>
  <c r="L152" i="50"/>
  <c r="Q153" i="50"/>
  <c r="R153" i="50"/>
  <c r="P150" i="50"/>
  <c r="O150" i="50"/>
  <c r="M150" i="50"/>
  <c r="O157" i="50"/>
  <c r="L157" i="50"/>
  <c r="M157" i="50"/>
  <c r="L149" i="50"/>
  <c r="R99" i="50"/>
  <c r="Q99" i="50"/>
  <c r="N31" i="60" s="1"/>
  <c r="P99" i="50"/>
  <c r="O99" i="50"/>
  <c r="M99" i="50"/>
  <c r="R101" i="50"/>
  <c r="Q101" i="50"/>
  <c r="CG31" i="60" s="1"/>
  <c r="P101" i="50"/>
  <c r="O101" i="50"/>
  <c r="CF31" i="60" s="1"/>
  <c r="M101" i="50"/>
  <c r="L101" i="50"/>
  <c r="L94" i="50"/>
  <c r="M94" i="50"/>
  <c r="O94" i="50"/>
  <c r="P94" i="50"/>
  <c r="Q94" i="50"/>
  <c r="R94" i="50"/>
  <c r="R34" i="50"/>
  <c r="Q34" i="50"/>
  <c r="AJ31" i="60" s="1"/>
  <c r="AJ34" i="60" s="1"/>
  <c r="P34" i="50"/>
  <c r="O34" i="50"/>
  <c r="AI31" i="60" s="1"/>
  <c r="AI34" i="60" s="1"/>
  <c r="R33" i="50"/>
  <c r="Q33" i="50"/>
  <c r="P33" i="50"/>
  <c r="O33" i="50"/>
  <c r="M34" i="50"/>
  <c r="M33" i="50"/>
  <c r="Q197" i="50" s="1"/>
  <c r="L34" i="50"/>
  <c r="N34" i="50" s="1"/>
  <c r="L33" i="50"/>
  <c r="Q198" i="50"/>
  <c r="O198" i="50"/>
  <c r="R198" i="50" s="1"/>
  <c r="Q124" i="51"/>
  <c r="O124" i="51"/>
  <c r="R69" i="51"/>
  <c r="P69" i="51"/>
  <c r="M69" i="51"/>
  <c r="K69" i="51"/>
  <c r="N69" i="51" s="1"/>
  <c r="Q68" i="51"/>
  <c r="R68" i="51"/>
  <c r="P68" i="51"/>
  <c r="M68" i="51"/>
  <c r="K68" i="51"/>
  <c r="N68" i="51" s="1"/>
  <c r="P46" i="51"/>
  <c r="Q46" i="51"/>
  <c r="R46" i="51"/>
  <c r="O46" i="51"/>
  <c r="Q186" i="51"/>
  <c r="P186" i="51"/>
  <c r="L168" i="50" l="1"/>
  <c r="D31" i="60"/>
  <c r="D27" i="60"/>
  <c r="M280" i="49"/>
  <c r="N26" i="48"/>
  <c r="L107" i="48"/>
  <c r="D23" i="60"/>
  <c r="D26" i="60" s="1"/>
  <c r="L80" i="46"/>
  <c r="D15" i="60"/>
  <c r="L328" i="45"/>
  <c r="L305" i="45"/>
  <c r="L267" i="45"/>
  <c r="F11" i="60"/>
  <c r="O361" i="45"/>
  <c r="M282" i="49"/>
  <c r="F27" i="60"/>
  <c r="AK150" i="49"/>
  <c r="P280" i="49"/>
  <c r="Q107" i="48"/>
  <c r="R125" i="48"/>
  <c r="G23" i="60"/>
  <c r="O103" i="46"/>
  <c r="S186" i="51"/>
  <c r="N33" i="50"/>
  <c r="N157" i="50"/>
  <c r="P197" i="50"/>
  <c r="BF27" i="60"/>
  <c r="Q314" i="49"/>
  <c r="Q313" i="49"/>
  <c r="G27" i="60"/>
  <c r="AJ27" i="60"/>
  <c r="N190" i="51"/>
  <c r="G35" i="60"/>
  <c r="P194" i="51"/>
  <c r="O153" i="50"/>
  <c r="P153" i="50"/>
  <c r="P206" i="50"/>
  <c r="F31" i="60"/>
  <c r="M153" i="50"/>
  <c r="Q102" i="50"/>
  <c r="R102" i="50"/>
  <c r="M102" i="50"/>
  <c r="O102" i="50"/>
  <c r="Q206" i="50"/>
  <c r="G31" i="60"/>
  <c r="DH31" i="60" s="1"/>
  <c r="O121" i="48"/>
  <c r="Q308" i="49"/>
  <c r="P102" i="50"/>
  <c r="G26" i="60" l="1"/>
  <c r="G38" i="60"/>
  <c r="D30" i="60"/>
  <c r="G34" i="60"/>
  <c r="AJ30" i="60"/>
  <c r="O123" i="48"/>
  <c r="O124" i="48" s="1"/>
  <c r="O226" i="52" l="1"/>
  <c r="N224" i="52"/>
  <c r="O224" i="52"/>
  <c r="M224" i="52"/>
  <c r="I62" i="52" l="1"/>
  <c r="I200" i="52" l="1"/>
  <c r="J185" i="52" l="1"/>
  <c r="I174" i="52"/>
  <c r="I169" i="52" s="1"/>
  <c r="K70" i="52"/>
  <c r="M113" i="51"/>
  <c r="R186" i="51" s="1"/>
  <c r="M30" i="51"/>
  <c r="L46" i="48"/>
  <c r="E71" i="50"/>
  <c r="F71" i="50"/>
  <c r="G71" i="50"/>
  <c r="J71" i="50"/>
  <c r="K71" i="50"/>
  <c r="N71" i="50" s="1"/>
  <c r="E75" i="50"/>
  <c r="F75" i="50"/>
  <c r="G75" i="50"/>
  <c r="J75" i="50"/>
  <c r="K75" i="50"/>
  <c r="N75" i="50" s="1"/>
  <c r="N236" i="49"/>
  <c r="N238" i="49"/>
  <c r="N254" i="49"/>
  <c r="M256" i="49"/>
  <c r="Q236" i="49"/>
  <c r="M213" i="49"/>
  <c r="M166" i="49"/>
  <c r="I207" i="52" l="1"/>
  <c r="E39" i="60"/>
  <c r="D39" i="60"/>
  <c r="E47" i="60"/>
  <c r="AB43" i="60"/>
  <c r="AA43" i="60"/>
  <c r="AA46" i="60" s="1"/>
  <c r="N226" i="52"/>
  <c r="D43" i="60" l="1"/>
  <c r="AB46" i="60"/>
  <c r="M55" i="47" l="1"/>
  <c r="M50" i="47"/>
  <c r="M22" i="47"/>
  <c r="M20" i="47"/>
  <c r="M18" i="47"/>
  <c r="M17" i="47"/>
  <c r="Q145" i="47" s="1"/>
  <c r="M115" i="47"/>
  <c r="L56" i="46"/>
  <c r="L58" i="46" s="1"/>
  <c r="M56" i="46"/>
  <c r="M54" i="46"/>
  <c r="M325" i="45"/>
  <c r="M324" i="45"/>
  <c r="M58" i="46" l="1"/>
  <c r="M303" i="45"/>
  <c r="M313" i="45"/>
  <c r="L313" i="45"/>
  <c r="M293" i="45"/>
  <c r="M291" i="45"/>
  <c r="L255" i="45"/>
  <c r="L201" i="45"/>
  <c r="N201" i="45" s="1"/>
  <c r="L202" i="45"/>
  <c r="L183" i="45"/>
  <c r="M168" i="45"/>
  <c r="L366" i="45" l="1"/>
  <c r="L361" i="45"/>
  <c r="D11" i="60"/>
  <c r="D14" i="60" s="1"/>
  <c r="P382" i="45"/>
  <c r="L144" i="56"/>
  <c r="O225" i="56" l="1"/>
  <c r="N226" i="56"/>
  <c r="Q226" i="56" s="1"/>
  <c r="M190" i="56"/>
  <c r="L169" i="56"/>
  <c r="O227" i="56" l="1"/>
  <c r="L233" i="56"/>
  <c r="M30" i="46" l="1"/>
  <c r="M144" i="56"/>
  <c r="M133" i="56" s="1"/>
  <c r="M19" i="56"/>
  <c r="P224" i="56" s="1"/>
  <c r="BU43" i="60" l="1"/>
  <c r="BU46" i="60" s="1"/>
  <c r="P124" i="51"/>
  <c r="R124" i="51"/>
  <c r="P157" i="50" l="1"/>
  <c r="M140" i="50"/>
  <c r="L140" i="50" s="1"/>
  <c r="G122" i="50"/>
  <c r="F122" i="50"/>
  <c r="E122" i="50"/>
  <c r="P66" i="50"/>
  <c r="P64" i="50"/>
  <c r="M66" i="50"/>
  <c r="M64" i="50"/>
  <c r="M49" i="50"/>
  <c r="Q254" i="49"/>
  <c r="Q258" i="49" s="1"/>
  <c r="N256" i="49"/>
  <c r="Q238" i="49"/>
  <c r="Q253" i="49"/>
  <c r="Q239" i="49"/>
  <c r="N239" i="49"/>
  <c r="Q213" i="49"/>
  <c r="Q212" i="49"/>
  <c r="N212" i="49"/>
  <c r="N213" i="49"/>
  <c r="S166" i="49"/>
  <c r="S285" i="49" s="1"/>
  <c r="R166" i="49"/>
  <c r="S165" i="49"/>
  <c r="R165" i="49"/>
  <c r="S164" i="49"/>
  <c r="N27" i="60"/>
  <c r="Q166" i="49"/>
  <c r="Q165" i="49"/>
  <c r="Q287" i="49" s="1"/>
  <c r="Q164" i="49"/>
  <c r="N166" i="49"/>
  <c r="N165" i="49"/>
  <c r="N164" i="49"/>
  <c r="N172" i="49"/>
  <c r="S168" i="49" l="1"/>
  <c r="R287" i="49"/>
  <c r="R168" i="49"/>
  <c r="CG27" i="60"/>
  <c r="R285" i="49"/>
  <c r="N47" i="60"/>
  <c r="N48" i="60"/>
  <c r="Q285" i="49"/>
  <c r="R309" i="49"/>
  <c r="Q241" i="49"/>
  <c r="R20" i="50"/>
  <c r="P20" i="50"/>
  <c r="M20" i="50"/>
  <c r="M46" i="51" l="1"/>
  <c r="R161" i="51"/>
  <c r="Q161" i="51"/>
  <c r="P161" i="51"/>
  <c r="M161" i="51"/>
  <c r="Q211" i="56" l="1"/>
  <c r="N205" i="52"/>
  <c r="R213" i="56"/>
  <c r="R212" i="56"/>
  <c r="R211" i="56"/>
  <c r="P213" i="56"/>
  <c r="P212" i="56"/>
  <c r="P211" i="56"/>
  <c r="P210" i="56" s="1"/>
  <c r="P86" i="46"/>
  <c r="K292" i="45"/>
  <c r="K296" i="45" l="1"/>
  <c r="R210" i="56"/>
  <c r="J161" i="50"/>
  <c r="K161" i="50"/>
  <c r="L161" i="50"/>
  <c r="N161" i="50" s="1"/>
  <c r="K152" i="50"/>
  <c r="N152" i="50" s="1"/>
  <c r="R105" i="51" l="1"/>
  <c r="P105" i="51"/>
  <c r="M107" i="51"/>
  <c r="M105" i="51"/>
  <c r="R49" i="51"/>
  <c r="Q49" i="51"/>
  <c r="P49" i="51"/>
  <c r="R48" i="51"/>
  <c r="Q48" i="51"/>
  <c r="CN35" i="60" s="1"/>
  <c r="CN47" i="60" l="1"/>
  <c r="DH35" i="60"/>
  <c r="R79" i="48"/>
  <c r="Q79" i="48"/>
  <c r="P79" i="48"/>
  <c r="M79" i="48"/>
  <c r="K79" i="48"/>
  <c r="J79" i="48"/>
  <c r="H79" i="48"/>
  <c r="G79" i="48"/>
  <c r="E79" i="48"/>
  <c r="I76" i="48"/>
  <c r="F76" i="48"/>
  <c r="M28" i="51"/>
  <c r="R183" i="51" l="1"/>
  <c r="I79" i="48"/>
  <c r="F79" i="48"/>
  <c r="S178" i="49"/>
  <c r="R178" i="49"/>
  <c r="R284" i="49" s="1"/>
  <c r="Q178" i="49"/>
  <c r="N178" i="49"/>
  <c r="S179" i="49"/>
  <c r="Q179" i="49"/>
  <c r="N179" i="49"/>
  <c r="R101" i="47"/>
  <c r="Q101" i="47"/>
  <c r="P101" i="47"/>
  <c r="BU29" i="60" l="1"/>
  <c r="BU27" i="60"/>
  <c r="S27" i="49"/>
  <c r="Q27" i="49"/>
  <c r="BU30" i="60" l="1"/>
  <c r="R73" i="47"/>
  <c r="P73" i="47"/>
  <c r="M73" i="47"/>
  <c r="M107" i="47"/>
  <c r="M233" i="45"/>
  <c r="M230" i="45"/>
  <c r="R168" i="45"/>
  <c r="Q168" i="45"/>
  <c r="L301" i="45"/>
  <c r="M301" i="45"/>
  <c r="O301" i="45"/>
  <c r="P301" i="45"/>
  <c r="Q301" i="45"/>
  <c r="R301" i="45"/>
  <c r="K301" i="45"/>
  <c r="N301" i="45" l="1"/>
  <c r="R233" i="45"/>
  <c r="R231" i="45"/>
  <c r="R230" i="45"/>
  <c r="P233" i="45"/>
  <c r="P231" i="45"/>
  <c r="P230" i="45"/>
  <c r="M231" i="45"/>
  <c r="M200" i="45"/>
  <c r="P200" i="45"/>
  <c r="R200" i="45"/>
  <c r="R201" i="45"/>
  <c r="P201" i="45"/>
  <c r="P363" i="45" s="1"/>
  <c r="M201" i="45"/>
  <c r="P83" i="45"/>
  <c r="R81" i="45"/>
  <c r="P81" i="45"/>
  <c r="R79" i="45"/>
  <c r="M83" i="45"/>
  <c r="M81" i="45"/>
  <c r="M79" i="45"/>
  <c r="P19" i="45"/>
  <c r="M19" i="45"/>
  <c r="R15" i="45"/>
  <c r="P15" i="45"/>
  <c r="M15" i="45"/>
  <c r="Q381" i="45" l="1"/>
  <c r="M85" i="45"/>
  <c r="P85" i="45"/>
  <c r="R202" i="45"/>
  <c r="R203" i="45" s="1"/>
  <c r="P202" i="45"/>
  <c r="P203" i="45" s="1"/>
  <c r="M202" i="45"/>
  <c r="M203" i="45" s="1"/>
  <c r="R28" i="51" l="1"/>
  <c r="P28" i="51"/>
  <c r="R185" i="45"/>
  <c r="P185" i="45"/>
  <c r="M185" i="45"/>
  <c r="M183" i="45" s="1"/>
  <c r="Q382" i="45" s="1"/>
  <c r="P183" i="45" l="1"/>
  <c r="R183" i="45"/>
  <c r="R361" i="45" s="1"/>
  <c r="M361" i="45"/>
  <c r="M59" i="48"/>
  <c r="P361" i="45" l="1"/>
  <c r="T382" i="45"/>
  <c r="P121" i="48"/>
  <c r="P123" i="48" s="1"/>
  <c r="M107" i="48"/>
  <c r="R108" i="48"/>
  <c r="Q108" i="48"/>
  <c r="P108" i="48"/>
  <c r="AB23" i="60" l="1"/>
  <c r="P124" i="48"/>
  <c r="R75" i="48"/>
  <c r="Q75" i="48"/>
  <c r="P75" i="48"/>
  <c r="O75" i="48"/>
  <c r="M75" i="48"/>
  <c r="L75" i="48"/>
  <c r="K75" i="48"/>
  <c r="J75" i="48"/>
  <c r="H75" i="48"/>
  <c r="G75" i="48"/>
  <c r="E75" i="48"/>
  <c r="I74" i="48"/>
  <c r="F74" i="48"/>
  <c r="AB26" i="60" l="1"/>
  <c r="F75" i="48"/>
  <c r="I75" i="48"/>
  <c r="M62" i="52" l="1"/>
  <c r="O208" i="52"/>
  <c r="N208" i="52"/>
  <c r="M208" i="52"/>
  <c r="J208" i="52"/>
  <c r="J207" i="52"/>
  <c r="O205" i="52"/>
  <c r="M205" i="52"/>
  <c r="J205" i="52"/>
  <c r="J204" i="52"/>
  <c r="O168" i="52"/>
  <c r="M168" i="52"/>
  <c r="J168" i="52"/>
  <c r="O175" i="52"/>
  <c r="N175" i="52"/>
  <c r="M175" i="52"/>
  <c r="J175" i="52"/>
  <c r="I175" i="52"/>
  <c r="H175" i="52"/>
  <c r="O172" i="52"/>
  <c r="N172" i="52"/>
  <c r="M172" i="52"/>
  <c r="J172" i="52"/>
  <c r="J72" i="52" l="1"/>
  <c r="J73" i="52" s="1"/>
  <c r="M185" i="52"/>
  <c r="M200" i="52" s="1"/>
  <c r="O185" i="52"/>
  <c r="O62" i="52" l="1"/>
  <c r="O200" i="52" s="1"/>
  <c r="N62" i="52"/>
  <c r="L62" i="52"/>
  <c r="J62" i="52"/>
  <c r="J37" i="52"/>
  <c r="O42" i="52"/>
  <c r="N42" i="52"/>
  <c r="M42" i="52"/>
  <c r="L42" i="52"/>
  <c r="J42" i="52"/>
  <c r="I42" i="52"/>
  <c r="H42" i="52"/>
  <c r="G42" i="52"/>
  <c r="E42" i="52"/>
  <c r="F41" i="52"/>
  <c r="O225" i="52" l="1"/>
  <c r="O227" i="52" s="1"/>
  <c r="J200" i="52"/>
  <c r="N231" i="52"/>
  <c r="G39" i="60"/>
  <c r="DH39" i="60" s="1"/>
  <c r="F42" i="52"/>
  <c r="G42" i="60" l="1"/>
  <c r="O228" i="52"/>
  <c r="O229" i="52" s="1"/>
  <c r="R52" i="46"/>
  <c r="P52" i="46"/>
  <c r="J52" i="46"/>
  <c r="H52" i="46"/>
  <c r="G52" i="46"/>
  <c r="E52" i="46"/>
  <c r="Q52" i="46"/>
  <c r="O52" i="46"/>
  <c r="F51" i="46"/>
  <c r="F52" i="46" l="1"/>
  <c r="M253" i="45"/>
  <c r="R255" i="45"/>
  <c r="P255" i="45"/>
  <c r="M255" i="45"/>
  <c r="R73" i="48" l="1"/>
  <c r="Q73" i="48"/>
  <c r="P73" i="48"/>
  <c r="O73" i="48"/>
  <c r="M73" i="48"/>
  <c r="L73" i="48"/>
  <c r="K73" i="48"/>
  <c r="J73" i="48"/>
  <c r="H73" i="48"/>
  <c r="G73" i="48"/>
  <c r="E73" i="48"/>
  <c r="I72" i="48"/>
  <c r="F72" i="48"/>
  <c r="R71" i="48"/>
  <c r="Q71" i="48"/>
  <c r="P71" i="48"/>
  <c r="O71" i="48"/>
  <c r="M71" i="48"/>
  <c r="L71" i="48"/>
  <c r="K71" i="48"/>
  <c r="J71" i="48"/>
  <c r="H71" i="48"/>
  <c r="G71" i="48"/>
  <c r="E71" i="48"/>
  <c r="I70" i="48"/>
  <c r="F70" i="48"/>
  <c r="R46" i="48"/>
  <c r="P46" i="48"/>
  <c r="M46" i="48"/>
  <c r="J46" i="48"/>
  <c r="H46" i="48"/>
  <c r="I46" i="48" s="1"/>
  <c r="G46" i="48"/>
  <c r="E46" i="48"/>
  <c r="I45" i="48"/>
  <c r="F45" i="48"/>
  <c r="I73" i="48" l="1"/>
  <c r="I71" i="48"/>
  <c r="F73" i="48"/>
  <c r="F46" i="48"/>
  <c r="F71" i="48"/>
  <c r="R354" i="45" l="1"/>
  <c r="P354" i="45"/>
  <c r="M354" i="45"/>
  <c r="M365" i="45" s="1"/>
  <c r="K183" i="45"/>
  <c r="N183" i="45" s="1"/>
  <c r="R19" i="45" l="1"/>
  <c r="R17" i="45"/>
  <c r="R16" i="45"/>
  <c r="P17" i="45"/>
  <c r="P16" i="45"/>
  <c r="M17" i="45"/>
  <c r="M366" i="45" s="1"/>
  <c r="I254" i="45"/>
  <c r="H255" i="45"/>
  <c r="I255" i="45" s="1"/>
  <c r="G255" i="45"/>
  <c r="E255" i="45"/>
  <c r="H253" i="45"/>
  <c r="G253" i="45"/>
  <c r="E253" i="45"/>
  <c r="F250" i="45"/>
  <c r="R366" i="45" l="1"/>
  <c r="P366" i="45"/>
  <c r="F253" i="45"/>
  <c r="F255" i="45"/>
  <c r="R125" i="45"/>
  <c r="M25" i="45" l="1"/>
  <c r="R173" i="56" l="1"/>
  <c r="P173" i="56"/>
  <c r="M173" i="56"/>
  <c r="Q212" i="56" l="1"/>
  <c r="O212" i="56"/>
  <c r="O211" i="56"/>
  <c r="M213" i="56"/>
  <c r="M212" i="56"/>
  <c r="M211" i="56"/>
  <c r="O210" i="56" l="1"/>
  <c r="M210" i="56"/>
  <c r="R190" i="56"/>
  <c r="P190" i="56"/>
  <c r="P144" i="56" l="1"/>
  <c r="R198" i="56" l="1"/>
  <c r="M198" i="56"/>
  <c r="P225" i="56" l="1"/>
  <c r="P227" i="56" s="1"/>
  <c r="M144" i="51" l="1"/>
  <c r="R149" i="51"/>
  <c r="P149" i="51"/>
  <c r="O149" i="51"/>
  <c r="M149" i="51"/>
  <c r="P37" i="51" l="1"/>
  <c r="R37" i="51"/>
  <c r="M37" i="51"/>
  <c r="R184" i="51" l="1"/>
  <c r="O42" i="50"/>
  <c r="P42" i="50"/>
  <c r="Q42" i="50"/>
  <c r="R42" i="50"/>
  <c r="R286" i="49" l="1"/>
  <c r="N122" i="49"/>
  <c r="N110" i="49"/>
  <c r="S48" i="49"/>
  <c r="N48" i="49"/>
  <c r="R101" i="48" l="1"/>
  <c r="R99" i="48" s="1"/>
  <c r="Q101" i="48"/>
  <c r="P101" i="48"/>
  <c r="O101" i="48"/>
  <c r="M101" i="48"/>
  <c r="L101" i="48"/>
  <c r="K101" i="48"/>
  <c r="K99" i="48" s="1"/>
  <c r="R104" i="48"/>
  <c r="R102" i="48" s="1"/>
  <c r="Q104" i="48"/>
  <c r="P104" i="48"/>
  <c r="O104" i="48"/>
  <c r="L104" i="48"/>
  <c r="L102" i="48" s="1"/>
  <c r="K104" i="48"/>
  <c r="J104" i="48"/>
  <c r="J102" i="48" s="1"/>
  <c r="H104" i="48"/>
  <c r="H102" i="48" s="1"/>
  <c r="G104" i="48"/>
  <c r="G102" i="48" s="1"/>
  <c r="E104" i="48"/>
  <c r="E102" i="48" s="1"/>
  <c r="I103" i="48"/>
  <c r="G105" i="48"/>
  <c r="H105" i="48"/>
  <c r="K105" i="48"/>
  <c r="L105" i="48"/>
  <c r="M105" i="48"/>
  <c r="P105" i="48"/>
  <c r="Q105" i="48"/>
  <c r="R105" i="48"/>
  <c r="J101" i="48"/>
  <c r="J99" i="48" s="1"/>
  <c r="H101" i="48"/>
  <c r="H99" i="48" s="1"/>
  <c r="G101" i="48"/>
  <c r="G99" i="48" s="1"/>
  <c r="E101" i="48"/>
  <c r="E99" i="48" s="1"/>
  <c r="I100" i="48"/>
  <c r="R98" i="48"/>
  <c r="R96" i="48" s="1"/>
  <c r="Q98" i="48"/>
  <c r="P98" i="48"/>
  <c r="O98" i="48"/>
  <c r="M98" i="48"/>
  <c r="L98" i="48"/>
  <c r="J98" i="48"/>
  <c r="J96" i="48" s="1"/>
  <c r="H98" i="48"/>
  <c r="H96" i="48" s="1"/>
  <c r="G98" i="48"/>
  <c r="G96" i="48" s="1"/>
  <c r="E98" i="48"/>
  <c r="E96" i="48" s="1"/>
  <c r="I97" i="48"/>
  <c r="I104" i="48" l="1"/>
  <c r="I101" i="48"/>
  <c r="K102" i="48"/>
  <c r="I102" i="48" s="1"/>
  <c r="I99" i="48"/>
  <c r="I96" i="48"/>
  <c r="I98" i="48"/>
  <c r="O42" i="48" l="1"/>
  <c r="R26" i="48"/>
  <c r="P26" i="48"/>
  <c r="P107" i="48" s="1"/>
  <c r="S101" i="49" l="1"/>
  <c r="Q101" i="49"/>
  <c r="G30" i="60" s="1"/>
  <c r="N101" i="49"/>
  <c r="R308" i="49" s="1"/>
  <c r="O198" i="52" l="1"/>
  <c r="N198" i="52"/>
  <c r="M198" i="52"/>
  <c r="L198" i="52"/>
  <c r="O207" i="52"/>
  <c r="O206" i="52"/>
  <c r="O203" i="52"/>
  <c r="O202" i="52"/>
  <c r="O197" i="52"/>
  <c r="O194" i="52" s="1"/>
  <c r="O182" i="52"/>
  <c r="O170" i="52"/>
  <c r="O166" i="52"/>
  <c r="O145" i="52"/>
  <c r="O134" i="52"/>
  <c r="O128" i="52"/>
  <c r="O122" i="52"/>
  <c r="O96" i="52"/>
  <c r="O89" i="52"/>
  <c r="O78" i="52" s="1"/>
  <c r="O77" i="52"/>
  <c r="O73" i="52"/>
  <c r="O69" i="52"/>
  <c r="O63" i="52"/>
  <c r="O58" i="52"/>
  <c r="O56" i="52"/>
  <c r="O54" i="52"/>
  <c r="O45" i="52"/>
  <c r="O40" i="52"/>
  <c r="O37" i="52"/>
  <c r="O35" i="52"/>
  <c r="O33" i="52"/>
  <c r="O31" i="52"/>
  <c r="O25" i="52"/>
  <c r="N207" i="52"/>
  <c r="N206" i="52"/>
  <c r="N203" i="52"/>
  <c r="N202" i="52"/>
  <c r="N201" i="52" s="1"/>
  <c r="N197" i="52"/>
  <c r="N194" i="52" s="1"/>
  <c r="N187" i="52"/>
  <c r="N170" i="52"/>
  <c r="N166" i="52"/>
  <c r="N145" i="52"/>
  <c r="N128" i="52"/>
  <c r="N122" i="52"/>
  <c r="N96" i="52"/>
  <c r="N89" i="52"/>
  <c r="N77" i="52"/>
  <c r="N73" i="52"/>
  <c r="N69" i="52"/>
  <c r="N63" i="52"/>
  <c r="N58" i="52"/>
  <c r="N56" i="52"/>
  <c r="N54" i="52"/>
  <c r="N45" i="52"/>
  <c r="N40" i="52"/>
  <c r="N37" i="52"/>
  <c r="N35" i="52"/>
  <c r="N33" i="52"/>
  <c r="N31" i="52"/>
  <c r="N25" i="52"/>
  <c r="M207" i="52"/>
  <c r="M206" i="52"/>
  <c r="M203" i="52"/>
  <c r="M202" i="52"/>
  <c r="M197" i="52"/>
  <c r="M187" i="52"/>
  <c r="M182" i="52"/>
  <c r="M170" i="52"/>
  <c r="M166" i="52"/>
  <c r="M145" i="52"/>
  <c r="M128" i="52"/>
  <c r="M122" i="52"/>
  <c r="M96" i="52"/>
  <c r="M89" i="52"/>
  <c r="M77" i="52"/>
  <c r="M73" i="52"/>
  <c r="M69" i="52"/>
  <c r="M63" i="52"/>
  <c r="M58" i="52"/>
  <c r="M56" i="52"/>
  <c r="M54" i="52"/>
  <c r="M40" i="52"/>
  <c r="M37" i="52"/>
  <c r="M35" i="52"/>
  <c r="M33" i="52"/>
  <c r="M31" i="52"/>
  <c r="M25" i="52"/>
  <c r="J206" i="52"/>
  <c r="J203" i="52"/>
  <c r="J202" i="52"/>
  <c r="J201" i="52" s="1"/>
  <c r="J199" i="52" s="1"/>
  <c r="J209" i="52" s="1"/>
  <c r="N22" i="34" s="1"/>
  <c r="J198" i="52"/>
  <c r="J197" i="52"/>
  <c r="J187" i="52"/>
  <c r="J184" i="52"/>
  <c r="J182" i="52"/>
  <c r="J177" i="52"/>
  <c r="J166" i="52"/>
  <c r="J145" i="52"/>
  <c r="J137" i="52"/>
  <c r="J135" i="52"/>
  <c r="J134" i="52"/>
  <c r="J128" i="52"/>
  <c r="J122" i="52"/>
  <c r="J105" i="52"/>
  <c r="J100" i="52"/>
  <c r="J99" i="52"/>
  <c r="J96" i="52"/>
  <c r="J89" i="52"/>
  <c r="J86" i="52"/>
  <c r="J84" i="52"/>
  <c r="J82" i="52"/>
  <c r="J80" i="52"/>
  <c r="J69" i="52"/>
  <c r="J63" i="52"/>
  <c r="J61" i="52"/>
  <c r="J58" i="52"/>
  <c r="J56" i="52"/>
  <c r="J54" i="52"/>
  <c r="J51" i="52"/>
  <c r="J45" i="52"/>
  <c r="J40" i="52"/>
  <c r="J35" i="52"/>
  <c r="J33" i="52"/>
  <c r="J31" i="52"/>
  <c r="J25" i="52"/>
  <c r="L31" i="52"/>
  <c r="L33" i="52"/>
  <c r="L35" i="52"/>
  <c r="L37" i="52"/>
  <c r="L40" i="52"/>
  <c r="AI40" i="60" s="1"/>
  <c r="L43" i="52"/>
  <c r="L54" i="52"/>
  <c r="L56" i="52"/>
  <c r="L58" i="52"/>
  <c r="L63" i="52"/>
  <c r="L69" i="52"/>
  <c r="L73" i="52"/>
  <c r="L77" i="52"/>
  <c r="L89" i="52"/>
  <c r="L122" i="52"/>
  <c r="L128" i="52"/>
  <c r="L145" i="52"/>
  <c r="L166" i="52"/>
  <c r="L172" i="52"/>
  <c r="L170" i="52" s="1"/>
  <c r="L187" i="52"/>
  <c r="L197" i="52"/>
  <c r="L202" i="52"/>
  <c r="L203" i="52"/>
  <c r="L206" i="52"/>
  <c r="L207" i="52"/>
  <c r="R158" i="51"/>
  <c r="Q158" i="51"/>
  <c r="P158" i="51"/>
  <c r="M158" i="51"/>
  <c r="R168" i="51"/>
  <c r="R167" i="51"/>
  <c r="R166" i="51"/>
  <c r="R165" i="51"/>
  <c r="R163" i="51"/>
  <c r="R150" i="51"/>
  <c r="R148" i="51" s="1"/>
  <c r="R147" i="51"/>
  <c r="R145" i="51" s="1"/>
  <c r="R144" i="51"/>
  <c r="R121" i="51"/>
  <c r="R97" i="51"/>
  <c r="R87" i="51"/>
  <c r="R88" i="51" s="1"/>
  <c r="R70" i="51"/>
  <c r="R67" i="51"/>
  <c r="R50" i="51"/>
  <c r="R40" i="51"/>
  <c r="R27" i="51"/>
  <c r="R22" i="51"/>
  <c r="R20" i="51"/>
  <c r="Q167" i="51"/>
  <c r="Q166" i="51"/>
  <c r="Q165" i="51"/>
  <c r="Q163" i="51"/>
  <c r="Q150" i="51"/>
  <c r="Q148" i="51" s="1"/>
  <c r="Q147" i="51"/>
  <c r="Q145" i="51" s="1"/>
  <c r="Q144" i="51"/>
  <c r="Q121" i="51"/>
  <c r="Q97" i="51"/>
  <c r="Q87" i="51"/>
  <c r="Q88" i="51" s="1"/>
  <c r="Q70" i="51"/>
  <c r="Q162" i="51" s="1"/>
  <c r="Q67" i="51"/>
  <c r="Q50" i="51"/>
  <c r="Q40" i="51"/>
  <c r="Q27" i="51"/>
  <c r="Q22" i="51"/>
  <c r="Q20" i="51"/>
  <c r="P168" i="51"/>
  <c r="P167" i="51"/>
  <c r="P166" i="51"/>
  <c r="P165" i="51"/>
  <c r="P163" i="51"/>
  <c r="P150" i="51"/>
  <c r="P148" i="51" s="1"/>
  <c r="P147" i="51"/>
  <c r="P145" i="51" s="1"/>
  <c r="P144" i="51"/>
  <c r="P121" i="51"/>
  <c r="P109" i="51"/>
  <c r="P97" i="51"/>
  <c r="P87" i="51"/>
  <c r="P88" i="51" s="1"/>
  <c r="P70" i="51"/>
  <c r="P67" i="51"/>
  <c r="P50" i="51"/>
  <c r="P40" i="51"/>
  <c r="P27" i="51"/>
  <c r="P22" i="51"/>
  <c r="P20" i="51"/>
  <c r="M168" i="51"/>
  <c r="M167" i="51"/>
  <c r="M166" i="51"/>
  <c r="M165" i="51"/>
  <c r="M157" i="51"/>
  <c r="M150" i="51"/>
  <c r="M147" i="51"/>
  <c r="M124" i="51"/>
  <c r="M121" i="51"/>
  <c r="M116" i="51"/>
  <c r="M109" i="51"/>
  <c r="M97" i="51"/>
  <c r="M87" i="51"/>
  <c r="M70" i="51"/>
  <c r="M67" i="51"/>
  <c r="M40" i="51"/>
  <c r="M27" i="51"/>
  <c r="M22" i="51"/>
  <c r="M20" i="51"/>
  <c r="O20" i="51"/>
  <c r="O27" i="51"/>
  <c r="O37" i="51"/>
  <c r="O48" i="51"/>
  <c r="CM35" i="60" s="1"/>
  <c r="O49" i="51"/>
  <c r="O70" i="51"/>
  <c r="O87" i="51"/>
  <c r="O88" i="51" s="1"/>
  <c r="O97" i="51"/>
  <c r="O161" i="51"/>
  <c r="O144" i="51"/>
  <c r="O147" i="51"/>
  <c r="O145" i="51" s="1"/>
  <c r="O150" i="51"/>
  <c r="O148" i="51" s="1"/>
  <c r="O163" i="51"/>
  <c r="O165" i="51"/>
  <c r="O166" i="51"/>
  <c r="O167" i="51"/>
  <c r="R23" i="34" l="1"/>
  <c r="M210" i="52"/>
  <c r="M201" i="52"/>
  <c r="L201" i="52"/>
  <c r="L200" i="52"/>
  <c r="F39" i="60"/>
  <c r="N210" i="52"/>
  <c r="L210" i="52"/>
  <c r="CM47" i="60"/>
  <c r="O194" i="51"/>
  <c r="F35" i="60"/>
  <c r="M162" i="51"/>
  <c r="M160" i="51" s="1"/>
  <c r="R185" i="51"/>
  <c r="R187" i="51" s="1"/>
  <c r="O31" i="51"/>
  <c r="Q194" i="51"/>
  <c r="G43" i="60"/>
  <c r="DH43" i="60" s="1"/>
  <c r="J210" i="52"/>
  <c r="O201" i="52"/>
  <c r="L45" i="52"/>
  <c r="M231" i="52"/>
  <c r="O210" i="52"/>
  <c r="Q160" i="51"/>
  <c r="P162" i="51"/>
  <c r="Q23" i="34"/>
  <c r="Y22" i="34" s="1"/>
  <c r="O162" i="51"/>
  <c r="R162" i="51"/>
  <c r="R160" i="51" s="1"/>
  <c r="J138" i="52"/>
  <c r="J194" i="52"/>
  <c r="M154" i="51"/>
  <c r="M145" i="51"/>
  <c r="R170" i="51"/>
  <c r="M88" i="51"/>
  <c r="M148" i="51"/>
  <c r="Q170" i="51"/>
  <c r="O52" i="52"/>
  <c r="O90" i="52"/>
  <c r="O187" i="52"/>
  <c r="O167" i="52" s="1"/>
  <c r="O59" i="52"/>
  <c r="O19" i="52"/>
  <c r="M45" i="52"/>
  <c r="N199" i="52"/>
  <c r="J170" i="52"/>
  <c r="L96" i="52"/>
  <c r="L194" i="52"/>
  <c r="Q71" i="51"/>
  <c r="R71" i="51"/>
  <c r="R109" i="51"/>
  <c r="R31" i="51"/>
  <c r="M50" i="51"/>
  <c r="P170" i="51"/>
  <c r="O170" i="51"/>
  <c r="Q31" i="51"/>
  <c r="Q109" i="51"/>
  <c r="M170" i="51"/>
  <c r="M71" i="51"/>
  <c r="P31" i="51"/>
  <c r="P71" i="51"/>
  <c r="O160" i="51"/>
  <c r="O109" i="51"/>
  <c r="R166" i="50"/>
  <c r="Q166" i="50"/>
  <c r="P166" i="50"/>
  <c r="O166" i="50"/>
  <c r="M166" i="50"/>
  <c r="R176" i="50"/>
  <c r="R175" i="50"/>
  <c r="R170" i="50"/>
  <c r="R169" i="50"/>
  <c r="R145" i="50"/>
  <c r="R141" i="50"/>
  <c r="R98" i="50"/>
  <c r="R82" i="50"/>
  <c r="R79" i="50"/>
  <c r="R67" i="50"/>
  <c r="R47" i="50"/>
  <c r="R168" i="50" s="1"/>
  <c r="R46" i="50"/>
  <c r="R44" i="50"/>
  <c r="R35" i="50"/>
  <c r="R31" i="50"/>
  <c r="R27" i="50"/>
  <c r="R23" i="50"/>
  <c r="R19" i="50"/>
  <c r="R15" i="50"/>
  <c r="Q176" i="50"/>
  <c r="Q175" i="50"/>
  <c r="Q170" i="50"/>
  <c r="Q169" i="50"/>
  <c r="Q28" i="34" s="1"/>
  <c r="Q145" i="50"/>
  <c r="Q141" i="50"/>
  <c r="Q98" i="50"/>
  <c r="Q82" i="50"/>
  <c r="Q79" i="50"/>
  <c r="Q67" i="50"/>
  <c r="Q47" i="50"/>
  <c r="Q46" i="50"/>
  <c r="Q44" i="50"/>
  <c r="Q35" i="50"/>
  <c r="Q31" i="50"/>
  <c r="Q27" i="50"/>
  <c r="Q19" i="50"/>
  <c r="Q15" i="50"/>
  <c r="P176" i="50"/>
  <c r="P175" i="50"/>
  <c r="P170" i="50"/>
  <c r="P169" i="50"/>
  <c r="P145" i="50"/>
  <c r="P141" i="50"/>
  <c r="P98" i="50"/>
  <c r="P86" i="50"/>
  <c r="P79" i="50"/>
  <c r="P67" i="50"/>
  <c r="P47" i="50"/>
  <c r="P46" i="50"/>
  <c r="P44" i="50"/>
  <c r="P35" i="50"/>
  <c r="P31" i="50"/>
  <c r="P27" i="50"/>
  <c r="P23" i="50"/>
  <c r="P19" i="50"/>
  <c r="P15" i="50"/>
  <c r="M176" i="50"/>
  <c r="M175" i="50"/>
  <c r="M170" i="50"/>
  <c r="M145" i="50"/>
  <c r="M141" i="50"/>
  <c r="M132" i="50"/>
  <c r="M129" i="50"/>
  <c r="M98" i="50"/>
  <c r="M86" i="50"/>
  <c r="M79" i="50"/>
  <c r="M67" i="50"/>
  <c r="M63" i="50"/>
  <c r="M59" i="50"/>
  <c r="M55" i="50"/>
  <c r="M50" i="50"/>
  <c r="M47" i="50"/>
  <c r="M46" i="50"/>
  <c r="M44" i="50"/>
  <c r="M42" i="50"/>
  <c r="M31" i="50"/>
  <c r="M23" i="50"/>
  <c r="M19" i="50"/>
  <c r="M15" i="50"/>
  <c r="P278" i="49"/>
  <c r="Q278" i="49"/>
  <c r="R278" i="49"/>
  <c r="S278" i="49"/>
  <c r="N278" i="49"/>
  <c r="L278" i="49"/>
  <c r="M278" i="49"/>
  <c r="S288" i="49"/>
  <c r="S277" i="49"/>
  <c r="S272" i="49"/>
  <c r="S258" i="49"/>
  <c r="S245" i="49"/>
  <c r="S241" i="49"/>
  <c r="S236" i="49"/>
  <c r="S225" i="49"/>
  <c r="S210" i="49"/>
  <c r="S204" i="49"/>
  <c r="S196" i="49"/>
  <c r="S192" i="49"/>
  <c r="S188" i="49"/>
  <c r="S181" i="49"/>
  <c r="S176" i="49"/>
  <c r="S172" i="49"/>
  <c r="S163" i="49"/>
  <c r="S159" i="49"/>
  <c r="S155" i="49"/>
  <c r="S151" i="49"/>
  <c r="S149" i="49"/>
  <c r="S147" i="49"/>
  <c r="S140" i="49"/>
  <c r="S134" i="49"/>
  <c r="S129" i="49"/>
  <c r="S123" i="49"/>
  <c r="S121" i="49"/>
  <c r="S119" i="49"/>
  <c r="S116" i="49"/>
  <c r="S111" i="49"/>
  <c r="S108" i="49"/>
  <c r="S105" i="49"/>
  <c r="S102" i="49"/>
  <c r="S100" i="49"/>
  <c r="S95" i="49"/>
  <c r="S90" i="49"/>
  <c r="S77" i="49"/>
  <c r="S62" i="49"/>
  <c r="S63" i="49" s="1"/>
  <c r="S60" i="49"/>
  <c r="S49" i="49"/>
  <c r="S45" i="49"/>
  <c r="S41" i="49"/>
  <c r="S38" i="49"/>
  <c r="S20" i="49"/>
  <c r="S19" i="49"/>
  <c r="S17" i="49"/>
  <c r="S284" i="49" s="1"/>
  <c r="S16" i="49"/>
  <c r="S280" i="49" s="1"/>
  <c r="R277" i="49"/>
  <c r="R258" i="49"/>
  <c r="R245" i="49"/>
  <c r="R241" i="49"/>
  <c r="R236" i="49"/>
  <c r="R225" i="49"/>
  <c r="R210" i="49"/>
  <c r="R204" i="49"/>
  <c r="R196" i="49"/>
  <c r="R192" i="49"/>
  <c r="R188" i="49"/>
  <c r="R181" i="49"/>
  <c r="R176" i="49"/>
  <c r="R172" i="49"/>
  <c r="R163" i="49"/>
  <c r="R159" i="49"/>
  <c r="R155" i="49"/>
  <c r="R151" i="49"/>
  <c r="R149" i="49"/>
  <c r="R147" i="49"/>
  <c r="R140" i="49"/>
  <c r="R134" i="49"/>
  <c r="R129" i="49"/>
  <c r="R123" i="49"/>
  <c r="R121" i="49"/>
  <c r="R119" i="49"/>
  <c r="R116" i="49"/>
  <c r="R111" i="49"/>
  <c r="R108" i="49"/>
  <c r="R105" i="49"/>
  <c r="R102" i="49"/>
  <c r="R100" i="49"/>
  <c r="R95" i="49"/>
  <c r="R90" i="49"/>
  <c r="R77" i="49"/>
  <c r="R60" i="49"/>
  <c r="R45" i="49"/>
  <c r="R41" i="49"/>
  <c r="R38" i="49"/>
  <c r="R20" i="49"/>
  <c r="R19" i="49"/>
  <c r="R280" i="49"/>
  <c r="Q288" i="49"/>
  <c r="Q286" i="49"/>
  <c r="Q277" i="49"/>
  <c r="Q272" i="49"/>
  <c r="Q266" i="49"/>
  <c r="Q262" i="49"/>
  <c r="Q249" i="49"/>
  <c r="Q245" i="49"/>
  <c r="Q225" i="49"/>
  <c r="Q223" i="49"/>
  <c r="Q219" i="49"/>
  <c r="Q210" i="49"/>
  <c r="Q204" i="49"/>
  <c r="Q196" i="49"/>
  <c r="Q192" i="49"/>
  <c r="Q188" i="49"/>
  <c r="Q176" i="49"/>
  <c r="Q172" i="49"/>
  <c r="Q163" i="49"/>
  <c r="Q159" i="49"/>
  <c r="Q155" i="49"/>
  <c r="Q151" i="49"/>
  <c r="Q149" i="49"/>
  <c r="Q147" i="49"/>
  <c r="Q140" i="49"/>
  <c r="Q134" i="49"/>
  <c r="Q129" i="49"/>
  <c r="Q123" i="49"/>
  <c r="Q121" i="49"/>
  <c r="Q119" i="49"/>
  <c r="Q116" i="49"/>
  <c r="Q111" i="49"/>
  <c r="Q108" i="49"/>
  <c r="Q105" i="49"/>
  <c r="Q102" i="49"/>
  <c r="Q100" i="49"/>
  <c r="Q95" i="49"/>
  <c r="Q90" i="49"/>
  <c r="Q77" i="49"/>
  <c r="Q62" i="49"/>
  <c r="Q60" i="49"/>
  <c r="Q49" i="49"/>
  <c r="Q45" i="49"/>
  <c r="Q41" i="49"/>
  <c r="Q38" i="49"/>
  <c r="Q20" i="49"/>
  <c r="Q19" i="49"/>
  <c r="Q17" i="49"/>
  <c r="Q284" i="49" s="1"/>
  <c r="Q16" i="49"/>
  <c r="N288" i="49"/>
  <c r="N286" i="49"/>
  <c r="N277" i="49"/>
  <c r="N266" i="49"/>
  <c r="N262" i="49"/>
  <c r="N253" i="49"/>
  <c r="N249" i="49"/>
  <c r="N245" i="49"/>
  <c r="N225" i="49"/>
  <c r="N223" i="49"/>
  <c r="N219" i="49"/>
  <c r="N210" i="49"/>
  <c r="N204" i="49"/>
  <c r="N192" i="49"/>
  <c r="N188" i="49"/>
  <c r="N176" i="49"/>
  <c r="N163" i="49"/>
  <c r="N159" i="49"/>
  <c r="N155" i="49"/>
  <c r="N151" i="49"/>
  <c r="N149" i="49"/>
  <c r="N147" i="49"/>
  <c r="N142" i="49"/>
  <c r="N140" i="49"/>
  <c r="N134" i="49"/>
  <c r="N129" i="49"/>
  <c r="N123" i="49"/>
  <c r="N121" i="49"/>
  <c r="N119" i="49"/>
  <c r="N116" i="49"/>
  <c r="N111" i="49"/>
  <c r="N108" i="49"/>
  <c r="N105" i="49"/>
  <c r="N102" i="49"/>
  <c r="N100" i="49"/>
  <c r="N95" i="49"/>
  <c r="N77" i="49"/>
  <c r="N62" i="49"/>
  <c r="N60" i="49"/>
  <c r="N49" i="49"/>
  <c r="N45" i="49"/>
  <c r="N41" i="49"/>
  <c r="N38" i="49"/>
  <c r="N33" i="49"/>
  <c r="N17" i="49"/>
  <c r="N284" i="49" s="1"/>
  <c r="N20" i="49"/>
  <c r="N19" i="49"/>
  <c r="R112" i="48"/>
  <c r="R110" i="48"/>
  <c r="R95" i="48"/>
  <c r="R93" i="48" s="1"/>
  <c r="R92" i="48"/>
  <c r="R82" i="48"/>
  <c r="R80" i="48" s="1"/>
  <c r="R69" i="48"/>
  <c r="R67" i="48"/>
  <c r="R59" i="48"/>
  <c r="R107" i="48" s="1"/>
  <c r="R58" i="48"/>
  <c r="R55" i="48"/>
  <c r="R53" i="48"/>
  <c r="R51" i="48"/>
  <c r="R49" i="48"/>
  <c r="R44" i="48"/>
  <c r="R42" i="48"/>
  <c r="R37" i="48"/>
  <c r="R34" i="48"/>
  <c r="R29" i="48"/>
  <c r="R25" i="48"/>
  <c r="Q112" i="48"/>
  <c r="Q110" i="48"/>
  <c r="Q95" i="48"/>
  <c r="Q92" i="48"/>
  <c r="Q82" i="48"/>
  <c r="Q69" i="48"/>
  <c r="Q67" i="48"/>
  <c r="Q58" i="48"/>
  <c r="Q55" i="48"/>
  <c r="Q53" i="48"/>
  <c r="Q51" i="48"/>
  <c r="Q49" i="48"/>
  <c r="Q44" i="48"/>
  <c r="Q42" i="48"/>
  <c r="Q37" i="48"/>
  <c r="Q34" i="48"/>
  <c r="Q29" i="48"/>
  <c r="Q25" i="48"/>
  <c r="P112" i="48"/>
  <c r="P110" i="48"/>
  <c r="CG23" i="60" s="1"/>
  <c r="DH23" i="60" s="1"/>
  <c r="P95" i="48"/>
  <c r="P92" i="48"/>
  <c r="P82" i="48"/>
  <c r="P69" i="48"/>
  <c r="P67" i="48"/>
  <c r="P58" i="48"/>
  <c r="P55" i="48"/>
  <c r="P53" i="48"/>
  <c r="P51" i="48"/>
  <c r="P49" i="48"/>
  <c r="P44" i="48"/>
  <c r="P42" i="48"/>
  <c r="P37" i="48"/>
  <c r="P34" i="48"/>
  <c r="P29" i="48"/>
  <c r="P25" i="48"/>
  <c r="M112" i="48"/>
  <c r="M110" i="48"/>
  <c r="M108" i="48"/>
  <c r="M95" i="48"/>
  <c r="M92" i="48"/>
  <c r="M84" i="48"/>
  <c r="M82" i="48"/>
  <c r="M69" i="48"/>
  <c r="M67" i="48"/>
  <c r="M58" i="48"/>
  <c r="M55" i="48"/>
  <c r="M53" i="48"/>
  <c r="M51" i="48"/>
  <c r="M49" i="48"/>
  <c r="M44" i="48"/>
  <c r="M42" i="48"/>
  <c r="M37" i="48"/>
  <c r="M34" i="48"/>
  <c r="M29" i="48"/>
  <c r="M25" i="48"/>
  <c r="R116" i="47"/>
  <c r="R107" i="47"/>
  <c r="R108" i="47" s="1"/>
  <c r="R102" i="47"/>
  <c r="R95" i="47"/>
  <c r="R96" i="47" s="1"/>
  <c r="R91" i="47"/>
  <c r="R92" i="47" s="1"/>
  <c r="R86" i="47"/>
  <c r="R78" i="47"/>
  <c r="R74" i="47"/>
  <c r="R68" i="47"/>
  <c r="R69" i="47" s="1"/>
  <c r="R66" i="47"/>
  <c r="R59" i="47"/>
  <c r="R60" i="47" s="1"/>
  <c r="R55" i="47"/>
  <c r="R56" i="47" s="1"/>
  <c r="R50" i="47"/>
  <c r="R51" i="47" s="1"/>
  <c r="R38" i="47"/>
  <c r="R36" i="47"/>
  <c r="R29" i="47"/>
  <c r="R22" i="47"/>
  <c r="R129" i="47" s="1"/>
  <c r="R21" i="47"/>
  <c r="R126" i="47" s="1"/>
  <c r="R20" i="47"/>
  <c r="R123" i="47" s="1"/>
  <c r="R18" i="47"/>
  <c r="R125" i="47" s="1"/>
  <c r="R17" i="47"/>
  <c r="Q116" i="47"/>
  <c r="Q108" i="47"/>
  <c r="Q102" i="47"/>
  <c r="Q95" i="47"/>
  <c r="Q96" i="47" s="1"/>
  <c r="Q91" i="47"/>
  <c r="Q92" i="47" s="1"/>
  <c r="Q86" i="47"/>
  <c r="Q78" i="47"/>
  <c r="Q74" i="47"/>
  <c r="Q68" i="47"/>
  <c r="Q69" i="47" s="1"/>
  <c r="Q66" i="47"/>
  <c r="Q59" i="47"/>
  <c r="Q60" i="47" s="1"/>
  <c r="Q55" i="47"/>
  <c r="Q56" i="47" s="1"/>
  <c r="Q50" i="47"/>
  <c r="Q38" i="47"/>
  <c r="Q36" i="47"/>
  <c r="Q29" i="47"/>
  <c r="Q22" i="47"/>
  <c r="Q21" i="47"/>
  <c r="Q126" i="47" s="1"/>
  <c r="Q20" i="47"/>
  <c r="Q18" i="47"/>
  <c r="P116" i="47"/>
  <c r="P107" i="47"/>
  <c r="P108" i="47" s="1"/>
  <c r="P102" i="47"/>
  <c r="P95" i="47"/>
  <c r="P96" i="47" s="1"/>
  <c r="P91" i="47"/>
  <c r="P92" i="47" s="1"/>
  <c r="P86" i="47"/>
  <c r="P78" i="47"/>
  <c r="P74" i="47"/>
  <c r="P68" i="47"/>
  <c r="P69" i="47" s="1"/>
  <c r="P66" i="47"/>
  <c r="P59" i="47"/>
  <c r="P60" i="47" s="1"/>
  <c r="P56" i="47"/>
  <c r="P50" i="47"/>
  <c r="P51" i="47" s="1"/>
  <c r="P38" i="47"/>
  <c r="P36" i="47"/>
  <c r="P29" i="47"/>
  <c r="P22" i="47"/>
  <c r="P129" i="47" s="1"/>
  <c r="P21" i="47"/>
  <c r="P126" i="47" s="1"/>
  <c r="P20" i="47"/>
  <c r="P123" i="47" s="1"/>
  <c r="P18" i="47"/>
  <c r="P125" i="47" s="1"/>
  <c r="P17" i="47"/>
  <c r="M128" i="47"/>
  <c r="M120" i="47"/>
  <c r="M116" i="47"/>
  <c r="M108" i="47"/>
  <c r="M102" i="47"/>
  <c r="M91" i="47"/>
  <c r="M86" i="47"/>
  <c r="M78" i="47"/>
  <c r="M74" i="47"/>
  <c r="M68" i="47"/>
  <c r="M66" i="47"/>
  <c r="M60" i="47"/>
  <c r="M36" i="47"/>
  <c r="M29" i="47"/>
  <c r="M21" i="47"/>
  <c r="M19" i="47"/>
  <c r="R78" i="46"/>
  <c r="Q78" i="46"/>
  <c r="P78" i="46"/>
  <c r="M78" i="46"/>
  <c r="R88" i="46"/>
  <c r="R87" i="46"/>
  <c r="R86" i="46"/>
  <c r="R85" i="46"/>
  <c r="R77" i="46"/>
  <c r="R75" i="46"/>
  <c r="R72" i="46"/>
  <c r="R68" i="46"/>
  <c r="R63" i="46"/>
  <c r="R58" i="46"/>
  <c r="R45" i="46"/>
  <c r="R46" i="46" s="1"/>
  <c r="R44" i="46"/>
  <c r="R32" i="46"/>
  <c r="R82" i="46"/>
  <c r="R81" i="46" s="1"/>
  <c r="R14" i="46"/>
  <c r="Q88" i="46"/>
  <c r="Q86" i="46"/>
  <c r="Q85" i="46"/>
  <c r="Q77" i="46"/>
  <c r="Q75" i="46"/>
  <c r="Q72" i="46"/>
  <c r="Q68" i="46"/>
  <c r="Q63" i="46"/>
  <c r="Q58" i="46"/>
  <c r="Q45" i="46"/>
  <c r="Q46" i="46" s="1"/>
  <c r="Q44" i="46"/>
  <c r="Q32" i="46"/>
  <c r="Q82" i="46"/>
  <c r="P88" i="46"/>
  <c r="P85" i="46"/>
  <c r="P77" i="46"/>
  <c r="P75" i="46"/>
  <c r="P72" i="46"/>
  <c r="P68" i="46"/>
  <c r="P63" i="46"/>
  <c r="P58" i="46"/>
  <c r="P45" i="46"/>
  <c r="P46" i="46" s="1"/>
  <c r="P44" i="46"/>
  <c r="P32" i="46"/>
  <c r="P82" i="46"/>
  <c r="P81" i="46" s="1"/>
  <c r="P14" i="46"/>
  <c r="P18" i="46" s="1"/>
  <c r="M88" i="46"/>
  <c r="M86" i="46"/>
  <c r="M85" i="46"/>
  <c r="M77" i="46"/>
  <c r="M75" i="46"/>
  <c r="M74" i="46"/>
  <c r="M72" i="46"/>
  <c r="M68" i="46"/>
  <c r="M50" i="46"/>
  <c r="M45" i="46"/>
  <c r="M44" i="46"/>
  <c r="M32" i="46"/>
  <c r="M14" i="46"/>
  <c r="R364" i="45"/>
  <c r="R32" i="34" s="1"/>
  <c r="R352" i="45"/>
  <c r="R346" i="45"/>
  <c r="R344" i="45"/>
  <c r="R339" i="45"/>
  <c r="R334" i="45"/>
  <c r="R323" i="45"/>
  <c r="R318" i="45"/>
  <c r="R313" i="45"/>
  <c r="R305" i="45"/>
  <c r="R291" i="45"/>
  <c r="R287" i="45"/>
  <c r="R282" i="45"/>
  <c r="R277" i="45"/>
  <c r="R272" i="45"/>
  <c r="R261" i="45"/>
  <c r="R259" i="45"/>
  <c r="R248" i="45"/>
  <c r="R245" i="45"/>
  <c r="R242" i="45"/>
  <c r="R214" i="45"/>
  <c r="R213" i="45"/>
  <c r="R209" i="45"/>
  <c r="R184" i="45"/>
  <c r="R169" i="45"/>
  <c r="R166" i="45"/>
  <c r="R162" i="45"/>
  <c r="R149" i="45"/>
  <c r="R143" i="45"/>
  <c r="R137" i="45"/>
  <c r="R131" i="45"/>
  <c r="R113" i="45"/>
  <c r="R106" i="45"/>
  <c r="R78" i="45"/>
  <c r="R74" i="45"/>
  <c r="R70" i="45"/>
  <c r="R65" i="45"/>
  <c r="R59" i="45"/>
  <c r="R54" i="45"/>
  <c r="R50" i="45"/>
  <c r="R40" i="45"/>
  <c r="R35" i="45"/>
  <c r="R30" i="45"/>
  <c r="R25" i="45"/>
  <c r="R370" i="45"/>
  <c r="R20" i="45"/>
  <c r="Q364" i="45"/>
  <c r="Q352" i="45"/>
  <c r="Q346" i="45"/>
  <c r="Q344" i="45"/>
  <c r="Q339" i="45"/>
  <c r="Q334" i="45"/>
  <c r="Q323" i="45"/>
  <c r="Q318" i="45"/>
  <c r="Q313" i="45"/>
  <c r="Q291" i="45"/>
  <c r="Q287" i="45"/>
  <c r="Q282" i="45"/>
  <c r="Q277" i="45"/>
  <c r="Q272" i="45"/>
  <c r="Q261" i="45"/>
  <c r="Q259" i="45"/>
  <c r="Q248" i="45"/>
  <c r="Q245" i="45"/>
  <c r="Q242" i="45"/>
  <c r="Q233" i="45"/>
  <c r="Q200" i="45"/>
  <c r="G11" i="60" s="1"/>
  <c r="Q169" i="45"/>
  <c r="Q166" i="45"/>
  <c r="Q162" i="45"/>
  <c r="Q149" i="45"/>
  <c r="Q143" i="45"/>
  <c r="Q137" i="45"/>
  <c r="Q131" i="45"/>
  <c r="Q125" i="45"/>
  <c r="Q113" i="45"/>
  <c r="Q106" i="45"/>
  <c r="Q78" i="45"/>
  <c r="Q74" i="45"/>
  <c r="Q70" i="45"/>
  <c r="Q65" i="45"/>
  <c r="Q59" i="45"/>
  <c r="Q54" i="45"/>
  <c r="Q50" i="45"/>
  <c r="Q40" i="45"/>
  <c r="Q35" i="45"/>
  <c r="Q30" i="45"/>
  <c r="Q25" i="45"/>
  <c r="Q19" i="45"/>
  <c r="Q370" i="45" s="1"/>
  <c r="CZ11" i="60" s="1"/>
  <c r="Q17" i="45"/>
  <c r="Q16" i="45"/>
  <c r="P364" i="45"/>
  <c r="P32" i="34" s="1"/>
  <c r="P355" i="45"/>
  <c r="P352" i="45"/>
  <c r="P346" i="45"/>
  <c r="P344" i="45"/>
  <c r="P339" i="45"/>
  <c r="P334" i="45"/>
  <c r="P323" i="45"/>
  <c r="P318" i="45"/>
  <c r="P313" i="45"/>
  <c r="P291" i="45"/>
  <c r="P287" i="45"/>
  <c r="P282" i="45"/>
  <c r="P277" i="45"/>
  <c r="P272" i="45"/>
  <c r="P261" i="45"/>
  <c r="P259" i="45"/>
  <c r="P248" i="45"/>
  <c r="P245" i="45"/>
  <c r="P242" i="45"/>
  <c r="P184" i="45"/>
  <c r="P169" i="45"/>
  <c r="P166" i="45"/>
  <c r="P162" i="45"/>
  <c r="P149" i="45"/>
  <c r="P143" i="45"/>
  <c r="P137" i="45"/>
  <c r="P131" i="45"/>
  <c r="P125" i="45"/>
  <c r="R119" i="45"/>
  <c r="P113" i="45"/>
  <c r="P106" i="45"/>
  <c r="P99" i="45"/>
  <c r="P92" i="45"/>
  <c r="R90" i="45"/>
  <c r="P78" i="45"/>
  <c r="P74" i="45"/>
  <c r="P70" i="45"/>
  <c r="P65" i="45"/>
  <c r="P59" i="45"/>
  <c r="P54" i="45"/>
  <c r="P50" i="45"/>
  <c r="P40" i="45"/>
  <c r="P35" i="45"/>
  <c r="P30" i="45"/>
  <c r="P25" i="45"/>
  <c r="P370" i="45"/>
  <c r="M368" i="45"/>
  <c r="M364" i="45"/>
  <c r="N32" i="34" s="1"/>
  <c r="M359" i="45"/>
  <c r="M355" i="45"/>
  <c r="M352" i="45"/>
  <c r="M348" i="45"/>
  <c r="M346" i="45"/>
  <c r="M344" i="45"/>
  <c r="M339" i="45"/>
  <c r="M334" i="45"/>
  <c r="M328" i="45"/>
  <c r="M323" i="45"/>
  <c r="M318" i="45"/>
  <c r="M304" i="45"/>
  <c r="M296" i="45"/>
  <c r="M287" i="45"/>
  <c r="M282" i="45"/>
  <c r="M277" i="45"/>
  <c r="M272" i="45"/>
  <c r="M261" i="45"/>
  <c r="M259" i="45"/>
  <c r="M248" i="45"/>
  <c r="M245" i="45"/>
  <c r="M242" i="45"/>
  <c r="M239" i="45"/>
  <c r="Q383" i="45"/>
  <c r="Q384" i="45" s="1"/>
  <c r="M184" i="45"/>
  <c r="M169" i="45"/>
  <c r="M166" i="45"/>
  <c r="M162" i="45"/>
  <c r="M155" i="45"/>
  <c r="M149" i="45"/>
  <c r="M143" i="45"/>
  <c r="M137" i="45"/>
  <c r="M131" i="45"/>
  <c r="M125" i="45"/>
  <c r="M119" i="45"/>
  <c r="M113" i="45"/>
  <c r="M106" i="45"/>
  <c r="M99" i="45"/>
  <c r="M92" i="45"/>
  <c r="M78" i="45"/>
  <c r="M74" i="45"/>
  <c r="M70" i="45"/>
  <c r="M65" i="45"/>
  <c r="M59" i="45"/>
  <c r="M54" i="45"/>
  <c r="M50" i="45"/>
  <c r="M45" i="45"/>
  <c r="M40" i="45"/>
  <c r="M35" i="45"/>
  <c r="M30" i="45"/>
  <c r="M370" i="45"/>
  <c r="R207" i="56"/>
  <c r="R206" i="56"/>
  <c r="R204" i="56"/>
  <c r="R199" i="56"/>
  <c r="R191" i="56"/>
  <c r="R187" i="56"/>
  <c r="R183" i="56" s="1"/>
  <c r="R182" i="56"/>
  <c r="R175" i="56"/>
  <c r="R172" i="56"/>
  <c r="R169" i="56"/>
  <c r="R167" i="56"/>
  <c r="R161" i="56"/>
  <c r="R160" i="56"/>
  <c r="R159" i="56"/>
  <c r="R216" i="56" s="1"/>
  <c r="R158" i="56"/>
  <c r="R209" i="56" s="1"/>
  <c r="R136" i="56"/>
  <c r="R131" i="56"/>
  <c r="R129" i="56" s="1"/>
  <c r="R128" i="56"/>
  <c r="R126" i="56"/>
  <c r="R123" i="56"/>
  <c r="R120" i="56"/>
  <c r="R117" i="56"/>
  <c r="R115" i="56"/>
  <c r="R106" i="56"/>
  <c r="R98" i="56"/>
  <c r="R94" i="56"/>
  <c r="R91" i="56"/>
  <c r="R88" i="56"/>
  <c r="R86" i="56"/>
  <c r="R84" i="56"/>
  <c r="R81" i="56"/>
  <c r="R79" i="56"/>
  <c r="R76" i="56"/>
  <c r="R71" i="56"/>
  <c r="R69" i="56"/>
  <c r="R66" i="56"/>
  <c r="R64" i="56"/>
  <c r="R61" i="56"/>
  <c r="R58" i="56"/>
  <c r="R56" i="56"/>
  <c r="R54" i="56"/>
  <c r="R52" i="56"/>
  <c r="R50" i="56"/>
  <c r="R47" i="56"/>
  <c r="R40" i="56"/>
  <c r="R35" i="56"/>
  <c r="R33" i="56"/>
  <c r="R31" i="56"/>
  <c r="P207" i="56"/>
  <c r="P206" i="56"/>
  <c r="P204" i="56"/>
  <c r="P199" i="56"/>
  <c r="P191" i="56"/>
  <c r="P187" i="56"/>
  <c r="P183" i="56" s="1"/>
  <c r="P182" i="56"/>
  <c r="P175" i="56"/>
  <c r="P172" i="56"/>
  <c r="P169" i="56"/>
  <c r="P167" i="56"/>
  <c r="P161" i="56"/>
  <c r="P160" i="56"/>
  <c r="P159" i="56"/>
  <c r="P216" i="56" s="1"/>
  <c r="P158" i="56"/>
  <c r="P209" i="56" s="1"/>
  <c r="P136" i="56"/>
  <c r="P131" i="56"/>
  <c r="P129" i="56" s="1"/>
  <c r="P128" i="56"/>
  <c r="P126" i="56"/>
  <c r="P120" i="56"/>
  <c r="P117" i="56"/>
  <c r="P115" i="56"/>
  <c r="P106" i="56"/>
  <c r="P98" i="56"/>
  <c r="P94" i="56"/>
  <c r="P91" i="56"/>
  <c r="P88" i="56"/>
  <c r="P86" i="56"/>
  <c r="P84" i="56"/>
  <c r="P81" i="56"/>
  <c r="P79" i="56"/>
  <c r="P76" i="56"/>
  <c r="P73" i="56"/>
  <c r="P71" i="56"/>
  <c r="P69" i="56"/>
  <c r="P66" i="56"/>
  <c r="P64" i="56"/>
  <c r="P61" i="56"/>
  <c r="P58" i="56"/>
  <c r="P56" i="56"/>
  <c r="P54" i="56"/>
  <c r="P52" i="56"/>
  <c r="P50" i="56"/>
  <c r="P47" i="56"/>
  <c r="P40" i="56"/>
  <c r="P35" i="56"/>
  <c r="P33" i="56"/>
  <c r="P31" i="56"/>
  <c r="M207" i="56"/>
  <c r="M206" i="56"/>
  <c r="M204" i="56"/>
  <c r="M199" i="56"/>
  <c r="M191" i="56"/>
  <c r="M187" i="56"/>
  <c r="M183" i="56" s="1"/>
  <c r="M182" i="56"/>
  <c r="M175" i="56"/>
  <c r="M172" i="56"/>
  <c r="M169" i="56"/>
  <c r="M167" i="56"/>
  <c r="M161" i="56"/>
  <c r="M160" i="56"/>
  <c r="M159" i="56"/>
  <c r="M158" i="56"/>
  <c r="M209" i="56" s="1"/>
  <c r="M136" i="56"/>
  <c r="M131" i="56"/>
  <c r="M128" i="56"/>
  <c r="M126" i="56"/>
  <c r="M120" i="56"/>
  <c r="M117" i="56"/>
  <c r="M115" i="56"/>
  <c r="M106" i="56"/>
  <c r="M98" i="56"/>
  <c r="M94" i="56"/>
  <c r="M91" i="56"/>
  <c r="M88" i="56"/>
  <c r="M86" i="56"/>
  <c r="M84" i="56"/>
  <c r="M81" i="56"/>
  <c r="M79" i="56"/>
  <c r="M76" i="56"/>
  <c r="M73" i="56"/>
  <c r="M71" i="56"/>
  <c r="M69" i="56"/>
  <c r="M66" i="56"/>
  <c r="M64" i="56"/>
  <c r="M61" i="56"/>
  <c r="M58" i="56"/>
  <c r="M56" i="56"/>
  <c r="M54" i="56"/>
  <c r="M52" i="56"/>
  <c r="M50" i="56"/>
  <c r="M47" i="56"/>
  <c r="M40" i="56"/>
  <c r="M35" i="56"/>
  <c r="M33" i="56"/>
  <c r="M31" i="56"/>
  <c r="M26" i="56"/>
  <c r="Q207" i="56"/>
  <c r="Q206" i="56"/>
  <c r="Q204" i="56"/>
  <c r="Q198" i="56"/>
  <c r="Q199" i="56" s="1"/>
  <c r="Q191" i="56"/>
  <c r="Q187" i="56"/>
  <c r="Q183" i="56" s="1"/>
  <c r="Q182" i="56"/>
  <c r="Q175" i="56"/>
  <c r="Q172" i="56"/>
  <c r="Q169" i="56"/>
  <c r="Q167" i="56"/>
  <c r="Q161" i="56"/>
  <c r="Q160" i="56"/>
  <c r="Q159" i="56"/>
  <c r="Q216" i="56" s="1"/>
  <c r="Q131" i="56"/>
  <c r="Q129" i="56" s="1"/>
  <c r="Q128" i="56"/>
  <c r="Q126" i="56"/>
  <c r="Q120" i="56"/>
  <c r="Q117" i="56"/>
  <c r="Q115" i="56"/>
  <c r="Q106" i="56"/>
  <c r="Q94" i="56"/>
  <c r="Q91" i="56"/>
  <c r="Q88" i="56"/>
  <c r="Q86" i="56"/>
  <c r="Q84" i="56"/>
  <c r="Q81" i="56"/>
  <c r="Q79" i="56"/>
  <c r="Q76" i="56"/>
  <c r="Q73" i="56"/>
  <c r="Q71" i="56"/>
  <c r="Q69" i="56"/>
  <c r="Q66" i="56"/>
  <c r="Q64" i="56"/>
  <c r="Q61" i="56"/>
  <c r="Q58" i="56"/>
  <c r="Q56" i="56"/>
  <c r="Q54" i="56"/>
  <c r="Q52" i="56"/>
  <c r="Q50" i="56"/>
  <c r="Q47" i="56"/>
  <c r="Q40" i="56"/>
  <c r="Q35" i="56"/>
  <c r="Q33" i="56"/>
  <c r="Q31" i="56"/>
  <c r="Q19" i="56"/>
  <c r="AA95" i="56"/>
  <c r="K107" i="47"/>
  <c r="N107" i="47" s="1"/>
  <c r="K263" i="45"/>
  <c r="N263" i="45" s="1"/>
  <c r="Q20" i="45" l="1"/>
  <c r="CG11" i="60"/>
  <c r="CG47" i="60" s="1"/>
  <c r="N209" i="52"/>
  <c r="Q51" i="47"/>
  <c r="P151" i="47"/>
  <c r="G19" i="60"/>
  <c r="G22" i="60" s="1"/>
  <c r="Q123" i="47"/>
  <c r="AB19" i="60"/>
  <c r="Q129" i="47"/>
  <c r="CZ19" i="60"/>
  <c r="T11" i="60"/>
  <c r="T14" i="60" s="1"/>
  <c r="Q363" i="45"/>
  <c r="Q32" i="34"/>
  <c r="AJ11" i="60"/>
  <c r="AB27" i="60"/>
  <c r="R283" i="49"/>
  <c r="CZ27" i="60"/>
  <c r="CZ47" i="60" s="1"/>
  <c r="R288" i="49"/>
  <c r="Q38" i="34" s="1"/>
  <c r="Q31" i="34"/>
  <c r="Q81" i="46"/>
  <c r="R80" i="46"/>
  <c r="R79" i="46" s="1"/>
  <c r="R89" i="46" s="1"/>
  <c r="R16" i="34" s="1"/>
  <c r="Q209" i="56"/>
  <c r="T15" i="60"/>
  <c r="P80" i="46"/>
  <c r="P103" i="46"/>
  <c r="P106" i="46" s="1"/>
  <c r="M80" i="46"/>
  <c r="R189" i="51"/>
  <c r="R34" i="34"/>
  <c r="P34" i="34"/>
  <c r="Q366" i="45"/>
  <c r="BU11" i="60" s="1"/>
  <c r="G7" i="60"/>
  <c r="S224" i="56"/>
  <c r="Q168" i="50"/>
  <c r="P168" i="50"/>
  <c r="M168" i="50"/>
  <c r="Q199" i="50"/>
  <c r="Q201" i="50" s="1"/>
  <c r="G46" i="60"/>
  <c r="S228" i="56"/>
  <c r="BF7" i="60"/>
  <c r="DH7" i="60" s="1"/>
  <c r="N280" i="49"/>
  <c r="R307" i="49"/>
  <c r="R310" i="49" s="1"/>
  <c r="Q23" i="56"/>
  <c r="Q203" i="45"/>
  <c r="G14" i="60"/>
  <c r="Q214" i="56"/>
  <c r="P38" i="34"/>
  <c r="Q100" i="47"/>
  <c r="M122" i="47"/>
  <c r="M367" i="45"/>
  <c r="P367" i="45"/>
  <c r="N36" i="34"/>
  <c r="M214" i="56"/>
  <c r="P214" i="56"/>
  <c r="P208" i="56" s="1"/>
  <c r="P218" i="56" s="1"/>
  <c r="R214" i="56"/>
  <c r="R208" i="56" s="1"/>
  <c r="R218" i="56" s="1"/>
  <c r="R14" i="34" s="1"/>
  <c r="M216" i="56"/>
  <c r="P228" i="56" s="1"/>
  <c r="R28" i="34"/>
  <c r="N28" i="34"/>
  <c r="M100" i="47"/>
  <c r="Q146" i="47"/>
  <c r="Q148" i="47" s="1"/>
  <c r="R367" i="45"/>
  <c r="Q367" i="45"/>
  <c r="P31" i="34"/>
  <c r="P305" i="45"/>
  <c r="R38" i="34"/>
  <c r="Q184" i="45"/>
  <c r="Q136" i="56"/>
  <c r="R159" i="51"/>
  <c r="R169" i="51" s="1"/>
  <c r="R21" i="34" s="1"/>
  <c r="O159" i="51"/>
  <c r="O169" i="51" s="1"/>
  <c r="Q159" i="51"/>
  <c r="Q169" i="51" s="1"/>
  <c r="Q61" i="48"/>
  <c r="P23" i="34"/>
  <c r="R100" i="47"/>
  <c r="M43" i="47"/>
  <c r="M125" i="47"/>
  <c r="N34" i="34" s="1"/>
  <c r="M51" i="47"/>
  <c r="M92" i="47"/>
  <c r="M56" i="47"/>
  <c r="M96" i="47"/>
  <c r="M129" i="47"/>
  <c r="N38" i="34" s="1"/>
  <c r="P100" i="47"/>
  <c r="M69" i="47"/>
  <c r="M63" i="47" s="1"/>
  <c r="M123" i="47"/>
  <c r="M126" i="47"/>
  <c r="M129" i="56"/>
  <c r="R61" i="48"/>
  <c r="R56" i="48" s="1"/>
  <c r="M52" i="46"/>
  <c r="M82" i="46"/>
  <c r="R29" i="46"/>
  <c r="M46" i="46"/>
  <c r="O199" i="52"/>
  <c r="O209" i="52" s="1"/>
  <c r="P106" i="48"/>
  <c r="P114" i="48" s="1"/>
  <c r="P18" i="34" s="1"/>
  <c r="R90" i="47"/>
  <c r="R363" i="45"/>
  <c r="R31" i="34" s="1"/>
  <c r="R328" i="45"/>
  <c r="R372" i="45" s="1"/>
  <c r="I249" i="45"/>
  <c r="S283" i="49"/>
  <c r="M130" i="50"/>
  <c r="Q305" i="45"/>
  <c r="R215" i="45"/>
  <c r="M61" i="48"/>
  <c r="P95" i="56"/>
  <c r="P162" i="56"/>
  <c r="P132" i="56" s="1"/>
  <c r="R162" i="56"/>
  <c r="R132" i="56" s="1"/>
  <c r="M199" i="52"/>
  <c r="M209" i="52" s="1"/>
  <c r="P22" i="34" s="1"/>
  <c r="L199" i="52"/>
  <c r="L209" i="52" s="1"/>
  <c r="P160" i="51"/>
  <c r="R16" i="51"/>
  <c r="Q16" i="51"/>
  <c r="P16" i="51"/>
  <c r="P178" i="50"/>
  <c r="P173" i="50"/>
  <c r="Q171" i="50"/>
  <c r="R173" i="50"/>
  <c r="R171" i="50"/>
  <c r="Q23" i="50"/>
  <c r="R86" i="50"/>
  <c r="M171" i="50"/>
  <c r="Q173" i="50"/>
  <c r="Q86" i="50"/>
  <c r="Q178" i="50" s="1"/>
  <c r="M35" i="50"/>
  <c r="P171" i="50"/>
  <c r="M178" i="50"/>
  <c r="M27" i="50"/>
  <c r="M51" i="50"/>
  <c r="M173" i="50"/>
  <c r="S21" i="49"/>
  <c r="S15" i="49" s="1"/>
  <c r="R47" i="48"/>
  <c r="R22" i="48"/>
  <c r="S35" i="49"/>
  <c r="S96" i="49"/>
  <c r="S160" i="49"/>
  <c r="S290" i="49"/>
  <c r="S287" i="49"/>
  <c r="Q168" i="49"/>
  <c r="R272" i="49"/>
  <c r="N63" i="49"/>
  <c r="N196" i="49"/>
  <c r="Q63" i="49"/>
  <c r="Q35" i="49" s="1"/>
  <c r="R63" i="49"/>
  <c r="R290" i="49"/>
  <c r="S282" i="49"/>
  <c r="N282" i="49"/>
  <c r="Q181" i="49"/>
  <c r="R96" i="49"/>
  <c r="N181" i="49"/>
  <c r="N285" i="49"/>
  <c r="Q21" i="49"/>
  <c r="Q15" i="49" s="1"/>
  <c r="R21" i="49"/>
  <c r="R15" i="49" s="1"/>
  <c r="R282" i="49"/>
  <c r="R49" i="49"/>
  <c r="N241" i="49"/>
  <c r="N272" i="49"/>
  <c r="Q283" i="49"/>
  <c r="P33" i="34" s="1"/>
  <c r="Q96" i="49"/>
  <c r="Q280" i="49"/>
  <c r="N96" i="49"/>
  <c r="Q282" i="49"/>
  <c r="N168" i="49"/>
  <c r="N283" i="49"/>
  <c r="N33" i="34" s="1"/>
  <c r="N287" i="49"/>
  <c r="N21" i="49"/>
  <c r="N90" i="49"/>
  <c r="N258" i="49"/>
  <c r="P61" i="48"/>
  <c r="R63" i="47"/>
  <c r="R122" i="47"/>
  <c r="R121" i="47" s="1"/>
  <c r="R130" i="47" s="1"/>
  <c r="R17" i="34" s="1"/>
  <c r="R41" i="47"/>
  <c r="P41" i="47"/>
  <c r="R23" i="47"/>
  <c r="R16" i="47" s="1"/>
  <c r="P122" i="47"/>
  <c r="P121" i="47" s="1"/>
  <c r="P130" i="47" s="1"/>
  <c r="P17" i="34" s="1"/>
  <c r="Q16" i="47"/>
  <c r="Q154" i="47" s="1"/>
  <c r="Q155" i="47" s="1"/>
  <c r="Q90" i="47"/>
  <c r="P63" i="47"/>
  <c r="Q63" i="47"/>
  <c r="P90" i="47"/>
  <c r="P16" i="47"/>
  <c r="P154" i="47" s="1"/>
  <c r="P155" i="47" s="1"/>
  <c r="Q125" i="47"/>
  <c r="BU19" i="60" s="1"/>
  <c r="Q122" i="47"/>
  <c r="M38" i="47"/>
  <c r="R18" i="46"/>
  <c r="R13" i="46" s="1"/>
  <c r="P13" i="46"/>
  <c r="M18" i="46"/>
  <c r="Q328" i="45"/>
  <c r="Q369" i="45"/>
  <c r="P119" i="45"/>
  <c r="R97" i="45"/>
  <c r="R99" i="45" s="1"/>
  <c r="R189" i="56"/>
  <c r="R118" i="56"/>
  <c r="R95" i="56"/>
  <c r="R36" i="56"/>
  <c r="M36" i="56"/>
  <c r="R296" i="45"/>
  <c r="R368" i="45"/>
  <c r="R36" i="34" s="1"/>
  <c r="R92" i="45"/>
  <c r="R355" i="45"/>
  <c r="R350" i="45" s="1"/>
  <c r="R369" i="45"/>
  <c r="M369" i="45"/>
  <c r="Q385" i="45" s="1"/>
  <c r="P369" i="45"/>
  <c r="P328" i="45"/>
  <c r="Q215" i="45"/>
  <c r="P296" i="45"/>
  <c r="P368" i="45"/>
  <c r="P36" i="34" s="1"/>
  <c r="Q296" i="45"/>
  <c r="Q368" i="45"/>
  <c r="Q36" i="34" s="1"/>
  <c r="P365" i="45"/>
  <c r="P362" i="45" s="1"/>
  <c r="P239" i="45"/>
  <c r="P215" i="45"/>
  <c r="M363" i="45"/>
  <c r="M362" i="45" s="1"/>
  <c r="M234" i="45"/>
  <c r="M167" i="45" s="1"/>
  <c r="P234" i="45"/>
  <c r="P167" i="45" s="1"/>
  <c r="M267" i="45"/>
  <c r="M305" i="45"/>
  <c r="M215" i="45"/>
  <c r="P20" i="45"/>
  <c r="M20" i="45"/>
  <c r="R23" i="56"/>
  <c r="R18" i="56" s="1"/>
  <c r="M95" i="56"/>
  <c r="P23" i="56"/>
  <c r="P18" i="56" s="1"/>
  <c r="P189" i="56"/>
  <c r="M162" i="56"/>
  <c r="M189" i="56"/>
  <c r="M23" i="56"/>
  <c r="Q98" i="56"/>
  <c r="Q162" i="56"/>
  <c r="Q132" i="56" s="1"/>
  <c r="K213" i="45"/>
  <c r="Z11" i="61" l="1"/>
  <c r="N266" i="52"/>
  <c r="N220" i="52"/>
  <c r="P372" i="45"/>
  <c r="Q22" i="34"/>
  <c r="Y21" i="34" s="1"/>
  <c r="DH27" i="60"/>
  <c r="P27" i="34"/>
  <c r="AB22" i="60"/>
  <c r="DH19" i="60"/>
  <c r="P79" i="46"/>
  <c r="P89" i="46" s="1"/>
  <c r="P16" i="34" s="1"/>
  <c r="AJ14" i="60"/>
  <c r="AJ47" i="60"/>
  <c r="AJ49" i="60" s="1"/>
  <c r="N27" i="34"/>
  <c r="AB30" i="60"/>
  <c r="Q208" i="56"/>
  <c r="Q218" i="56" s="1"/>
  <c r="BU22" i="60"/>
  <c r="P14" i="34"/>
  <c r="BU47" i="60"/>
  <c r="BU49" i="60" s="1"/>
  <c r="T47" i="60"/>
  <c r="T49" i="60" s="1"/>
  <c r="T18" i="60"/>
  <c r="P109" i="46"/>
  <c r="L220" i="52"/>
  <c r="N211" i="52"/>
  <c r="Q171" i="51"/>
  <c r="Q21" i="34"/>
  <c r="Y20" i="34" s="1"/>
  <c r="Z13" i="61"/>
  <c r="R311" i="49"/>
  <c r="R22" i="34"/>
  <c r="Q203" i="50"/>
  <c r="N30" i="34"/>
  <c r="Q34" i="34"/>
  <c r="BU14" i="60"/>
  <c r="G10" i="60"/>
  <c r="R30" i="34"/>
  <c r="P30" i="34"/>
  <c r="Q30" i="34"/>
  <c r="Q149" i="47"/>
  <c r="P35" i="34"/>
  <c r="P37" i="34"/>
  <c r="N31" i="34"/>
  <c r="M90" i="47"/>
  <c r="M16" i="47"/>
  <c r="M154" i="47" s="1"/>
  <c r="M155" i="47" s="1"/>
  <c r="M41" i="47"/>
  <c r="R37" i="34"/>
  <c r="Q37" i="34"/>
  <c r="Q35" i="34"/>
  <c r="R35" i="34"/>
  <c r="R83" i="45"/>
  <c r="R85" i="45" s="1"/>
  <c r="R14" i="45" s="1"/>
  <c r="M132" i="56"/>
  <c r="M208" i="56"/>
  <c r="M218" i="56" s="1"/>
  <c r="N14" i="34" s="1"/>
  <c r="N35" i="34"/>
  <c r="O220" i="52"/>
  <c r="R27" i="34"/>
  <c r="M360" i="45"/>
  <c r="M371" i="45" s="1"/>
  <c r="N15" i="34" s="1"/>
  <c r="R177" i="51"/>
  <c r="P159" i="51"/>
  <c r="P169" i="51" s="1"/>
  <c r="P21" i="34" s="1"/>
  <c r="O177" i="51"/>
  <c r="R97" i="46"/>
  <c r="Q177" i="51"/>
  <c r="Q106" i="48"/>
  <c r="Q114" i="48" s="1"/>
  <c r="R281" i="49"/>
  <c r="R279" i="49" s="1"/>
  <c r="R289" i="49" s="1"/>
  <c r="R35" i="49"/>
  <c r="S281" i="49"/>
  <c r="S279" i="49" s="1"/>
  <c r="S289" i="49" s="1"/>
  <c r="R19" i="34" s="1"/>
  <c r="M121" i="47"/>
  <c r="M130" i="47" s="1"/>
  <c r="N17" i="34" s="1"/>
  <c r="P14" i="45"/>
  <c r="P433" i="45" s="1"/>
  <c r="M14" i="45"/>
  <c r="M433" i="45" s="1"/>
  <c r="M18" i="56"/>
  <c r="M13" i="46"/>
  <c r="M81" i="46"/>
  <c r="M211" i="52"/>
  <c r="R262" i="45"/>
  <c r="Q372" i="45"/>
  <c r="M220" i="52"/>
  <c r="N15" i="49"/>
  <c r="M372" i="45"/>
  <c r="R106" i="48"/>
  <c r="R114" i="48" s="1"/>
  <c r="R18" i="34" s="1"/>
  <c r="M106" i="48"/>
  <c r="M114" i="48" s="1"/>
  <c r="N18" i="34" s="1"/>
  <c r="N35" i="49"/>
  <c r="O211" i="52"/>
  <c r="J220" i="52"/>
  <c r="Q167" i="50"/>
  <c r="Q177" i="50" s="1"/>
  <c r="R12" i="50"/>
  <c r="P167" i="50"/>
  <c r="P177" i="50" s="1"/>
  <c r="P20" i="34" s="1"/>
  <c r="M167" i="50"/>
  <c r="R167" i="50"/>
  <c r="R177" i="50" s="1"/>
  <c r="R20" i="34" s="1"/>
  <c r="R178" i="50"/>
  <c r="R40" i="34" s="1"/>
  <c r="M12" i="50"/>
  <c r="R160" i="49"/>
  <c r="R305" i="49" s="1"/>
  <c r="R317" i="49" s="1"/>
  <c r="N281" i="49"/>
  <c r="N290" i="49"/>
  <c r="Q160" i="49"/>
  <c r="Q305" i="49" s="1"/>
  <c r="Q317" i="49" s="1"/>
  <c r="Q290" i="49"/>
  <c r="P40" i="34" s="1"/>
  <c r="Q281" i="49"/>
  <c r="N160" i="49"/>
  <c r="N305" i="49" s="1"/>
  <c r="N317" i="49" s="1"/>
  <c r="R141" i="47"/>
  <c r="Q121" i="47"/>
  <c r="Q130" i="47" s="1"/>
  <c r="P141" i="47"/>
  <c r="R365" i="45"/>
  <c r="R362" i="45" s="1"/>
  <c r="P360" i="45"/>
  <c r="P371" i="45" s="1"/>
  <c r="P15" i="34" s="1"/>
  <c r="R239" i="45"/>
  <c r="R234" i="45"/>
  <c r="R167" i="45" s="1"/>
  <c r="M434" i="45" l="1"/>
  <c r="P434" i="45"/>
  <c r="P97" i="46"/>
  <c r="Q14" i="34"/>
  <c r="Y13" i="34" s="1"/>
  <c r="Q20" i="34"/>
  <c r="Y19" i="34" s="1"/>
  <c r="Q17" i="34"/>
  <c r="Y16" i="34" s="1"/>
  <c r="Q18" i="34"/>
  <c r="Y17" i="34" s="1"/>
  <c r="P220" i="56"/>
  <c r="N29" i="34"/>
  <c r="N23" i="34"/>
  <c r="P29" i="34"/>
  <c r="P39" i="34" s="1"/>
  <c r="Q40" i="34"/>
  <c r="R360" i="45"/>
  <c r="R371" i="45" s="1"/>
  <c r="R15" i="34" s="1"/>
  <c r="R24" i="34" s="1"/>
  <c r="R33" i="34"/>
  <c r="R29" i="34" s="1"/>
  <c r="R25" i="34" s="1"/>
  <c r="R39" i="34" s="1"/>
  <c r="P177" i="51"/>
  <c r="Q188" i="50"/>
  <c r="R188" i="50"/>
  <c r="M141" i="47"/>
  <c r="N40" i="34"/>
  <c r="M177" i="50"/>
  <c r="N279" i="49"/>
  <c r="P378" i="45"/>
  <c r="P188" i="50"/>
  <c r="Q19" i="34"/>
  <c r="Y18" i="34" s="1"/>
  <c r="Q279" i="49"/>
  <c r="Q289" i="49" s="1"/>
  <c r="P19" i="34" s="1"/>
  <c r="P24" i="34" s="1"/>
  <c r="S301" i="49"/>
  <c r="S302" i="49" s="1"/>
  <c r="Q141" i="47"/>
  <c r="L25" i="49"/>
  <c r="O25" i="49" s="1"/>
  <c r="B10" i="52"/>
  <c r="K167" i="51"/>
  <c r="K28" i="51"/>
  <c r="BB35" i="60" s="1"/>
  <c r="O175" i="50"/>
  <c r="K175" i="50"/>
  <c r="K29" i="50"/>
  <c r="N29" i="50" s="1"/>
  <c r="K171" i="45"/>
  <c r="N171" i="45" s="1"/>
  <c r="K75" i="45"/>
  <c r="N75" i="45" s="1"/>
  <c r="K163" i="45"/>
  <c r="N163" i="45" s="1"/>
  <c r="K76" i="45"/>
  <c r="N76" i="45" s="1"/>
  <c r="K85" i="56"/>
  <c r="N85" i="56" s="1"/>
  <c r="K39" i="47"/>
  <c r="K241" i="45"/>
  <c r="N241" i="45" s="1"/>
  <c r="K238" i="45"/>
  <c r="N238" i="45" s="1"/>
  <c r="N175" i="50" l="1"/>
  <c r="P25" i="34"/>
  <c r="R378" i="45"/>
  <c r="P183" i="51"/>
  <c r="K168" i="45"/>
  <c r="N168" i="45" s="1"/>
  <c r="R42" i="34"/>
  <c r="P42" i="34"/>
  <c r="N20" i="34"/>
  <c r="R301" i="49"/>
  <c r="R302" i="49" s="1"/>
  <c r="M188" i="50"/>
  <c r="N289" i="49"/>
  <c r="N19" i="34" s="1"/>
  <c r="Q301" i="49"/>
  <c r="Q302" i="49" s="1"/>
  <c r="L22" i="49"/>
  <c r="O22" i="49" s="1"/>
  <c r="K102" i="45"/>
  <c r="N102" i="45" s="1"/>
  <c r="K95" i="45"/>
  <c r="N95" i="45" s="1"/>
  <c r="L16" i="49" l="1"/>
  <c r="N301" i="49"/>
  <c r="N302" i="49" s="1"/>
  <c r="M378" i="45"/>
  <c r="K26" i="56"/>
  <c r="H196" i="52"/>
  <c r="K196" i="52" s="1"/>
  <c r="H53" i="52"/>
  <c r="K53" i="52" s="1"/>
  <c r="H64" i="52"/>
  <c r="K64" i="52" s="1"/>
  <c r="H57" i="52"/>
  <c r="K57" i="52" s="1"/>
  <c r="H36" i="52"/>
  <c r="P307" i="49" l="1"/>
  <c r="O16" i="49"/>
  <c r="K19" i="56"/>
  <c r="N19" i="56" s="1"/>
  <c r="N26" i="56"/>
  <c r="K36" i="52"/>
  <c r="N224" i="56" l="1"/>
  <c r="L64" i="56"/>
  <c r="O64" i="56"/>
  <c r="K64" i="56"/>
  <c r="N64" i="56" l="1"/>
  <c r="Q224" i="56"/>
  <c r="L232" i="56"/>
  <c r="L236" i="56" s="1"/>
  <c r="S47" i="34"/>
  <c r="N167" i="51" l="1"/>
  <c r="K15" i="45" l="1"/>
  <c r="N15" i="45" s="1"/>
  <c r="BB11" i="60" l="1"/>
  <c r="O381" i="45"/>
  <c r="I89" i="52"/>
  <c r="K166" i="50" l="1"/>
  <c r="M179" i="49" l="1"/>
  <c r="K20" i="56" l="1"/>
  <c r="N20" i="56" s="1"/>
  <c r="O19" i="56"/>
  <c r="L193" i="49"/>
  <c r="O193" i="49" s="1"/>
  <c r="L194" i="49"/>
  <c r="R228" i="56" l="1"/>
  <c r="M188" i="49"/>
  <c r="M194" i="49"/>
  <c r="L52" i="46"/>
  <c r="L88" i="46"/>
  <c r="L85" i="46"/>
  <c r="K56" i="46"/>
  <c r="K88" i="46" s="1"/>
  <c r="K55" i="46"/>
  <c r="L288" i="49"/>
  <c r="O288" i="49" s="1"/>
  <c r="P179" i="49"/>
  <c r="P147" i="49"/>
  <c r="M147" i="49"/>
  <c r="M196" i="49" l="1"/>
  <c r="O194" i="49"/>
  <c r="K85" i="46"/>
  <c r="N85" i="46" s="1"/>
  <c r="M178" i="49" l="1"/>
  <c r="M181" i="49" l="1"/>
  <c r="O364" i="45"/>
  <c r="O32" i="34" l="1"/>
  <c r="AI11" i="60"/>
  <c r="AI14" i="60" s="1"/>
  <c r="M204" i="49"/>
  <c r="P204" i="49"/>
  <c r="Q354" i="45"/>
  <c r="Q355" i="45" s="1"/>
  <c r="L85" i="45"/>
  <c r="Q119" i="45"/>
  <c r="Q99" i="45"/>
  <c r="Q83" i="45" l="1"/>
  <c r="Q85" i="45" s="1"/>
  <c r="Q14" i="45" s="1"/>
  <c r="Q365" i="45"/>
  <c r="Q33" i="34" s="1"/>
  <c r="Q29" i="34" s="1"/>
  <c r="Q92" i="45"/>
  <c r="Q239" i="45"/>
  <c r="Q231" i="45"/>
  <c r="O83" i="45"/>
  <c r="L166" i="45"/>
  <c r="O166" i="45"/>
  <c r="Q234" i="45" l="1"/>
  <c r="Q167" i="45" s="1"/>
  <c r="AB11" i="60"/>
  <c r="Q362" i="45"/>
  <c r="L32" i="34"/>
  <c r="AB14" i="60" l="1"/>
  <c r="AB47" i="60"/>
  <c r="AB49" i="60" s="1"/>
  <c r="L171" i="50"/>
  <c r="L23" i="50"/>
  <c r="M30" i="60"/>
  <c r="K71" i="47"/>
  <c r="L165" i="49"/>
  <c r="K231" i="45"/>
  <c r="N231" i="45" s="1"/>
  <c r="O164" i="49" l="1"/>
  <c r="O165" i="49"/>
  <c r="K326" i="45"/>
  <c r="N326" i="45" s="1"/>
  <c r="L23" i="49" l="1"/>
  <c r="O23" i="49" s="1"/>
  <c r="CE15" i="60" l="1"/>
  <c r="CD15" i="60"/>
  <c r="L134" i="49" l="1"/>
  <c r="O134" i="49" s="1"/>
  <c r="L296" i="45" l="1"/>
  <c r="N296" i="45" s="1"/>
  <c r="I206" i="52" l="1"/>
  <c r="H206" i="52"/>
  <c r="L166" i="51"/>
  <c r="K166" i="51"/>
  <c r="L286" i="49"/>
  <c r="O286" i="49" s="1"/>
  <c r="L86" i="46"/>
  <c r="L36" i="34" s="1"/>
  <c r="K86" i="46"/>
  <c r="K368" i="45"/>
  <c r="L67" i="51"/>
  <c r="K206" i="52" l="1"/>
  <c r="O58" i="46"/>
  <c r="O86" i="46"/>
  <c r="H122" i="52" l="1"/>
  <c r="K126" i="56"/>
  <c r="K123" i="56"/>
  <c r="K96" i="56"/>
  <c r="N96" i="56" s="1"/>
  <c r="J96" i="56"/>
  <c r="K122" i="52" l="1"/>
  <c r="K21" i="56"/>
  <c r="N21" i="56" s="1"/>
  <c r="K23" i="56" l="1"/>
  <c r="K213" i="56"/>
  <c r="N213" i="56" s="1"/>
  <c r="L233" i="45"/>
  <c r="O233" i="45"/>
  <c r="K233" i="45"/>
  <c r="O363" i="45"/>
  <c r="L363" i="45" l="1"/>
  <c r="N233" i="45"/>
  <c r="K302" i="45"/>
  <c r="N302" i="45" s="1"/>
  <c r="BV27" i="60"/>
  <c r="BV7" i="60"/>
  <c r="BV43" i="60"/>
  <c r="K232" i="45"/>
  <c r="N232" i="45" s="1"/>
  <c r="K16" i="45"/>
  <c r="N16" i="45" s="1"/>
  <c r="CJ31" i="60" l="1"/>
  <c r="Y7" i="60"/>
  <c r="K212" i="56"/>
  <c r="N212" i="56" s="1"/>
  <c r="O94" i="56"/>
  <c r="L94" i="56"/>
  <c r="K94" i="56"/>
  <c r="J94" i="56"/>
  <c r="H94" i="56"/>
  <c r="K364" i="45"/>
  <c r="K83" i="45"/>
  <c r="N83" i="45" s="1"/>
  <c r="L61" i="49"/>
  <c r="O61" i="49" s="1"/>
  <c r="L179" i="49"/>
  <c r="O179" i="49" s="1"/>
  <c r="L203" i="49"/>
  <c r="O203" i="49" s="1"/>
  <c r="L19" i="49"/>
  <c r="O19" i="49" s="1"/>
  <c r="Y39" i="60"/>
  <c r="Y42" i="60" s="1"/>
  <c r="O231" i="45"/>
  <c r="M62" i="49"/>
  <c r="M283" i="49" s="1"/>
  <c r="P62" i="49"/>
  <c r="L62" i="49"/>
  <c r="AH39" i="60"/>
  <c r="AH42" i="60" s="1"/>
  <c r="AI39" i="60"/>
  <c r="AG39" i="60"/>
  <c r="AG42" i="60" s="1"/>
  <c r="I203" i="52"/>
  <c r="I202" i="52"/>
  <c r="H203" i="52"/>
  <c r="H202" i="52"/>
  <c r="K79" i="45"/>
  <c r="N79" i="45" s="1"/>
  <c r="K211" i="56"/>
  <c r="N211" i="56" s="1"/>
  <c r="L354" i="45"/>
  <c r="O354" i="45"/>
  <c r="O365" i="45" s="1"/>
  <c r="O362" i="45" s="1"/>
  <c r="K354" i="45"/>
  <c r="L89" i="49"/>
  <c r="O89" i="49" s="1"/>
  <c r="J43" i="60"/>
  <c r="J46" i="60" s="1"/>
  <c r="K264" i="45"/>
  <c r="N264" i="45" s="1"/>
  <c r="K209" i="45"/>
  <c r="L339" i="45"/>
  <c r="K277" i="45"/>
  <c r="N354" i="45" l="1"/>
  <c r="L365" i="45"/>
  <c r="L362" i="45" s="1"/>
  <c r="AG11" i="60"/>
  <c r="AG14" i="60" s="1"/>
  <c r="N364" i="45"/>
  <c r="K202" i="52"/>
  <c r="N94" i="56"/>
  <c r="AI42" i="60"/>
  <c r="Y10" i="60"/>
  <c r="O62" i="49"/>
  <c r="K203" i="52"/>
  <c r="O383" i="45"/>
  <c r="K369" i="45"/>
  <c r="L204" i="49"/>
  <c r="O204" i="49" s="1"/>
  <c r="K32" i="34"/>
  <c r="M32" i="34" s="1"/>
  <c r="K365" i="45"/>
  <c r="N365" i="45" s="1"/>
  <c r="I201" i="52"/>
  <c r="K210" i="56"/>
  <c r="N210" i="56" s="1"/>
  <c r="Y43" i="60"/>
  <c r="Y46" i="60" s="1"/>
  <c r="L283" i="49"/>
  <c r="Y11" i="60"/>
  <c r="Y14" i="60" s="1"/>
  <c r="AA11" i="60"/>
  <c r="Z11" i="60"/>
  <c r="H201" i="52"/>
  <c r="I94" i="56"/>
  <c r="K201" i="52" l="1"/>
  <c r="Z14" i="60"/>
  <c r="AA14" i="60"/>
  <c r="O283" i="49"/>
  <c r="H144" i="52"/>
  <c r="K144" i="52" s="1"/>
  <c r="K37" i="51"/>
  <c r="N37" i="51" s="1"/>
  <c r="K48" i="51"/>
  <c r="L48" i="51"/>
  <c r="J48" i="51"/>
  <c r="J46" i="51"/>
  <c r="L106" i="49"/>
  <c r="O106" i="49" s="1"/>
  <c r="N48" i="51" l="1"/>
  <c r="L161" i="51"/>
  <c r="L87" i="51"/>
  <c r="K87" i="51"/>
  <c r="K97" i="51"/>
  <c r="L97" i="51"/>
  <c r="N97" i="51" s="1"/>
  <c r="J97" i="51"/>
  <c r="J87" i="51"/>
  <c r="J86" i="51"/>
  <c r="K70" i="51"/>
  <c r="L70" i="51"/>
  <c r="J70" i="51"/>
  <c r="J69" i="51"/>
  <c r="K49" i="51"/>
  <c r="L49" i="51"/>
  <c r="J49" i="51"/>
  <c r="J50" i="51" s="1"/>
  <c r="K39" i="51"/>
  <c r="N39" i="51" s="1"/>
  <c r="K38" i="51"/>
  <c r="N38" i="51" s="1"/>
  <c r="N70" i="51" l="1"/>
  <c r="L162" i="51"/>
  <c r="N87" i="51"/>
  <c r="N49" i="51"/>
  <c r="CL35" i="60"/>
  <c r="CL47" i="60" s="1"/>
  <c r="CK35" i="60"/>
  <c r="CK47" i="60" s="1"/>
  <c r="L50" i="51"/>
  <c r="Q185" i="51"/>
  <c r="K50" i="51"/>
  <c r="J88" i="51"/>
  <c r="P178" i="49"/>
  <c r="N50" i="51" l="1"/>
  <c r="P181" i="49"/>
  <c r="K46" i="60"/>
  <c r="M46" i="60"/>
  <c r="K42" i="60"/>
  <c r="M42" i="60"/>
  <c r="K38" i="60"/>
  <c r="M38" i="60"/>
  <c r="CE7" i="60"/>
  <c r="CF7" i="60"/>
  <c r="CE39" i="60"/>
  <c r="CF39" i="60"/>
  <c r="CE43" i="60"/>
  <c r="J35" i="60" l="1"/>
  <c r="J38" i="60" s="1"/>
  <c r="J7" i="60"/>
  <c r="K7" i="60"/>
  <c r="L135" i="49"/>
  <c r="O135" i="49" s="1"/>
  <c r="J37" i="51"/>
  <c r="L40" i="51"/>
  <c r="K10" i="60" l="1"/>
  <c r="J10" i="60"/>
  <c r="L140" i="49"/>
  <c r="O140" i="49" s="1"/>
  <c r="K240" i="45"/>
  <c r="N240" i="45" s="1"/>
  <c r="CD43" i="60"/>
  <c r="K230" i="45" l="1"/>
  <c r="N230" i="45" s="1"/>
  <c r="H77" i="52" l="1"/>
  <c r="H71" i="52"/>
  <c r="K71" i="52" s="1"/>
  <c r="G77" i="52"/>
  <c r="CD39" i="60"/>
  <c r="BT39" i="60"/>
  <c r="BC39" i="60"/>
  <c r="BC42" i="60" s="1"/>
  <c r="BE39" i="60"/>
  <c r="DG39" i="60" l="1"/>
  <c r="BT42" i="60"/>
  <c r="K77" i="52"/>
  <c r="BV39" i="60"/>
  <c r="BQ39" i="60"/>
  <c r="BB39" i="60"/>
  <c r="L165" i="51" l="1"/>
  <c r="CE35" i="60"/>
  <c r="CF35" i="60"/>
  <c r="CD35" i="60"/>
  <c r="K165" i="51"/>
  <c r="S183" i="51"/>
  <c r="J28" i="51"/>
  <c r="N165" i="51" l="1"/>
  <c r="BE35" i="60"/>
  <c r="DG35" i="60" s="1"/>
  <c r="BC35" i="60"/>
  <c r="BC38" i="60" s="1"/>
  <c r="K20" i="51" l="1"/>
  <c r="K86" i="51"/>
  <c r="N86" i="51" s="1"/>
  <c r="L20" i="51"/>
  <c r="N20" i="51" s="1"/>
  <c r="K107" i="51"/>
  <c r="N107" i="51" s="1"/>
  <c r="AH31" i="60"/>
  <c r="AG31" i="60"/>
  <c r="AG34" i="60" s="1"/>
  <c r="K63" i="50"/>
  <c r="K59" i="50"/>
  <c r="K55" i="50"/>
  <c r="J234" i="49"/>
  <c r="J233" i="49"/>
  <c r="J231" i="49"/>
  <c r="J209" i="49"/>
  <c r="J207" i="49"/>
  <c r="J190" i="49"/>
  <c r="J189" i="49"/>
  <c r="J187" i="49"/>
  <c r="J186" i="49"/>
  <c r="J162" i="49"/>
  <c r="J156" i="49"/>
  <c r="J153" i="49"/>
  <c r="J150" i="49"/>
  <c r="J146" i="49"/>
  <c r="J145" i="49"/>
  <c r="J144" i="49"/>
  <c r="J141" i="49"/>
  <c r="J139" i="49"/>
  <c r="J135" i="49"/>
  <c r="J132" i="49"/>
  <c r="J128" i="49"/>
  <c r="J127" i="49"/>
  <c r="J120" i="49"/>
  <c r="J117" i="49"/>
  <c r="J115" i="49"/>
  <c r="J114" i="49"/>
  <c r="J104" i="49"/>
  <c r="J101" i="49"/>
  <c r="J99" i="49"/>
  <c r="J98" i="49"/>
  <c r="J94" i="49"/>
  <c r="J43" i="49"/>
  <c r="J42" i="49"/>
  <c r="J36" i="49"/>
  <c r="BC27" i="60"/>
  <c r="L17" i="49"/>
  <c r="L33" i="49"/>
  <c r="O33" i="49" s="1"/>
  <c r="BB27" i="60"/>
  <c r="CW27" i="60"/>
  <c r="L269" i="49"/>
  <c r="O269" i="49" s="1"/>
  <c r="L268" i="49"/>
  <c r="L267" i="49"/>
  <c r="O267" i="49" s="1"/>
  <c r="L277" i="49"/>
  <c r="P237" i="49"/>
  <c r="L237" i="49"/>
  <c r="O237" i="49" s="1"/>
  <c r="L211" i="49"/>
  <c r="O211" i="49" s="1"/>
  <c r="P165" i="49"/>
  <c r="P168" i="49" s="1"/>
  <c r="P20" i="49"/>
  <c r="P19" i="49"/>
  <c r="P283" i="49" s="1"/>
  <c r="M17" i="49"/>
  <c r="M21" i="49" s="1"/>
  <c r="P17" i="49"/>
  <c r="P284" i="49" s="1"/>
  <c r="K116" i="49"/>
  <c r="M277" i="49"/>
  <c r="P277" i="49"/>
  <c r="K277" i="49"/>
  <c r="L271" i="49"/>
  <c r="O271" i="49" s="1"/>
  <c r="K271" i="49"/>
  <c r="K272" i="49" s="1"/>
  <c r="M284" i="49" l="1"/>
  <c r="BR27" i="60"/>
  <c r="O17" i="49"/>
  <c r="CY27" i="60"/>
  <c r="P288" i="49"/>
  <c r="BC30" i="60"/>
  <c r="AH34" i="60"/>
  <c r="O277" i="49"/>
  <c r="P185" i="51"/>
  <c r="S185" i="51" s="1"/>
  <c r="P309" i="49"/>
  <c r="S307" i="49"/>
  <c r="J269" i="49"/>
  <c r="J267" i="49"/>
  <c r="L287" i="49"/>
  <c r="P272" i="49"/>
  <c r="J237" i="49"/>
  <c r="P21" i="49"/>
  <c r="J211" i="49"/>
  <c r="K162" i="51"/>
  <c r="N162" i="51" s="1"/>
  <c r="K88" i="51"/>
  <c r="K161" i="51"/>
  <c r="N161" i="51" s="1"/>
  <c r="CJ35" i="60"/>
  <c r="CJ47" i="60" s="1"/>
  <c r="BT27" i="60"/>
  <c r="L272" i="49"/>
  <c r="O272" i="49" s="1"/>
  <c r="K40" i="51"/>
  <c r="N40" i="51" s="1"/>
  <c r="O112" i="48"/>
  <c r="K112" i="48"/>
  <c r="L110" i="48"/>
  <c r="O110" i="48"/>
  <c r="K110" i="48"/>
  <c r="J22" i="47"/>
  <c r="L22" i="47"/>
  <c r="O22" i="47"/>
  <c r="CY19" i="60" s="1"/>
  <c r="K22" i="47"/>
  <c r="CE23" i="60" l="1"/>
  <c r="N110" i="48"/>
  <c r="BT30" i="60"/>
  <c r="CJ52" i="60"/>
  <c r="CJ51" i="60"/>
  <c r="CX19" i="60"/>
  <c r="N22" i="47"/>
  <c r="CJ48" i="60"/>
  <c r="CF23" i="60"/>
  <c r="CW19" i="60"/>
  <c r="CD23" i="60"/>
  <c r="K37" i="47" l="1"/>
  <c r="I73" i="46" l="1"/>
  <c r="I43" i="46"/>
  <c r="O82" i="46"/>
  <c r="K16" i="46"/>
  <c r="N16" i="46" s="1"/>
  <c r="O31" i="34" l="1"/>
  <c r="O81" i="46"/>
  <c r="R15" i="60"/>
  <c r="DE15" i="60" s="1"/>
  <c r="S15" i="60"/>
  <c r="S18" i="60" s="1"/>
  <c r="Q15" i="60"/>
  <c r="Q18" i="60" s="1"/>
  <c r="K14" i="46"/>
  <c r="N14" i="46" s="1"/>
  <c r="L82" i="46"/>
  <c r="L81" i="46" s="1"/>
  <c r="K82" i="46"/>
  <c r="K17" i="60"/>
  <c r="K72" i="46"/>
  <c r="L68" i="46"/>
  <c r="O68" i="46"/>
  <c r="K68" i="46"/>
  <c r="O63" i="46"/>
  <c r="K60" i="46"/>
  <c r="N60" i="46" s="1"/>
  <c r="J72" i="46"/>
  <c r="O72" i="46"/>
  <c r="L72" i="46"/>
  <c r="H72" i="46"/>
  <c r="G72" i="46"/>
  <c r="E72" i="46"/>
  <c r="F69" i="46"/>
  <c r="R18" i="60" l="1"/>
  <c r="N68" i="46"/>
  <c r="N72" i="46"/>
  <c r="N82" i="46"/>
  <c r="K63" i="46"/>
  <c r="N63" i="46" s="1"/>
  <c r="K53" i="46"/>
  <c r="N104" i="46" s="1"/>
  <c r="L31" i="34"/>
  <c r="M15" i="60"/>
  <c r="K81" i="46"/>
  <c r="N81" i="46" s="1"/>
  <c r="O85" i="46"/>
  <c r="CF15" i="60"/>
  <c r="CF47" i="60" s="1"/>
  <c r="K18" i="60"/>
  <c r="O88" i="46"/>
  <c r="M17" i="60"/>
  <c r="F72" i="46"/>
  <c r="Q104" i="46" l="1"/>
  <c r="M113" i="46"/>
  <c r="K87" i="46"/>
  <c r="N87" i="46" s="1"/>
  <c r="M18" i="60"/>
  <c r="K58" i="46"/>
  <c r="N58" i="46" s="1"/>
  <c r="J15" i="60"/>
  <c r="K75" i="46"/>
  <c r="L75" i="46"/>
  <c r="O75" i="46"/>
  <c r="J75" i="46"/>
  <c r="CD7" i="60"/>
  <c r="AG7" i="60"/>
  <c r="M7" i="60"/>
  <c r="K173" i="56"/>
  <c r="N173" i="56" s="1"/>
  <c r="O213" i="56"/>
  <c r="AG10" i="60" l="1"/>
  <c r="N75" i="46"/>
  <c r="I51" i="46"/>
  <c r="K52" i="46"/>
  <c r="BT7" i="60"/>
  <c r="M10" i="60"/>
  <c r="BE7" i="60"/>
  <c r="BC7" i="60"/>
  <c r="J18" i="60"/>
  <c r="BB7" i="60"/>
  <c r="O23" i="56"/>
  <c r="N23" i="56"/>
  <c r="BC10" i="60" l="1"/>
  <c r="I52" i="46"/>
  <c r="N52" i="46"/>
  <c r="K19" i="45"/>
  <c r="K17" i="45"/>
  <c r="N17" i="45" s="1"/>
  <c r="K81" i="45"/>
  <c r="N81" i="45" s="1"/>
  <c r="I351" i="45"/>
  <c r="I329" i="45"/>
  <c r="I294" i="45"/>
  <c r="I288" i="45"/>
  <c r="I258" i="45"/>
  <c r="I211" i="45"/>
  <c r="H213" i="45"/>
  <c r="I213" i="45" s="1"/>
  <c r="H209" i="45"/>
  <c r="H296" i="45"/>
  <c r="B381" i="45" l="1"/>
  <c r="BV11" i="60"/>
  <c r="I302" i="45"/>
  <c r="J85" i="45" l="1"/>
  <c r="L344" i="45"/>
  <c r="K324" i="45"/>
  <c r="N324" i="45" s="1"/>
  <c r="O344" i="45"/>
  <c r="K344" i="45"/>
  <c r="J344" i="45"/>
  <c r="O339" i="45"/>
  <c r="K339" i="45"/>
  <c r="N339" i="45" s="1"/>
  <c r="J339" i="45"/>
  <c r="O334" i="45"/>
  <c r="K334" i="45"/>
  <c r="N334" i="45" s="1"/>
  <c r="J334" i="45"/>
  <c r="K304" i="45"/>
  <c r="N304" i="45" s="1"/>
  <c r="K323" i="45"/>
  <c r="O323" i="45"/>
  <c r="L323" i="45"/>
  <c r="N323" i="45" s="1"/>
  <c r="J323" i="45"/>
  <c r="O318" i="45"/>
  <c r="L318" i="45"/>
  <c r="K318" i="45"/>
  <c r="J318" i="45"/>
  <c r="O313" i="45"/>
  <c r="K313" i="45"/>
  <c r="N313" i="45" s="1"/>
  <c r="J313" i="45"/>
  <c r="I292" i="45"/>
  <c r="G296" i="45"/>
  <c r="E296" i="45"/>
  <c r="N318" i="45" l="1"/>
  <c r="N344" i="45"/>
  <c r="I324" i="45"/>
  <c r="I304" i="45"/>
  <c r="O368" i="45"/>
  <c r="O36" i="34" s="1"/>
  <c r="O296" i="45"/>
  <c r="J11" i="60"/>
  <c r="O328" i="45"/>
  <c r="I326" i="45"/>
  <c r="I209" i="45"/>
  <c r="K265" i="45"/>
  <c r="N265" i="45" s="1"/>
  <c r="I264" i="45"/>
  <c r="I263" i="45"/>
  <c r="J265" i="45"/>
  <c r="J264" i="45"/>
  <c r="J263" i="45"/>
  <c r="J254" i="45" s="1"/>
  <c r="K287" i="45"/>
  <c r="O287" i="45"/>
  <c r="L287" i="45"/>
  <c r="J287" i="45"/>
  <c r="K282" i="45"/>
  <c r="O282" i="45"/>
  <c r="L282" i="45"/>
  <c r="N282" i="45" s="1"/>
  <c r="J282" i="45"/>
  <c r="J277" i="45"/>
  <c r="O277" i="45"/>
  <c r="L277" i="45"/>
  <c r="N277" i="45" s="1"/>
  <c r="K272" i="45"/>
  <c r="L272" i="45"/>
  <c r="N272" i="45" s="1"/>
  <c r="O272" i="45"/>
  <c r="J272" i="45"/>
  <c r="K214" i="45"/>
  <c r="J214" i="45"/>
  <c r="O367" i="45"/>
  <c r="J213" i="45"/>
  <c r="J209" i="45"/>
  <c r="K219" i="45"/>
  <c r="N219" i="45" s="1"/>
  <c r="K225" i="45"/>
  <c r="N225" i="45" s="1"/>
  <c r="P383" i="45" l="1"/>
  <c r="R383" i="45" s="1"/>
  <c r="L369" i="45"/>
  <c r="L367" i="45"/>
  <c r="N287" i="45"/>
  <c r="M387" i="45"/>
  <c r="J250" i="45"/>
  <c r="J249" i="45"/>
  <c r="J255" i="45"/>
  <c r="I265" i="45"/>
  <c r="N369" i="45"/>
  <c r="O369" i="45"/>
  <c r="J14" i="60"/>
  <c r="K14" i="60"/>
  <c r="M14" i="60"/>
  <c r="CE11" i="60"/>
  <c r="K215" i="45"/>
  <c r="K367" i="45"/>
  <c r="CD11" i="60"/>
  <c r="O215" i="45"/>
  <c r="J267" i="45"/>
  <c r="K267" i="45"/>
  <c r="N267" i="45" s="1"/>
  <c r="J215" i="45"/>
  <c r="N367" i="45" l="1"/>
  <c r="R11" i="60"/>
  <c r="S11" i="60"/>
  <c r="K363" i="45"/>
  <c r="N363" i="45" s="1"/>
  <c r="R14" i="60" l="1"/>
  <c r="S47" i="60"/>
  <c r="S49" i="60" s="1"/>
  <c r="S14" i="60"/>
  <c r="R48" i="60"/>
  <c r="R47" i="60"/>
  <c r="Q11" i="60"/>
  <c r="K31" i="34"/>
  <c r="M31" i="34" s="1"/>
  <c r="O261" i="45"/>
  <c r="O248" i="45"/>
  <c r="L248" i="45"/>
  <c r="K248" i="45"/>
  <c r="J248" i="45"/>
  <c r="I248" i="45"/>
  <c r="L239" i="45"/>
  <c r="I245" i="45"/>
  <c r="J245" i="45"/>
  <c r="K245" i="45"/>
  <c r="L245" i="45"/>
  <c r="N245" i="45" s="1"/>
  <c r="O245" i="45"/>
  <c r="H245" i="45"/>
  <c r="I242" i="45"/>
  <c r="J242" i="45"/>
  <c r="L242" i="45"/>
  <c r="N242" i="45" s="1"/>
  <c r="O242" i="45"/>
  <c r="I239" i="45"/>
  <c r="J239" i="45"/>
  <c r="K239" i="45"/>
  <c r="O239" i="45"/>
  <c r="K242" i="45"/>
  <c r="L203" i="45"/>
  <c r="O203" i="45"/>
  <c r="K200" i="45"/>
  <c r="N200" i="45" s="1"/>
  <c r="O85" i="45"/>
  <c r="N239" i="45" l="1"/>
  <c r="N248" i="45"/>
  <c r="Q47" i="60"/>
  <c r="Q51" i="60" s="1"/>
  <c r="Q14" i="60"/>
  <c r="V62" i="60"/>
  <c r="O382" i="45"/>
  <c r="O384" i="45" s="1"/>
  <c r="C11" i="60"/>
  <c r="C14" i="60" s="1"/>
  <c r="R49" i="60"/>
  <c r="I200" i="45"/>
  <c r="Q48" i="60"/>
  <c r="O234" i="45"/>
  <c r="O167" i="45" s="1"/>
  <c r="L234" i="45"/>
  <c r="L167" i="45" s="1"/>
  <c r="Q52" i="60" l="1"/>
  <c r="Q49" i="60"/>
  <c r="M386" i="45"/>
  <c r="M389" i="45" s="1"/>
  <c r="R382" i="45"/>
  <c r="K234" i="45"/>
  <c r="N234" i="45" s="1"/>
  <c r="N167" i="45" s="1"/>
  <c r="J15" i="45"/>
  <c r="S385" i="45" l="1"/>
  <c r="H201" i="45"/>
  <c r="I201" i="45" s="1"/>
  <c r="L19" i="45"/>
  <c r="N19" i="45" s="1"/>
  <c r="J19" i="45"/>
  <c r="I166" i="45"/>
  <c r="J166" i="45"/>
  <c r="K166" i="45"/>
  <c r="N166" i="45" s="1"/>
  <c r="I162" i="45"/>
  <c r="J162" i="45"/>
  <c r="K162" i="45"/>
  <c r="L162" i="45"/>
  <c r="O162" i="45"/>
  <c r="I149" i="45"/>
  <c r="J149" i="45"/>
  <c r="K149" i="45"/>
  <c r="L149" i="45"/>
  <c r="O149" i="45"/>
  <c r="I143" i="45"/>
  <c r="J143" i="45"/>
  <c r="K143" i="45"/>
  <c r="L143" i="45"/>
  <c r="N143" i="45" s="1"/>
  <c r="O143" i="45"/>
  <c r="I137" i="45"/>
  <c r="J137" i="45"/>
  <c r="K137" i="45"/>
  <c r="L137" i="45"/>
  <c r="N137" i="45" s="1"/>
  <c r="O137" i="45"/>
  <c r="I131" i="45"/>
  <c r="J131" i="45"/>
  <c r="K131" i="45"/>
  <c r="L131" i="45"/>
  <c r="N131" i="45" s="1"/>
  <c r="O131" i="45"/>
  <c r="I125" i="45"/>
  <c r="J125" i="45"/>
  <c r="K125" i="45"/>
  <c r="L125" i="45"/>
  <c r="O125" i="45"/>
  <c r="I119" i="45"/>
  <c r="J119" i="45"/>
  <c r="K119" i="45"/>
  <c r="L119" i="45"/>
  <c r="O119" i="45"/>
  <c r="I113" i="45"/>
  <c r="J113" i="45"/>
  <c r="K113" i="45"/>
  <c r="L113" i="45"/>
  <c r="O113" i="45"/>
  <c r="I78" i="45"/>
  <c r="J78" i="45"/>
  <c r="K78" i="45"/>
  <c r="L78" i="45"/>
  <c r="N78" i="45" s="1"/>
  <c r="O78" i="45"/>
  <c r="I99" i="45"/>
  <c r="J99" i="45"/>
  <c r="K99" i="45"/>
  <c r="L99" i="45"/>
  <c r="O99" i="45"/>
  <c r="I92" i="45"/>
  <c r="J92" i="45"/>
  <c r="K92" i="45"/>
  <c r="L92" i="45"/>
  <c r="O92" i="45"/>
  <c r="O17" i="45"/>
  <c r="J16" i="45"/>
  <c r="O16" i="45"/>
  <c r="J17" i="45"/>
  <c r="K202" i="45"/>
  <c r="N202" i="45" s="1"/>
  <c r="O20" i="45" l="1"/>
  <c r="N162" i="45"/>
  <c r="N113" i="45"/>
  <c r="N99" i="45"/>
  <c r="N149" i="45"/>
  <c r="N92" i="45"/>
  <c r="N125" i="45"/>
  <c r="N119" i="45"/>
  <c r="O366" i="45"/>
  <c r="P384" i="45"/>
  <c r="P385" i="45" s="1"/>
  <c r="R381" i="45"/>
  <c r="BQ11" i="60"/>
  <c r="BW11" i="60" s="1"/>
  <c r="K366" i="45"/>
  <c r="N366" i="45" s="1"/>
  <c r="K203" i="45"/>
  <c r="N203" i="45" s="1"/>
  <c r="J20" i="56"/>
  <c r="BR11" i="60" l="1"/>
  <c r="BT11" i="60"/>
  <c r="BT14" i="60" l="1"/>
  <c r="F43" i="60"/>
  <c r="J77" i="46"/>
  <c r="H168" i="52" l="1"/>
  <c r="F34" i="60" l="1"/>
  <c r="H62" i="52"/>
  <c r="K105" i="51"/>
  <c r="N105" i="51" s="1"/>
  <c r="K144" i="51"/>
  <c r="L144" i="51"/>
  <c r="N144" i="51" s="1"/>
  <c r="J144" i="51"/>
  <c r="L122" i="49"/>
  <c r="O122" i="49" s="1"/>
  <c r="L110" i="49"/>
  <c r="O110" i="49" s="1"/>
  <c r="L48" i="49"/>
  <c r="O48" i="49" s="1"/>
  <c r="K95" i="47"/>
  <c r="N95" i="47" s="1"/>
  <c r="O50" i="47"/>
  <c r="K50" i="47"/>
  <c r="N50" i="47" s="1"/>
  <c r="K42" i="47"/>
  <c r="L38" i="47"/>
  <c r="N38" i="47" s="1"/>
  <c r="O38" i="47"/>
  <c r="L77" i="46"/>
  <c r="O77" i="46"/>
  <c r="K77" i="46"/>
  <c r="O45" i="46"/>
  <c r="K45" i="46"/>
  <c r="J168" i="45"/>
  <c r="J171" i="45"/>
  <c r="J170" i="45"/>
  <c r="K158" i="56"/>
  <c r="N77" i="46" l="1"/>
  <c r="N45" i="46"/>
  <c r="N103" i="46"/>
  <c r="N106" i="46" s="1"/>
  <c r="O112" i="46"/>
  <c r="F15" i="60"/>
  <c r="DG15" i="60" s="1"/>
  <c r="S382" i="45"/>
  <c r="K62" i="52"/>
  <c r="O80" i="46"/>
  <c r="J110" i="49"/>
  <c r="J122" i="49"/>
  <c r="K361" i="45"/>
  <c r="N361" i="45" s="1"/>
  <c r="K109" i="51"/>
  <c r="I45" i="46"/>
  <c r="K80" i="46"/>
  <c r="C15" i="60"/>
  <c r="DD15" i="60" s="1"/>
  <c r="J152" i="50"/>
  <c r="J153" i="50" s="1"/>
  <c r="K114" i="50"/>
  <c r="N114" i="50" s="1"/>
  <c r="K112" i="50"/>
  <c r="N112" i="50" s="1"/>
  <c r="K110" i="50"/>
  <c r="N110" i="50" s="1"/>
  <c r="K108" i="50"/>
  <c r="N108" i="50" s="1"/>
  <c r="K106" i="50"/>
  <c r="N106" i="50" s="1"/>
  <c r="K104" i="50"/>
  <c r="N104" i="50" s="1"/>
  <c r="K149" i="50"/>
  <c r="N149" i="50" s="1"/>
  <c r="K145" i="50"/>
  <c r="K94" i="50"/>
  <c r="N94" i="50" s="1"/>
  <c r="K90" i="50"/>
  <c r="N90" i="50" s="1"/>
  <c r="L178" i="50"/>
  <c r="N80" i="46" l="1"/>
  <c r="Q103" i="46"/>
  <c r="O106" i="46"/>
  <c r="O109" i="46" s="1"/>
  <c r="M112" i="46"/>
  <c r="M116" i="46" s="1"/>
  <c r="N109" i="46"/>
  <c r="J376" i="45"/>
  <c r="O385" i="45"/>
  <c r="L360" i="45"/>
  <c r="K375" i="45"/>
  <c r="K101" i="50"/>
  <c r="N101" i="50" s="1"/>
  <c r="K94" i="46"/>
  <c r="C18" i="60"/>
  <c r="K79" i="46"/>
  <c r="F14" i="60"/>
  <c r="K79" i="50"/>
  <c r="K50" i="50"/>
  <c r="L50" i="50"/>
  <c r="K49" i="50"/>
  <c r="L49" i="50"/>
  <c r="L173" i="50" s="1"/>
  <c r="K47" i="50"/>
  <c r="O199" i="50" s="1"/>
  <c r="L47" i="50"/>
  <c r="O47" i="50"/>
  <c r="J49" i="50"/>
  <c r="N47" i="50" l="1"/>
  <c r="N49" i="50"/>
  <c r="N50" i="50"/>
  <c r="P199" i="50"/>
  <c r="M207" i="50" s="1"/>
  <c r="K102" i="50"/>
  <c r="N102" i="50" s="1"/>
  <c r="K89" i="46"/>
  <c r="J31" i="60"/>
  <c r="J34" i="60" s="1"/>
  <c r="M31" i="60"/>
  <c r="DG31" i="60" s="1"/>
  <c r="L51" i="50"/>
  <c r="N51" i="50" s="1"/>
  <c r="K51" i="50"/>
  <c r="M47" i="60" l="1"/>
  <c r="R199" i="50"/>
  <c r="P201" i="50"/>
  <c r="K97" i="46"/>
  <c r="K99" i="46" s="1"/>
  <c r="M34" i="60"/>
  <c r="M48" i="60"/>
  <c r="K23" i="50"/>
  <c r="N23" i="50" s="1"/>
  <c r="L176" i="49"/>
  <c r="L172" i="49"/>
  <c r="K288" i="49"/>
  <c r="K284" i="49"/>
  <c r="K61" i="49"/>
  <c r="K63" i="49" s="1"/>
  <c r="K238" i="49"/>
  <c r="K236" i="49"/>
  <c r="L236" i="49"/>
  <c r="O236" i="49" s="1"/>
  <c r="K210" i="49"/>
  <c r="L210" i="49"/>
  <c r="M210" i="49"/>
  <c r="P210" i="49"/>
  <c r="K192" i="49"/>
  <c r="L192" i="49"/>
  <c r="M192" i="49"/>
  <c r="O192" i="49" s="1"/>
  <c r="P192" i="49"/>
  <c r="O210" i="49" l="1"/>
  <c r="K147" i="49"/>
  <c r="K102" i="49" l="1"/>
  <c r="P102" i="49" l="1"/>
  <c r="K201" i="56"/>
  <c r="N201" i="56" s="1"/>
  <c r="K111" i="49" l="1"/>
  <c r="L111" i="49"/>
  <c r="M111" i="49"/>
  <c r="P111" i="49"/>
  <c r="O111" i="49" l="1"/>
  <c r="L75" i="49"/>
  <c r="O75" i="49" s="1"/>
  <c r="P77" i="49"/>
  <c r="K75" i="49"/>
  <c r="K60" i="49"/>
  <c r="L60" i="49"/>
  <c r="M60" i="49"/>
  <c r="O60" i="49" s="1"/>
  <c r="P60" i="49"/>
  <c r="L282" i="49" l="1"/>
  <c r="P282" i="49"/>
  <c r="P281" i="49" s="1"/>
  <c r="M77" i="49"/>
  <c r="AI27" i="60"/>
  <c r="AH27" i="60"/>
  <c r="AG27" i="60"/>
  <c r="L77" i="49"/>
  <c r="P63" i="49"/>
  <c r="M63" i="49"/>
  <c r="L63" i="49"/>
  <c r="K77" i="49"/>
  <c r="K282" i="49"/>
  <c r="J112" i="48"/>
  <c r="J110" i="48"/>
  <c r="K92" i="48"/>
  <c r="L92" i="48"/>
  <c r="N92" i="48" s="1"/>
  <c r="O92" i="48"/>
  <c r="J92" i="48"/>
  <c r="J44" i="48"/>
  <c r="AH30" i="60" l="1"/>
  <c r="AH48" i="60"/>
  <c r="V64" i="60" s="1"/>
  <c r="AH47" i="60"/>
  <c r="AG30" i="60"/>
  <c r="AG47" i="60"/>
  <c r="AI30" i="60"/>
  <c r="AI47" i="60"/>
  <c r="AI49" i="60" s="1"/>
  <c r="O77" i="49"/>
  <c r="L281" i="49"/>
  <c r="O282" i="49"/>
  <c r="O63" i="49"/>
  <c r="AG48" i="60"/>
  <c r="L30" i="34"/>
  <c r="M281" i="49"/>
  <c r="J213" i="56"/>
  <c r="J210" i="56"/>
  <c r="BQ7" i="60"/>
  <c r="O281" i="49" l="1"/>
  <c r="AG49" i="60"/>
  <c r="V61" i="60"/>
  <c r="AG52" i="60"/>
  <c r="AG51" i="60"/>
  <c r="AH49" i="60"/>
  <c r="BW7" i="60"/>
  <c r="F75" i="56"/>
  <c r="I75" i="56"/>
  <c r="K161" i="56"/>
  <c r="L161" i="56"/>
  <c r="O161" i="56"/>
  <c r="K160" i="56"/>
  <c r="L160" i="56"/>
  <c r="O160" i="56"/>
  <c r="L159" i="56"/>
  <c r="L216" i="56" s="1"/>
  <c r="O159" i="56"/>
  <c r="O216" i="56" s="1"/>
  <c r="L158" i="56"/>
  <c r="J158" i="56"/>
  <c r="J161" i="56"/>
  <c r="J160" i="56"/>
  <c r="J159" i="56"/>
  <c r="J216" i="56" s="1"/>
  <c r="J190" i="56"/>
  <c r="O169" i="56"/>
  <c r="K169" i="56"/>
  <c r="N169" i="56" s="1"/>
  <c r="J169" i="56"/>
  <c r="K167" i="56"/>
  <c r="N167" i="56" s="1"/>
  <c r="O167" i="56"/>
  <c r="J167" i="56"/>
  <c r="N161" i="56" l="1"/>
  <c r="L208" i="56"/>
  <c r="L218" i="56" s="1"/>
  <c r="L162" i="56"/>
  <c r="L132" i="56" s="1"/>
  <c r="D7" i="60"/>
  <c r="DE7" i="60" s="1"/>
  <c r="N160" i="56"/>
  <c r="O214" i="56"/>
  <c r="N216" i="56"/>
  <c r="N159" i="56"/>
  <c r="N158" i="56"/>
  <c r="L214" i="56"/>
  <c r="K214" i="56"/>
  <c r="K162" i="56"/>
  <c r="J214" i="56"/>
  <c r="O162" i="56"/>
  <c r="N214" i="56" l="1"/>
  <c r="N162" i="56"/>
  <c r="D10" i="60"/>
  <c r="O228" i="56"/>
  <c r="K133" i="56"/>
  <c r="N133" i="56" s="1"/>
  <c r="BR43" i="60" l="1"/>
  <c r="DE43" i="60" s="1"/>
  <c r="F36" i="52"/>
  <c r="O59" i="48"/>
  <c r="K59" i="48"/>
  <c r="N59" i="48" s="1"/>
  <c r="BR46" i="60" l="1"/>
  <c r="BR47" i="60"/>
  <c r="F23" i="60"/>
  <c r="Q125" i="48"/>
  <c r="N121" i="48"/>
  <c r="BT43" i="60"/>
  <c r="DG43" i="60" s="1"/>
  <c r="BQ43" i="60"/>
  <c r="C23" i="60"/>
  <c r="C26" i="60" s="1"/>
  <c r="K107" i="48"/>
  <c r="N107" i="48" s="1"/>
  <c r="J74" i="45"/>
  <c r="K74" i="45"/>
  <c r="L74" i="45"/>
  <c r="O74" i="45"/>
  <c r="N74" i="45" l="1"/>
  <c r="BT46" i="60"/>
  <c r="BR49" i="60"/>
  <c r="N123" i="48"/>
  <c r="N124" i="48" s="1"/>
  <c r="Q121" i="48"/>
  <c r="L124" i="48"/>
  <c r="L126" i="48" s="1"/>
  <c r="J70" i="45"/>
  <c r="K70" i="45"/>
  <c r="L70" i="45"/>
  <c r="N70" i="45" s="1"/>
  <c r="O70" i="45"/>
  <c r="I65" i="45"/>
  <c r="J65" i="45"/>
  <c r="K65" i="45"/>
  <c r="L65" i="45"/>
  <c r="N65" i="45" s="1"/>
  <c r="O65" i="45"/>
  <c r="J59" i="45"/>
  <c r="K59" i="45"/>
  <c r="L59" i="45"/>
  <c r="O59" i="45"/>
  <c r="I54" i="45"/>
  <c r="J54" i="45"/>
  <c r="K54" i="45"/>
  <c r="L54" i="45"/>
  <c r="N54" i="45" s="1"/>
  <c r="O54" i="45"/>
  <c r="J50" i="45"/>
  <c r="K50" i="45"/>
  <c r="L50" i="45"/>
  <c r="N50" i="45" s="1"/>
  <c r="O50" i="45"/>
  <c r="N59" i="45" l="1"/>
  <c r="I40" i="45"/>
  <c r="J40" i="45"/>
  <c r="K40" i="45"/>
  <c r="L40" i="45"/>
  <c r="N40" i="45" s="1"/>
  <c r="O40" i="45"/>
  <c r="E40" i="45"/>
  <c r="G40" i="45"/>
  <c r="J106" i="45" l="1"/>
  <c r="K106" i="45"/>
  <c r="L106" i="45"/>
  <c r="O106" i="45"/>
  <c r="I35" i="45"/>
  <c r="J35" i="45"/>
  <c r="K35" i="45"/>
  <c r="L35" i="45"/>
  <c r="O35" i="45"/>
  <c r="J30" i="45"/>
  <c r="K30" i="45"/>
  <c r="L30" i="45"/>
  <c r="N30" i="45" s="1"/>
  <c r="O30" i="45"/>
  <c r="N35" i="45" l="1"/>
  <c r="N106" i="45"/>
  <c r="J25" i="45"/>
  <c r="K25" i="45"/>
  <c r="L25" i="45"/>
  <c r="N25" i="45" s="1"/>
  <c r="O25" i="45"/>
  <c r="P188" i="49" l="1"/>
  <c r="P149" i="49"/>
  <c r="P121" i="49"/>
  <c r="P119" i="49"/>
  <c r="P116" i="49"/>
  <c r="O23" i="50"/>
  <c r="K170" i="50"/>
  <c r="L170" i="50"/>
  <c r="N170" i="50" s="1"/>
  <c r="O170" i="50"/>
  <c r="K169" i="50"/>
  <c r="L169" i="50"/>
  <c r="O169" i="50"/>
  <c r="O28" i="34" s="1"/>
  <c r="J170" i="50"/>
  <c r="J169" i="50"/>
  <c r="J171" i="50"/>
  <c r="H169" i="50"/>
  <c r="H168" i="50" s="1"/>
  <c r="I96" i="50"/>
  <c r="I49" i="50"/>
  <c r="I45" i="50"/>
  <c r="I43" i="50"/>
  <c r="I37" i="50"/>
  <c r="I36" i="50"/>
  <c r="I34" i="50"/>
  <c r="I33" i="50"/>
  <c r="I14" i="50"/>
  <c r="I40" i="48"/>
  <c r="O35" i="50"/>
  <c r="O31" i="50"/>
  <c r="O19" i="50"/>
  <c r="J176" i="50"/>
  <c r="J175" i="50"/>
  <c r="K171" i="50"/>
  <c r="N171" i="50" s="1"/>
  <c r="O171" i="50"/>
  <c r="O30" i="34" s="1"/>
  <c r="P203" i="50" l="1"/>
  <c r="N169" i="50"/>
  <c r="O168" i="50"/>
  <c r="P28" i="34"/>
  <c r="K30" i="34"/>
  <c r="M30" i="34" s="1"/>
  <c r="K28" i="34"/>
  <c r="I169" i="50"/>
  <c r="O176" i="50"/>
  <c r="L224" i="49" l="1"/>
  <c r="K224" i="49"/>
  <c r="K121" i="49"/>
  <c r="P308" i="49" l="1"/>
  <c r="N312" i="49" s="1"/>
  <c r="O224" i="49"/>
  <c r="P313" i="49"/>
  <c r="J224" i="49"/>
  <c r="O101" i="47"/>
  <c r="K101" i="47"/>
  <c r="N101" i="47" s="1"/>
  <c r="L96" i="47"/>
  <c r="O95" i="47"/>
  <c r="O96" i="47" s="1"/>
  <c r="L91" i="47"/>
  <c r="O91" i="47"/>
  <c r="O92" i="47" s="1"/>
  <c r="K91" i="47"/>
  <c r="K77" i="47"/>
  <c r="N77" i="47" s="1"/>
  <c r="L78" i="47"/>
  <c r="O78" i="47"/>
  <c r="J77" i="47"/>
  <c r="J78" i="47" s="1"/>
  <c r="S308" i="49" l="1"/>
  <c r="L92" i="47"/>
  <c r="N91" i="47"/>
  <c r="L122" i="47"/>
  <c r="P310" i="49"/>
  <c r="K78" i="47"/>
  <c r="N78" i="47" s="1"/>
  <c r="O74" i="47"/>
  <c r="L73" i="47"/>
  <c r="O68" i="47"/>
  <c r="K68" i="47"/>
  <c r="N68" i="47" s="1"/>
  <c r="L66" i="47"/>
  <c r="O66" i="47"/>
  <c r="K66" i="47"/>
  <c r="L60" i="47"/>
  <c r="O59" i="47"/>
  <c r="O60" i="47" s="1"/>
  <c r="K59" i="47"/>
  <c r="K38" i="47"/>
  <c r="J38" i="47"/>
  <c r="K36" i="47"/>
  <c r="L36" i="47"/>
  <c r="O36" i="47"/>
  <c r="J36" i="47"/>
  <c r="K29" i="47"/>
  <c r="L29" i="47"/>
  <c r="N29" i="47" s="1"/>
  <c r="O29" i="47"/>
  <c r="J29" i="47"/>
  <c r="J17" i="47"/>
  <c r="K17" i="47"/>
  <c r="N17" i="47" s="1"/>
  <c r="P145" i="47"/>
  <c r="J21" i="47"/>
  <c r="K21" i="47"/>
  <c r="L21" i="47"/>
  <c r="O21" i="47"/>
  <c r="J20" i="47"/>
  <c r="K20" i="47"/>
  <c r="L20" i="47"/>
  <c r="O20" i="47"/>
  <c r="J19" i="47"/>
  <c r="K19" i="47"/>
  <c r="J18" i="47"/>
  <c r="K18" i="47"/>
  <c r="N18" i="47" s="1"/>
  <c r="O18" i="47"/>
  <c r="O116" i="47"/>
  <c r="K115" i="47"/>
  <c r="N115" i="47" s="1"/>
  <c r="O108" i="47"/>
  <c r="O55" i="47"/>
  <c r="J35" i="46"/>
  <c r="J183" i="45"/>
  <c r="O14" i="45"/>
  <c r="O433" i="45" s="1"/>
  <c r="O151" i="47" l="1"/>
  <c r="F19" i="60"/>
  <c r="F22" i="60" s="1"/>
  <c r="N36" i="47"/>
  <c r="N20" i="47"/>
  <c r="N21" i="47"/>
  <c r="O145" i="47"/>
  <c r="R145" i="47" s="1"/>
  <c r="K60" i="47"/>
  <c r="K125" i="47"/>
  <c r="BQ19" i="60"/>
  <c r="BE19" i="60"/>
  <c r="BE47" i="60" s="1"/>
  <c r="BE49" i="60" s="1"/>
  <c r="O122" i="47"/>
  <c r="BC19" i="60"/>
  <c r="BC47" i="60" s="1"/>
  <c r="BB19" i="60"/>
  <c r="J184" i="45"/>
  <c r="BT19" i="60"/>
  <c r="O125" i="47"/>
  <c r="O34" i="34" s="1"/>
  <c r="N125" i="47"/>
  <c r="Z19" i="60"/>
  <c r="L123" i="47"/>
  <c r="AA19" i="60"/>
  <c r="O123" i="47"/>
  <c r="K123" i="47"/>
  <c r="Y19" i="60"/>
  <c r="L184" i="45"/>
  <c r="K184" i="45"/>
  <c r="O184" i="45"/>
  <c r="O56" i="47"/>
  <c r="J23" i="47"/>
  <c r="K23" i="47"/>
  <c r="O16" i="47"/>
  <c r="O154" i="47" s="1"/>
  <c r="O155" i="47" s="1"/>
  <c r="N184" i="45" l="1"/>
  <c r="D61" i="60"/>
  <c r="DG19" i="60"/>
  <c r="BC22" i="60"/>
  <c r="BT47" i="60"/>
  <c r="BT49" i="60" s="1"/>
  <c r="BW19" i="60"/>
  <c r="BC49" i="60"/>
  <c r="Y22" i="60"/>
  <c r="AA22" i="60"/>
  <c r="Z22" i="60"/>
  <c r="N123" i="47"/>
  <c r="BT22" i="60"/>
  <c r="K16" i="47"/>
  <c r="J133" i="56"/>
  <c r="J209" i="56" s="1"/>
  <c r="I115" i="48"/>
  <c r="I113" i="48"/>
  <c r="I111" i="48"/>
  <c r="I109" i="48"/>
  <c r="I94" i="48"/>
  <c r="I81" i="48"/>
  <c r="I68" i="48"/>
  <c r="I66" i="48"/>
  <c r="I57" i="48"/>
  <c r="I54" i="48"/>
  <c r="I52" i="48"/>
  <c r="I50" i="48"/>
  <c r="I48" i="48"/>
  <c r="I43" i="48"/>
  <c r="I36" i="48"/>
  <c r="I35" i="48"/>
  <c r="I33" i="48"/>
  <c r="I27" i="48"/>
  <c r="I23" i="48"/>
  <c r="I24" i="48"/>
  <c r="J26" i="48"/>
  <c r="J108" i="48"/>
  <c r="F35" i="48"/>
  <c r="O44" i="48" l="1"/>
  <c r="L108" i="48" l="1"/>
  <c r="O108" i="48"/>
  <c r="K108" i="48"/>
  <c r="K25" i="48"/>
  <c r="L25" i="48"/>
  <c r="N25" i="48" s="1"/>
  <c r="O25" i="48"/>
  <c r="H29" i="48"/>
  <c r="L33" i="34" l="1"/>
  <c r="L29" i="34" s="1"/>
  <c r="L106" i="48"/>
  <c r="AA23" i="60"/>
  <c r="O33" i="34"/>
  <c r="O29" i="34" s="1"/>
  <c r="N108" i="48"/>
  <c r="O106" i="48"/>
  <c r="K106" i="48"/>
  <c r="Y23" i="60"/>
  <c r="K33" i="34"/>
  <c r="Z23" i="60"/>
  <c r="DE23" i="60" s="1"/>
  <c r="I26" i="48"/>
  <c r="I28" i="48"/>
  <c r="O29" i="48"/>
  <c r="L29" i="48"/>
  <c r="K29" i="48"/>
  <c r="N29" i="48" l="1"/>
  <c r="AA26" i="60"/>
  <c r="Z26" i="60"/>
  <c r="DD23" i="60"/>
  <c r="Y26" i="60"/>
  <c r="N106" i="48"/>
  <c r="I29" i="48"/>
  <c r="F26" i="60"/>
  <c r="I201" i="56"/>
  <c r="I59" i="48" l="1"/>
  <c r="O114" i="48"/>
  <c r="O129" i="48" s="1"/>
  <c r="L114" i="48"/>
  <c r="O198" i="56"/>
  <c r="K198" i="56"/>
  <c r="N198" i="56" s="1"/>
  <c r="K190" i="56"/>
  <c r="N190" i="56" s="1"/>
  <c r="O116" i="48" l="1"/>
  <c r="Q116" i="48"/>
  <c r="F7" i="60"/>
  <c r="DG7" i="60" s="1"/>
  <c r="R224" i="56"/>
  <c r="O209" i="56"/>
  <c r="O27" i="34" s="1"/>
  <c r="N225" i="56"/>
  <c r="K209" i="56"/>
  <c r="N209" i="56" s="1"/>
  <c r="L18" i="34"/>
  <c r="W17" i="34" s="1"/>
  <c r="O18" i="34"/>
  <c r="X17" i="34" s="1"/>
  <c r="C7" i="60"/>
  <c r="K114" i="48"/>
  <c r="N114" i="48" s="1"/>
  <c r="J25" i="48"/>
  <c r="O79" i="46"/>
  <c r="J30" i="46"/>
  <c r="O208" i="56" l="1"/>
  <c r="O218" i="56" s="1"/>
  <c r="O220" i="56" s="1"/>
  <c r="F47" i="60"/>
  <c r="L116" i="48"/>
  <c r="F10" i="60"/>
  <c r="Q225" i="56"/>
  <c r="N227" i="56"/>
  <c r="N228" i="56" s="1"/>
  <c r="K208" i="56"/>
  <c r="N208" i="56" s="1"/>
  <c r="L79" i="46"/>
  <c r="J234" i="56"/>
  <c r="DD7" i="60"/>
  <c r="C10" i="60"/>
  <c r="K69" i="48"/>
  <c r="L69" i="48"/>
  <c r="N69" i="48" s="1"/>
  <c r="O69" i="48"/>
  <c r="J129" i="47"/>
  <c r="O129" i="47"/>
  <c r="J128" i="47"/>
  <c r="K128" i="47"/>
  <c r="J126" i="47"/>
  <c r="O126" i="47"/>
  <c r="O121" i="47" s="1"/>
  <c r="J125" i="47"/>
  <c r="J123" i="47"/>
  <c r="K182" i="56"/>
  <c r="L182" i="56"/>
  <c r="O182" i="56"/>
  <c r="H182" i="56"/>
  <c r="Q220" i="56" l="1"/>
  <c r="N182" i="56"/>
  <c r="L89" i="46"/>
  <c r="L97" i="46" s="1"/>
  <c r="N79" i="46"/>
  <c r="O130" i="47"/>
  <c r="Q132" i="47" s="1"/>
  <c r="K218" i="56"/>
  <c r="O89" i="46"/>
  <c r="D18" i="60"/>
  <c r="F18" i="60"/>
  <c r="I37" i="56"/>
  <c r="O17" i="34" l="1"/>
  <c r="X16" i="34" s="1"/>
  <c r="O141" i="47"/>
  <c r="L16" i="34"/>
  <c r="W15" i="34" s="1"/>
  <c r="O91" i="46"/>
  <c r="L220" i="56"/>
  <c r="N218" i="56"/>
  <c r="L91" i="46"/>
  <c r="N89" i="46"/>
  <c r="O97" i="46"/>
  <c r="O16" i="34"/>
  <c r="X15" i="34" s="1"/>
  <c r="I53" i="56"/>
  <c r="I219" i="56"/>
  <c r="I217" i="56"/>
  <c r="I215" i="56"/>
  <c r="I20" i="56"/>
  <c r="I32" i="56"/>
  <c r="I34" i="56"/>
  <c r="I41" i="56"/>
  <c r="I42" i="56"/>
  <c r="I43" i="56"/>
  <c r="I44" i="56"/>
  <c r="I45" i="56"/>
  <c r="I46" i="56"/>
  <c r="I48" i="56"/>
  <c r="I49" i="56"/>
  <c r="I51" i="56"/>
  <c r="I55" i="56"/>
  <c r="I57" i="56"/>
  <c r="I59" i="56"/>
  <c r="I62" i="56"/>
  <c r="I65" i="56"/>
  <c r="I67" i="56"/>
  <c r="I68" i="56"/>
  <c r="I70" i="56"/>
  <c r="I72" i="56"/>
  <c r="I74" i="56"/>
  <c r="I77" i="56"/>
  <c r="I80" i="56"/>
  <c r="I82" i="56"/>
  <c r="I83" i="56"/>
  <c r="I87" i="56"/>
  <c r="I89" i="56"/>
  <c r="I114" i="56"/>
  <c r="I116" i="56"/>
  <c r="I119" i="56"/>
  <c r="I121" i="56"/>
  <c r="I124" i="56"/>
  <c r="I127" i="56"/>
  <c r="I130" i="56"/>
  <c r="I134" i="56"/>
  <c r="I135" i="56"/>
  <c r="I158" i="56"/>
  <c r="I176" i="56"/>
  <c r="I178" i="56"/>
  <c r="I179" i="56"/>
  <c r="I180" i="56"/>
  <c r="I181" i="56"/>
  <c r="I184" i="56"/>
  <c r="I185" i="56"/>
  <c r="I186" i="56"/>
  <c r="I188" i="56"/>
  <c r="I200" i="56"/>
  <c r="I202" i="56"/>
  <c r="I205" i="56"/>
  <c r="J128" i="56"/>
  <c r="K128" i="56"/>
  <c r="L128" i="56"/>
  <c r="O128" i="56"/>
  <c r="J136" i="56"/>
  <c r="K136" i="56"/>
  <c r="O136" i="56"/>
  <c r="J162" i="56"/>
  <c r="J187" i="56"/>
  <c r="J183" i="56" s="1"/>
  <c r="K187" i="56"/>
  <c r="K183" i="56" s="1"/>
  <c r="L187" i="56"/>
  <c r="O187" i="56"/>
  <c r="J191" i="56"/>
  <c r="K191" i="56"/>
  <c r="L191" i="56"/>
  <c r="N191" i="56" s="1"/>
  <c r="O191" i="56"/>
  <c r="J199" i="56"/>
  <c r="K199" i="56"/>
  <c r="L199" i="56"/>
  <c r="N199" i="56" s="1"/>
  <c r="O199" i="56"/>
  <c r="J204" i="56"/>
  <c r="K204" i="56"/>
  <c r="L204" i="56"/>
  <c r="N204" i="56" s="1"/>
  <c r="O204" i="56"/>
  <c r="J206" i="56"/>
  <c r="K206" i="56"/>
  <c r="L206" i="56"/>
  <c r="N206" i="56" s="1"/>
  <c r="O206" i="56"/>
  <c r="J120" i="56"/>
  <c r="K120" i="56"/>
  <c r="L120" i="56"/>
  <c r="N120" i="56" s="1"/>
  <c r="O120" i="56"/>
  <c r="J117" i="56"/>
  <c r="K117" i="56"/>
  <c r="L117" i="56"/>
  <c r="N117" i="56" s="1"/>
  <c r="O117" i="56"/>
  <c r="J115" i="56"/>
  <c r="K115" i="56"/>
  <c r="L115" i="56"/>
  <c r="N115" i="56" s="1"/>
  <c r="O115" i="56"/>
  <c r="K98" i="56"/>
  <c r="L98" i="56"/>
  <c r="O98" i="56"/>
  <c r="J98" i="56"/>
  <c r="H98" i="56"/>
  <c r="J91" i="56"/>
  <c r="K91" i="56"/>
  <c r="L91" i="56"/>
  <c r="O91" i="56"/>
  <c r="J88" i="56"/>
  <c r="K88" i="56"/>
  <c r="L88" i="56"/>
  <c r="O88" i="56"/>
  <c r="J86" i="56"/>
  <c r="K86" i="56"/>
  <c r="L86" i="56"/>
  <c r="N86" i="56" s="1"/>
  <c r="O86" i="56"/>
  <c r="J84" i="56"/>
  <c r="K84" i="56"/>
  <c r="N84" i="56"/>
  <c r="O84" i="56"/>
  <c r="L81" i="56"/>
  <c r="J81" i="56"/>
  <c r="K81" i="56"/>
  <c r="O81" i="56"/>
  <c r="J79" i="56"/>
  <c r="K79" i="56"/>
  <c r="L79" i="56"/>
  <c r="N79" i="56" s="1"/>
  <c r="O79" i="56"/>
  <c r="J76" i="56"/>
  <c r="K76" i="56"/>
  <c r="L76" i="56"/>
  <c r="N76" i="56" s="1"/>
  <c r="O76" i="56"/>
  <c r="J73" i="56"/>
  <c r="K73" i="56"/>
  <c r="L73" i="56"/>
  <c r="N73" i="56" s="1"/>
  <c r="O73" i="56"/>
  <c r="J71" i="56"/>
  <c r="K71" i="56"/>
  <c r="L71" i="56"/>
  <c r="N71" i="56" s="1"/>
  <c r="O71" i="56"/>
  <c r="L69" i="56"/>
  <c r="K69" i="56"/>
  <c r="J69" i="56"/>
  <c r="O69" i="56"/>
  <c r="J66" i="56"/>
  <c r="K66" i="56"/>
  <c r="L66" i="56"/>
  <c r="N66" i="56" s="1"/>
  <c r="O66" i="56"/>
  <c r="J64" i="56"/>
  <c r="J61" i="56"/>
  <c r="K61" i="56"/>
  <c r="N61" i="56" s="1"/>
  <c r="O61" i="56"/>
  <c r="J58" i="56"/>
  <c r="K58" i="56"/>
  <c r="L58" i="56"/>
  <c r="N58" i="56" s="1"/>
  <c r="O58" i="56"/>
  <c r="J56" i="56"/>
  <c r="K56" i="56"/>
  <c r="L56" i="56"/>
  <c r="N56" i="56" s="1"/>
  <c r="O56" i="56"/>
  <c r="J54" i="56"/>
  <c r="K54" i="56"/>
  <c r="L54" i="56"/>
  <c r="N54" i="56" s="1"/>
  <c r="O54" i="56"/>
  <c r="J52" i="56"/>
  <c r="K52" i="56"/>
  <c r="N52" i="56"/>
  <c r="O52" i="56"/>
  <c r="J50" i="56"/>
  <c r="K50" i="56"/>
  <c r="N50" i="56"/>
  <c r="O50" i="56"/>
  <c r="J47" i="56"/>
  <c r="K47" i="56"/>
  <c r="N47" i="56"/>
  <c r="O47" i="56"/>
  <c r="J40" i="56"/>
  <c r="K40" i="56"/>
  <c r="O40" i="56"/>
  <c r="K33" i="56"/>
  <c r="L33" i="56"/>
  <c r="N33" i="56" s="1"/>
  <c r="O33" i="56"/>
  <c r="L31" i="56"/>
  <c r="O31" i="56"/>
  <c r="K31" i="56"/>
  <c r="J31" i="56"/>
  <c r="H216" i="56"/>
  <c r="I214" i="56"/>
  <c r="I19" i="51"/>
  <c r="H173" i="50"/>
  <c r="N40" i="56" l="1"/>
  <c r="N136" i="56"/>
  <c r="N81" i="56"/>
  <c r="N31" i="56"/>
  <c r="N88" i="56"/>
  <c r="N69" i="56"/>
  <c r="N98" i="56"/>
  <c r="N128" i="56"/>
  <c r="N91" i="56"/>
  <c r="K189" i="56"/>
  <c r="J189" i="56"/>
  <c r="I216" i="56"/>
  <c r="I98" i="56"/>
  <c r="I96" i="56"/>
  <c r="I182" i="56"/>
  <c r="J95" i="56"/>
  <c r="J36" i="56"/>
  <c r="N189" i="56" l="1"/>
  <c r="J23" i="56"/>
  <c r="G92" i="48" l="1"/>
  <c r="E92" i="48"/>
  <c r="F92" i="48" s="1"/>
  <c r="F91" i="48"/>
  <c r="G77" i="46"/>
  <c r="G75" i="46" s="1"/>
  <c r="E77" i="46"/>
  <c r="E75" i="46" s="1"/>
  <c r="F76" i="46"/>
  <c r="F77" i="46" l="1"/>
  <c r="J157" i="50" l="1"/>
  <c r="J114" i="50"/>
  <c r="J112" i="50"/>
  <c r="J110" i="50"/>
  <c r="J108" i="50"/>
  <c r="J106" i="50"/>
  <c r="J104" i="50"/>
  <c r="G110" i="50"/>
  <c r="F110" i="50"/>
  <c r="E110" i="50"/>
  <c r="G118" i="50"/>
  <c r="F118" i="50"/>
  <c r="E118" i="50"/>
  <c r="G114" i="50"/>
  <c r="F114" i="50"/>
  <c r="E114" i="50"/>
  <c r="G106" i="50"/>
  <c r="F106" i="50"/>
  <c r="E106" i="50"/>
  <c r="G165" i="50"/>
  <c r="F165" i="50"/>
  <c r="E165" i="50"/>
  <c r="G157" i="50"/>
  <c r="F157" i="50"/>
  <c r="E157" i="50"/>
  <c r="K140" i="50"/>
  <c r="N140" i="50" s="1"/>
  <c r="J140" i="50"/>
  <c r="J141" i="50" s="1"/>
  <c r="O145" i="50"/>
  <c r="L145" i="50"/>
  <c r="N145" i="50" s="1"/>
  <c r="J145" i="50"/>
  <c r="J149" i="50"/>
  <c r="G149" i="50"/>
  <c r="F149" i="50"/>
  <c r="E149" i="50"/>
  <c r="G145" i="50"/>
  <c r="F145" i="50"/>
  <c r="E145" i="50"/>
  <c r="K82" i="50"/>
  <c r="N82" i="50" s="1"/>
  <c r="J82" i="50"/>
  <c r="J86" i="50" s="1"/>
  <c r="J94" i="50"/>
  <c r="J90" i="50"/>
  <c r="I86" i="50"/>
  <c r="G94" i="50"/>
  <c r="F94" i="50"/>
  <c r="E94" i="50"/>
  <c r="G90" i="50"/>
  <c r="F90" i="50"/>
  <c r="E90" i="50"/>
  <c r="O79" i="50"/>
  <c r="L79" i="50"/>
  <c r="N79" i="50" s="1"/>
  <c r="J79" i="50"/>
  <c r="K66" i="50"/>
  <c r="N66" i="50" s="1"/>
  <c r="J66" i="50"/>
  <c r="J64" i="50"/>
  <c r="G79" i="50"/>
  <c r="F79" i="50"/>
  <c r="E79" i="50"/>
  <c r="J50" i="50"/>
  <c r="J47" i="50"/>
  <c r="I63" i="50"/>
  <c r="J63" i="50"/>
  <c r="L63" i="50"/>
  <c r="N63" i="50" s="1"/>
  <c r="I59" i="50"/>
  <c r="J59" i="50"/>
  <c r="L59" i="50"/>
  <c r="N59" i="50" s="1"/>
  <c r="I55" i="50"/>
  <c r="J55" i="50"/>
  <c r="L55" i="50"/>
  <c r="N55" i="50" s="1"/>
  <c r="H63" i="50"/>
  <c r="G63" i="50"/>
  <c r="F63" i="50"/>
  <c r="E63" i="50"/>
  <c r="H59" i="50"/>
  <c r="G59" i="50"/>
  <c r="F59" i="50"/>
  <c r="E59" i="50"/>
  <c r="H55" i="50"/>
  <c r="G55" i="50"/>
  <c r="F55" i="50"/>
  <c r="E55" i="50"/>
  <c r="J98" i="50"/>
  <c r="K98" i="50"/>
  <c r="L98" i="50"/>
  <c r="O98" i="50"/>
  <c r="J46" i="50"/>
  <c r="K46" i="50"/>
  <c r="O46" i="50"/>
  <c r="J44" i="50"/>
  <c r="K44" i="50"/>
  <c r="L44" i="50"/>
  <c r="N44" i="50" s="1"/>
  <c r="O44" i="50"/>
  <c r="J23" i="50"/>
  <c r="J15" i="50"/>
  <c r="K15" i="50"/>
  <c r="L15" i="50"/>
  <c r="O15" i="50"/>
  <c r="N46" i="50" l="1"/>
  <c r="N98" i="50"/>
  <c r="N15" i="50"/>
  <c r="I140" i="50"/>
  <c r="K34" i="60"/>
  <c r="J101" i="50"/>
  <c r="J173" i="50" s="1"/>
  <c r="CD31" i="60"/>
  <c r="K173" i="50"/>
  <c r="N173" i="50" s="1"/>
  <c r="O173" i="50"/>
  <c r="O86" i="50"/>
  <c r="J102" i="50"/>
  <c r="O141" i="50"/>
  <c r="L141" i="50"/>
  <c r="K141" i="50"/>
  <c r="O67" i="50"/>
  <c r="O178" i="50" s="1"/>
  <c r="J67" i="50"/>
  <c r="J178" i="50" s="1"/>
  <c r="J51" i="50"/>
  <c r="K67" i="50"/>
  <c r="N67" i="50" s="1"/>
  <c r="J95" i="48"/>
  <c r="K95" i="48"/>
  <c r="L95" i="48"/>
  <c r="O95" i="48"/>
  <c r="J90" i="47"/>
  <c r="O90" i="47"/>
  <c r="K86" i="47"/>
  <c r="L86" i="47"/>
  <c r="O86" i="47"/>
  <c r="J84" i="47"/>
  <c r="J86" i="47" s="1"/>
  <c r="N95" i="48" l="1"/>
  <c r="N141" i="50"/>
  <c r="CE31" i="60"/>
  <c r="I173" i="50"/>
  <c r="C43" i="60" l="1"/>
  <c r="DE31" i="60"/>
  <c r="D46" i="60" l="1"/>
  <c r="F46" i="60"/>
  <c r="J53" i="46"/>
  <c r="J58" i="46" s="1"/>
  <c r="H68" i="46"/>
  <c r="G68" i="46"/>
  <c r="E68" i="46"/>
  <c r="F64" i="46"/>
  <c r="BB43" i="60" l="1"/>
  <c r="BB47" i="60" s="1"/>
  <c r="C46" i="60"/>
  <c r="F68" i="46"/>
  <c r="BB49" i="60" l="1"/>
  <c r="BB52" i="60"/>
  <c r="BB51" i="60"/>
  <c r="DD43" i="60"/>
  <c r="O23" i="34" l="1"/>
  <c r="X22" i="34" s="1"/>
  <c r="J23" i="34"/>
  <c r="K286" i="49"/>
  <c r="J36" i="34" s="1"/>
  <c r="K194" i="49"/>
  <c r="K193" i="49"/>
  <c r="P196" i="49"/>
  <c r="G101" i="49"/>
  <c r="G102" i="49" s="1"/>
  <c r="F102" i="49"/>
  <c r="H102" i="49"/>
  <c r="I102" i="49"/>
  <c r="L102" i="49"/>
  <c r="M102" i="49"/>
  <c r="O102" i="49" s="1"/>
  <c r="K15" i="49"/>
  <c r="P15" i="49"/>
  <c r="L256" i="49"/>
  <c r="O256" i="49" s="1"/>
  <c r="M255" i="49"/>
  <c r="M287" i="49" s="1"/>
  <c r="P255" i="49"/>
  <c r="L254" i="49"/>
  <c r="K256" i="49"/>
  <c r="K255" i="49"/>
  <c r="K254" i="49"/>
  <c r="L266" i="49"/>
  <c r="M266" i="49"/>
  <c r="P266" i="49"/>
  <c r="K266" i="49"/>
  <c r="L262" i="49"/>
  <c r="M262" i="49"/>
  <c r="P262" i="49"/>
  <c r="K262" i="49"/>
  <c r="L239" i="49"/>
  <c r="M239" i="49"/>
  <c r="P241" i="49"/>
  <c r="K239" i="49"/>
  <c r="K237" i="49"/>
  <c r="M253" i="49"/>
  <c r="P253" i="49"/>
  <c r="K253" i="49"/>
  <c r="L249" i="49"/>
  <c r="M249" i="49"/>
  <c r="P249" i="49"/>
  <c r="K249" i="49"/>
  <c r="L245" i="49"/>
  <c r="M245" i="49"/>
  <c r="O245" i="49" s="1"/>
  <c r="P245" i="49"/>
  <c r="K245" i="49"/>
  <c r="L213" i="49"/>
  <c r="O213" i="49" s="1"/>
  <c r="O35" i="34"/>
  <c r="P211" i="49"/>
  <c r="P287" i="49" s="1"/>
  <c r="P279" i="49" s="1"/>
  <c r="K213" i="49"/>
  <c r="K212" i="49"/>
  <c r="K211" i="49"/>
  <c r="K219" i="49"/>
  <c r="L219" i="49"/>
  <c r="M219" i="49"/>
  <c r="P219" i="49"/>
  <c r="L223" i="49"/>
  <c r="M223" i="49"/>
  <c r="P223" i="49"/>
  <c r="K223" i="49"/>
  <c r="L178" i="49"/>
  <c r="O178" i="49" s="1"/>
  <c r="L166" i="49"/>
  <c r="O166" i="49" s="1"/>
  <c r="L164" i="49"/>
  <c r="I168" i="49"/>
  <c r="K166" i="49"/>
  <c r="K165" i="49"/>
  <c r="K164" i="49"/>
  <c r="M176" i="49"/>
  <c r="O176" i="49" s="1"/>
  <c r="P176" i="49"/>
  <c r="K176" i="49"/>
  <c r="M172" i="49"/>
  <c r="O172" i="49" s="1"/>
  <c r="P172" i="49"/>
  <c r="K172" i="49"/>
  <c r="K163" i="49"/>
  <c r="L163" i="49"/>
  <c r="M163" i="49"/>
  <c r="O163" i="49" s="1"/>
  <c r="P163" i="49"/>
  <c r="K159" i="49"/>
  <c r="L159" i="49"/>
  <c r="M159" i="49"/>
  <c r="P159" i="49"/>
  <c r="K155" i="49"/>
  <c r="L155" i="49"/>
  <c r="M155" i="49"/>
  <c r="P155" i="49"/>
  <c r="K151" i="49"/>
  <c r="L151" i="49"/>
  <c r="M151" i="49"/>
  <c r="P151" i="49"/>
  <c r="L147" i="49"/>
  <c r="O147" i="49" s="1"/>
  <c r="K140" i="49"/>
  <c r="P140" i="49"/>
  <c r="K129" i="49"/>
  <c r="L129" i="49"/>
  <c r="M129" i="49"/>
  <c r="O129" i="49" s="1"/>
  <c r="P129" i="49"/>
  <c r="K225" i="49"/>
  <c r="L225" i="49"/>
  <c r="M225" i="49"/>
  <c r="P225" i="49"/>
  <c r="K134" i="49"/>
  <c r="P134" i="49"/>
  <c r="L123" i="49"/>
  <c r="M123" i="49"/>
  <c r="P123" i="49"/>
  <c r="K122" i="49"/>
  <c r="K119" i="49"/>
  <c r="L119" i="49"/>
  <c r="O119" i="49"/>
  <c r="K108" i="49"/>
  <c r="L108" i="49"/>
  <c r="M108" i="49"/>
  <c r="P108" i="49"/>
  <c r="K105" i="49"/>
  <c r="L105" i="49"/>
  <c r="M105" i="49"/>
  <c r="O105" i="49" s="1"/>
  <c r="P105" i="49"/>
  <c r="K100" i="49"/>
  <c r="L100" i="49"/>
  <c r="M100" i="49"/>
  <c r="P100" i="49"/>
  <c r="K95" i="49"/>
  <c r="L95" i="49"/>
  <c r="M95" i="49"/>
  <c r="O95" i="49" s="1"/>
  <c r="P95" i="49"/>
  <c r="K90" i="49"/>
  <c r="L90" i="49"/>
  <c r="M90" i="49"/>
  <c r="P90" i="49"/>
  <c r="K49" i="49"/>
  <c r="L49" i="49"/>
  <c r="M49" i="49"/>
  <c r="O49" i="49" s="1"/>
  <c r="P49" i="49"/>
  <c r="K45" i="49"/>
  <c r="L45" i="49"/>
  <c r="M45" i="49"/>
  <c r="P45" i="49"/>
  <c r="K41" i="49"/>
  <c r="L41" i="49"/>
  <c r="M41" i="49"/>
  <c r="P41" i="49"/>
  <c r="K38" i="49"/>
  <c r="L38" i="49"/>
  <c r="M38" i="49"/>
  <c r="P38" i="49"/>
  <c r="O262" i="49" l="1"/>
  <c r="O219" i="49"/>
  <c r="O225" i="49"/>
  <c r="O223" i="49"/>
  <c r="M258" i="49"/>
  <c r="K27" i="60"/>
  <c r="O255" i="49"/>
  <c r="O38" i="49"/>
  <c r="O45" i="49"/>
  <c r="O90" i="49"/>
  <c r="O100" i="49"/>
  <c r="O108" i="49"/>
  <c r="O123" i="49"/>
  <c r="O151" i="49"/>
  <c r="O249" i="49"/>
  <c r="M241" i="49"/>
  <c r="O239" i="49"/>
  <c r="CE27" i="60"/>
  <c r="CE47" i="60" s="1"/>
  <c r="M285" i="49"/>
  <c r="O266" i="49"/>
  <c r="O159" i="49"/>
  <c r="O155" i="49"/>
  <c r="O41" i="49"/>
  <c r="O287" i="49"/>
  <c r="Q309" i="49"/>
  <c r="BQ27" i="60"/>
  <c r="BQ47" i="60" s="1"/>
  <c r="J239" i="49"/>
  <c r="L280" i="49"/>
  <c r="O280" i="49" s="1"/>
  <c r="L285" i="49"/>
  <c r="J27" i="60"/>
  <c r="J102" i="49"/>
  <c r="AA27" i="60"/>
  <c r="DG27" i="60" s="1"/>
  <c r="Z27" i="60"/>
  <c r="M33" i="34"/>
  <c r="Y27" i="60"/>
  <c r="O37" i="34"/>
  <c r="K283" i="49"/>
  <c r="K281" i="49" s="1"/>
  <c r="L181" i="49"/>
  <c r="O181" i="49" s="1"/>
  <c r="L34" i="34"/>
  <c r="L284" i="49"/>
  <c r="O284" i="49" s="1"/>
  <c r="K36" i="34"/>
  <c r="M36" i="34" s="1"/>
  <c r="C27" i="60"/>
  <c r="C30" i="60" s="1"/>
  <c r="CD27" i="60"/>
  <c r="CD47" i="60" s="1"/>
  <c r="K285" i="49"/>
  <c r="K123" i="49"/>
  <c r="K96" i="49" s="1"/>
  <c r="K280" i="49"/>
  <c r="K287" i="49"/>
  <c r="K35" i="49"/>
  <c r="P35" i="49"/>
  <c r="K196" i="49"/>
  <c r="L196" i="49"/>
  <c r="O196" i="49" s="1"/>
  <c r="L258" i="49"/>
  <c r="O258" i="49" s="1"/>
  <c r="K258" i="49"/>
  <c r="K241" i="49"/>
  <c r="L215" i="49"/>
  <c r="K215" i="49"/>
  <c r="L168" i="49"/>
  <c r="K168" i="49"/>
  <c r="M168" i="49"/>
  <c r="O168" i="49" s="1"/>
  <c r="P96" i="49"/>
  <c r="K47" i="60" l="1"/>
  <c r="K48" i="60"/>
  <c r="DE27" i="60"/>
  <c r="K30" i="60"/>
  <c r="M290" i="49"/>
  <c r="M160" i="49"/>
  <c r="M305" i="49" s="1"/>
  <c r="M317" i="49" s="1"/>
  <c r="P290" i="49"/>
  <c r="J30" i="60"/>
  <c r="CD52" i="60"/>
  <c r="CD51" i="60"/>
  <c r="BQ49" i="60"/>
  <c r="BQ52" i="60"/>
  <c r="BQ51" i="60"/>
  <c r="AA30" i="60"/>
  <c r="AA47" i="60"/>
  <c r="AA49" i="60" s="1"/>
  <c r="Y30" i="60"/>
  <c r="Y47" i="60"/>
  <c r="Z30" i="60"/>
  <c r="Z47" i="60"/>
  <c r="O285" i="49"/>
  <c r="M279" i="49"/>
  <c r="M289" i="49" s="1"/>
  <c r="S309" i="49"/>
  <c r="N313" i="49"/>
  <c r="N315" i="49" s="1"/>
  <c r="Q310" i="49"/>
  <c r="Q311" i="49" s="1"/>
  <c r="P311" i="49"/>
  <c r="O25" i="34"/>
  <c r="BW27" i="60"/>
  <c r="L298" i="49"/>
  <c r="P289" i="49"/>
  <c r="L279" i="49"/>
  <c r="F30" i="60"/>
  <c r="K290" i="49"/>
  <c r="K279" i="49"/>
  <c r="K289" i="49" s="1"/>
  <c r="P160" i="49"/>
  <c r="P305" i="49" s="1"/>
  <c r="P317" i="49" s="1"/>
  <c r="J55" i="60" l="1"/>
  <c r="J57" i="60"/>
  <c r="J59" i="60" s="1"/>
  <c r="D62" i="60" s="1"/>
  <c r="Y51" i="60"/>
  <c r="Y52" i="60"/>
  <c r="Z49" i="60"/>
  <c r="V60" i="60"/>
  <c r="V63" i="60" s="1"/>
  <c r="X52" i="60"/>
  <c r="X51" i="60"/>
  <c r="Y49" i="60"/>
  <c r="P291" i="49"/>
  <c r="R291" i="49"/>
  <c r="O279" i="49"/>
  <c r="J19" i="34"/>
  <c r="J69" i="48"/>
  <c r="J93" i="48"/>
  <c r="K93" i="48"/>
  <c r="J82" i="48"/>
  <c r="K82" i="48"/>
  <c r="L82" i="48"/>
  <c r="O82" i="48"/>
  <c r="K61" i="48"/>
  <c r="O61" i="48"/>
  <c r="J59" i="48"/>
  <c r="J107" i="48" s="1"/>
  <c r="J106" i="48" s="1"/>
  <c r="J60" i="60" l="1"/>
  <c r="N82" i="48"/>
  <c r="N61" i="48"/>
  <c r="P301" i="49"/>
  <c r="P302" i="49" s="1"/>
  <c r="O19" i="34"/>
  <c r="X18" i="34" s="1"/>
  <c r="J61" i="48"/>
  <c r="J55" i="48"/>
  <c r="K55" i="48"/>
  <c r="L55" i="48"/>
  <c r="N55" i="48" s="1"/>
  <c r="O55" i="48"/>
  <c r="J53" i="48"/>
  <c r="K53" i="48"/>
  <c r="L53" i="48"/>
  <c r="O53" i="48"/>
  <c r="J51" i="48"/>
  <c r="K51" i="48"/>
  <c r="L51" i="48"/>
  <c r="N51" i="48" s="1"/>
  <c r="O51" i="48"/>
  <c r="J49" i="48"/>
  <c r="K49" i="48"/>
  <c r="L49" i="48"/>
  <c r="N49" i="48" s="1"/>
  <c r="O49" i="48"/>
  <c r="N53" i="48" l="1"/>
  <c r="K47" i="48"/>
  <c r="J47" i="48"/>
  <c r="J42" i="48"/>
  <c r="K42" i="48"/>
  <c r="J37" i="48"/>
  <c r="K37" i="48"/>
  <c r="O37" i="48"/>
  <c r="J34" i="48"/>
  <c r="K34" i="48"/>
  <c r="L34" i="48"/>
  <c r="O34" i="48"/>
  <c r="N42" i="48" l="1"/>
  <c r="N37" i="48"/>
  <c r="N34" i="48"/>
  <c r="J114" i="48"/>
  <c r="J29" i="48"/>
  <c r="J22" i="48" s="1"/>
  <c r="I101" i="47"/>
  <c r="I102" i="47" s="1"/>
  <c r="J101" i="47"/>
  <c r="J102" i="47" s="1"/>
  <c r="K102" i="47"/>
  <c r="L102" i="47"/>
  <c r="N102" i="47" s="1"/>
  <c r="O102" i="47"/>
  <c r="O100" i="47" s="1"/>
  <c r="K69" i="47"/>
  <c r="L69" i="47"/>
  <c r="N69" i="47" s="1"/>
  <c r="O69" i="47"/>
  <c r="O63" i="47" s="1"/>
  <c r="J68" i="47"/>
  <c r="J69" i="47" s="1"/>
  <c r="I50" i="47"/>
  <c r="I51" i="47" s="1"/>
  <c r="J50" i="47"/>
  <c r="J51" i="47" l="1"/>
  <c r="J41" i="47" s="1"/>
  <c r="J122" i="47"/>
  <c r="J121" i="47" s="1"/>
  <c r="J130" i="47" s="1"/>
  <c r="J17" i="34" s="1"/>
  <c r="O51" i="47"/>
  <c r="L51" i="47"/>
  <c r="K51" i="47"/>
  <c r="N51" i="47" l="1"/>
  <c r="J18" i="34"/>
  <c r="O183" i="56"/>
  <c r="J175" i="56"/>
  <c r="K175" i="56"/>
  <c r="L175" i="56"/>
  <c r="O175" i="56"/>
  <c r="J172" i="56"/>
  <c r="N175" i="56" l="1"/>
  <c r="J132" i="56"/>
  <c r="J131" i="56"/>
  <c r="J129" i="56" s="1"/>
  <c r="K131" i="56"/>
  <c r="L131" i="56"/>
  <c r="N131" i="56" s="1"/>
  <c r="O131" i="56"/>
  <c r="J126" i="56" l="1"/>
  <c r="J123" i="56"/>
  <c r="J118" i="56" l="1"/>
  <c r="I99" i="52"/>
  <c r="K99" i="52" s="1"/>
  <c r="I100" i="52"/>
  <c r="K100" i="52" s="1"/>
  <c r="AE111" i="52"/>
  <c r="E105" i="52"/>
  <c r="H105" i="52"/>
  <c r="I105" i="52"/>
  <c r="K105" i="52" s="1"/>
  <c r="G58" i="52"/>
  <c r="I205" i="52" l="1"/>
  <c r="O67" i="48"/>
  <c r="J67" i="48"/>
  <c r="O58" i="48"/>
  <c r="J58" i="48"/>
  <c r="K24" i="50"/>
  <c r="N24" i="50" s="1"/>
  <c r="J24" i="50"/>
  <c r="O197" i="50" l="1"/>
  <c r="R197" i="50" s="1"/>
  <c r="C31" i="60"/>
  <c r="K168" i="50"/>
  <c r="N168" i="50" s="1"/>
  <c r="K27" i="50"/>
  <c r="L167" i="50"/>
  <c r="O167" i="50"/>
  <c r="O177" i="50" s="1"/>
  <c r="Q179" i="50" s="1"/>
  <c r="J168" i="50"/>
  <c r="J167" i="50" s="1"/>
  <c r="J177" i="50" s="1"/>
  <c r="J20" i="34" s="1"/>
  <c r="O27" i="50"/>
  <c r="J27" i="50"/>
  <c r="J12" i="50" s="1"/>
  <c r="J56" i="48"/>
  <c r="J31" i="51"/>
  <c r="N27" i="50" l="1"/>
  <c r="M206" i="50"/>
  <c r="M209" i="50" s="1"/>
  <c r="O201" i="50"/>
  <c r="O203" i="50" s="1"/>
  <c r="K185" i="50"/>
  <c r="D34" i="60"/>
  <c r="DD31" i="60"/>
  <c r="C34" i="60"/>
  <c r="O188" i="50"/>
  <c r="O20" i="34"/>
  <c r="X19" i="34" s="1"/>
  <c r="I166" i="51"/>
  <c r="J168" i="51"/>
  <c r="K168" i="51"/>
  <c r="J165" i="51"/>
  <c r="J163" i="51"/>
  <c r="I147" i="51"/>
  <c r="J147" i="51"/>
  <c r="K147" i="51"/>
  <c r="L147" i="51"/>
  <c r="N147" i="51" s="1"/>
  <c r="K121" i="51"/>
  <c r="N121" i="51" s="1"/>
  <c r="J121" i="51"/>
  <c r="H121" i="51"/>
  <c r="L116" i="51"/>
  <c r="J116" i="51"/>
  <c r="K116" i="51"/>
  <c r="N116" i="51" l="1"/>
  <c r="L22" i="51"/>
  <c r="J21" i="51"/>
  <c r="J22" i="51" s="1"/>
  <c r="K22" i="51" l="1"/>
  <c r="N22" i="51" s="1"/>
  <c r="K149" i="51"/>
  <c r="L149" i="51"/>
  <c r="J149" i="51"/>
  <c r="N109" i="51"/>
  <c r="J109" i="51"/>
  <c r="J68" i="51"/>
  <c r="J67" i="51"/>
  <c r="J170" i="51" s="1"/>
  <c r="H67" i="51"/>
  <c r="J38" i="51"/>
  <c r="J39" i="51"/>
  <c r="I37" i="51"/>
  <c r="Q184" i="51" l="1"/>
  <c r="Q187" i="51" s="1"/>
  <c r="N149" i="51"/>
  <c r="D35" i="60"/>
  <c r="L160" i="51"/>
  <c r="L150" i="51"/>
  <c r="L88" i="51"/>
  <c r="N88" i="51" s="1"/>
  <c r="I39" i="51"/>
  <c r="J167" i="51"/>
  <c r="L71" i="51"/>
  <c r="J71" i="51"/>
  <c r="K71" i="51"/>
  <c r="J40" i="51"/>
  <c r="I67" i="51"/>
  <c r="N71" i="51" l="1"/>
  <c r="L28" i="34"/>
  <c r="M28" i="34" s="1"/>
  <c r="F38" i="60"/>
  <c r="J160" i="51"/>
  <c r="X13" i="61" l="1"/>
  <c r="O21" i="34"/>
  <c r="X20" i="34" s="1"/>
  <c r="J159" i="51"/>
  <c r="J169" i="51" l="1"/>
  <c r="J21" i="34" s="1"/>
  <c r="I21" i="51" l="1"/>
  <c r="I22" i="51" s="1"/>
  <c r="I26" i="51"/>
  <c r="K27" i="51"/>
  <c r="L27" i="51"/>
  <c r="N27" i="51" s="1"/>
  <c r="J27" i="51"/>
  <c r="J20" i="51"/>
  <c r="J355" i="45" l="1"/>
  <c r="J370" i="45"/>
  <c r="O370" i="45"/>
  <c r="O38" i="34" s="1"/>
  <c r="J369" i="45"/>
  <c r="J366" i="45"/>
  <c r="J365" i="45"/>
  <c r="J364" i="45"/>
  <c r="J201" i="45"/>
  <c r="J200" i="45"/>
  <c r="CY11" i="60" l="1"/>
  <c r="DG11" i="60" s="1"/>
  <c r="J203" i="45"/>
  <c r="J363" i="45"/>
  <c r="J362" i="45" s="1"/>
  <c r="CY47" i="60" l="1"/>
  <c r="DG47" i="60"/>
  <c r="DF57" i="60" s="1"/>
  <c r="L259" i="45"/>
  <c r="O259" i="45"/>
  <c r="J259" i="45"/>
  <c r="J251" i="45" s="1"/>
  <c r="J253" i="45" s="1"/>
  <c r="K328" i="45" l="1"/>
  <c r="N328" i="45" s="1"/>
  <c r="H328" i="45"/>
  <c r="J325" i="45"/>
  <c r="J324" i="45"/>
  <c r="K305" i="45"/>
  <c r="N305" i="45" s="1"/>
  <c r="O305" i="45"/>
  <c r="H305" i="45"/>
  <c r="J304" i="45"/>
  <c r="J303" i="45"/>
  <c r="J291" i="45"/>
  <c r="K291" i="45"/>
  <c r="N291" i="45"/>
  <c r="O291" i="45"/>
  <c r="H291" i="45"/>
  <c r="J361" i="45" l="1"/>
  <c r="I291" i="45"/>
  <c r="L372" i="45"/>
  <c r="O372" i="45"/>
  <c r="J367" i="45"/>
  <c r="H372" i="45"/>
  <c r="I328" i="45"/>
  <c r="K372" i="45"/>
  <c r="I305" i="45"/>
  <c r="F296" i="45"/>
  <c r="J328" i="45"/>
  <c r="J305" i="45"/>
  <c r="H267" i="45"/>
  <c r="I267" i="45" s="1"/>
  <c r="N372" i="45" l="1"/>
  <c r="J372" i="45"/>
  <c r="I372" i="45"/>
  <c r="J360" i="45"/>
  <c r="J371" i="45" s="1"/>
  <c r="J15" i="34" s="1"/>
  <c r="I347" i="45"/>
  <c r="J346" i="45"/>
  <c r="I345" i="45"/>
  <c r="O346" i="45"/>
  <c r="J348" i="45"/>
  <c r="O355" i="45"/>
  <c r="K352" i="45"/>
  <c r="L352" i="45"/>
  <c r="N352" i="45" s="1"/>
  <c r="O352" i="45"/>
  <c r="J352" i="45"/>
  <c r="K169" i="45"/>
  <c r="L169" i="45"/>
  <c r="N169" i="45" s="1"/>
  <c r="J169" i="45"/>
  <c r="J167" i="45" s="1"/>
  <c r="J262" i="45" l="1"/>
  <c r="O169" i="45"/>
  <c r="O360" i="45"/>
  <c r="O371" i="45" s="1"/>
  <c r="O434" i="45" s="1"/>
  <c r="J350" i="45"/>
  <c r="J20" i="45" l="1"/>
  <c r="K44" i="46"/>
  <c r="L44" i="46"/>
  <c r="N44" i="46" s="1"/>
  <c r="O44" i="46"/>
  <c r="J44" i="46"/>
  <c r="J87" i="46"/>
  <c r="J81" i="46"/>
  <c r="I16" i="46"/>
  <c r="O13" i="46"/>
  <c r="J13" i="46"/>
  <c r="O378" i="45" l="1"/>
  <c r="O39" i="34"/>
  <c r="O15" i="34"/>
  <c r="X14" i="34" s="1"/>
  <c r="J82" i="46"/>
  <c r="J74" i="46" l="1"/>
  <c r="J46" i="46"/>
  <c r="O46" i="46"/>
  <c r="O32" i="46" l="1"/>
  <c r="L32" i="46"/>
  <c r="J32" i="46"/>
  <c r="J80" i="46"/>
  <c r="J79" i="46" l="1"/>
  <c r="J89" i="46" s="1"/>
  <c r="J16" i="34" l="1"/>
  <c r="G205" i="52"/>
  <c r="J35" i="34" s="1"/>
  <c r="E201" i="52"/>
  <c r="E205" i="52"/>
  <c r="E166" i="52"/>
  <c r="G208" i="52" l="1"/>
  <c r="J38" i="34" s="1"/>
  <c r="H204" i="52"/>
  <c r="K204" i="52" s="1"/>
  <c r="G204" i="52"/>
  <c r="J34" i="34" s="1"/>
  <c r="G185" i="52"/>
  <c r="H166" i="52"/>
  <c r="G144" i="52"/>
  <c r="G145" i="52" s="1"/>
  <c r="H134" i="52"/>
  <c r="K134" i="52" s="1"/>
  <c r="G134" i="52"/>
  <c r="H128" i="52"/>
  <c r="K128" i="52" s="1"/>
  <c r="G128" i="52"/>
  <c r="H89" i="52"/>
  <c r="K89" i="52" s="1"/>
  <c r="G89" i="52"/>
  <c r="G78" i="52" s="1"/>
  <c r="H40" i="52"/>
  <c r="H31" i="52"/>
  <c r="K31" i="52" s="1"/>
  <c r="G31" i="52"/>
  <c r="E31" i="52"/>
  <c r="H25" i="52"/>
  <c r="K25" i="52" s="1"/>
  <c r="G25" i="52"/>
  <c r="G197" i="52"/>
  <c r="G166" i="52"/>
  <c r="H145" i="52"/>
  <c r="I145" i="52"/>
  <c r="E144" i="52"/>
  <c r="F196" i="52"/>
  <c r="F195" i="52"/>
  <c r="E74" i="52"/>
  <c r="E77" i="52" s="1"/>
  <c r="F77" i="52" s="1"/>
  <c r="H72" i="52"/>
  <c r="K72" i="52" s="1"/>
  <c r="G72" i="52"/>
  <c r="G201" i="52" s="1"/>
  <c r="J29" i="34" s="1"/>
  <c r="E73" i="52"/>
  <c r="K145" i="52" l="1"/>
  <c r="H73" i="52"/>
  <c r="K73" i="52" s="1"/>
  <c r="K34" i="34"/>
  <c r="M34" i="34" s="1"/>
  <c r="G73" i="52"/>
  <c r="G210" i="52"/>
  <c r="J40" i="34" s="1"/>
  <c r="F72" i="52"/>
  <c r="G69" i="52" l="1"/>
  <c r="G187" i="52" l="1"/>
  <c r="H185" i="52"/>
  <c r="K185" i="52" l="1"/>
  <c r="H200" i="52"/>
  <c r="M225" i="52"/>
  <c r="C39" i="60"/>
  <c r="C42" i="60" s="1"/>
  <c r="H197" i="52"/>
  <c r="O40" i="34"/>
  <c r="I197" i="52"/>
  <c r="I210" i="52" s="1"/>
  <c r="I198" i="52"/>
  <c r="F62" i="52"/>
  <c r="I63" i="52"/>
  <c r="G62" i="52"/>
  <c r="G63" i="52" s="1"/>
  <c r="G59" i="52" s="1"/>
  <c r="G43" i="52"/>
  <c r="F46" i="52"/>
  <c r="F21" i="52"/>
  <c r="F27" i="52"/>
  <c r="F28" i="52"/>
  <c r="F32" i="52"/>
  <c r="F34" i="52"/>
  <c r="F38" i="52"/>
  <c r="F39" i="52"/>
  <c r="F43" i="52"/>
  <c r="F44" i="52"/>
  <c r="F47" i="52"/>
  <c r="F48" i="52"/>
  <c r="F49" i="52"/>
  <c r="F50" i="52"/>
  <c r="F53" i="52"/>
  <c r="F55" i="52"/>
  <c r="F60" i="52"/>
  <c r="F64" i="52"/>
  <c r="F66" i="52"/>
  <c r="F67" i="52"/>
  <c r="F70" i="52"/>
  <c r="F74" i="52"/>
  <c r="F79" i="52"/>
  <c r="F81" i="52"/>
  <c r="F83" i="52"/>
  <c r="F85" i="52"/>
  <c r="F87" i="52"/>
  <c r="F136" i="52"/>
  <c r="F139" i="52"/>
  <c r="F140" i="52"/>
  <c r="F141" i="52"/>
  <c r="F142" i="52"/>
  <c r="F143" i="52"/>
  <c r="F146" i="52"/>
  <c r="F147" i="52"/>
  <c r="F148" i="52"/>
  <c r="F149" i="52"/>
  <c r="F150" i="52"/>
  <c r="F151" i="52"/>
  <c r="F152" i="52"/>
  <c r="F153" i="52"/>
  <c r="F154" i="52"/>
  <c r="F162" i="52"/>
  <c r="F163" i="52"/>
  <c r="F164" i="52"/>
  <c r="F171" i="52"/>
  <c r="F173" i="52"/>
  <c r="F176" i="52"/>
  <c r="F179" i="52"/>
  <c r="F183" i="52"/>
  <c r="I43" i="52"/>
  <c r="G172" i="52"/>
  <c r="H172" i="52"/>
  <c r="I172" i="52"/>
  <c r="G175" i="52"/>
  <c r="G169" i="52"/>
  <c r="G207" i="52" s="1"/>
  <c r="J37" i="34" s="1"/>
  <c r="G168" i="52"/>
  <c r="H169" i="52"/>
  <c r="G182" i="52"/>
  <c r="H182" i="52"/>
  <c r="K182" i="52" s="1"/>
  <c r="G108" i="52"/>
  <c r="G96" i="52" s="1"/>
  <c r="G90" i="52" s="1"/>
  <c r="E109" i="52"/>
  <c r="G56" i="52"/>
  <c r="H56" i="52"/>
  <c r="I56" i="52"/>
  <c r="G54" i="52"/>
  <c r="H54" i="52"/>
  <c r="I54" i="52"/>
  <c r="K54" i="52" s="1"/>
  <c r="H45" i="52"/>
  <c r="G40" i="52"/>
  <c r="K40" i="52"/>
  <c r="G37" i="52"/>
  <c r="H37" i="52"/>
  <c r="I37" i="52"/>
  <c r="G35" i="52"/>
  <c r="H35" i="52"/>
  <c r="I35" i="52"/>
  <c r="G33" i="52"/>
  <c r="H33" i="52"/>
  <c r="I33" i="52"/>
  <c r="K33" i="52" s="1"/>
  <c r="E33" i="52"/>
  <c r="E25" i="52"/>
  <c r="K37" i="52" l="1"/>
  <c r="K35" i="52"/>
  <c r="K43" i="52"/>
  <c r="N225" i="52"/>
  <c r="K197" i="52"/>
  <c r="K169" i="52"/>
  <c r="M226" i="52"/>
  <c r="M227" i="52" s="1"/>
  <c r="K56" i="52"/>
  <c r="K172" i="52"/>
  <c r="K168" i="52"/>
  <c r="H210" i="52"/>
  <c r="H207" i="52"/>
  <c r="K207" i="52" s="1"/>
  <c r="H170" i="52"/>
  <c r="J39" i="60"/>
  <c r="F169" i="52"/>
  <c r="I45" i="52"/>
  <c r="K45" i="52" s="1"/>
  <c r="I194" i="52"/>
  <c r="G45" i="52"/>
  <c r="G19" i="52" s="1"/>
  <c r="G200" i="52"/>
  <c r="H194" i="52"/>
  <c r="F33" i="52"/>
  <c r="G170" i="52"/>
  <c r="G167" i="52" s="1"/>
  <c r="G52" i="52"/>
  <c r="J48" i="60" l="1"/>
  <c r="J47" i="60"/>
  <c r="K210" i="52"/>
  <c r="K170" i="52"/>
  <c r="M228" i="52"/>
  <c r="M229" i="52"/>
  <c r="P225" i="52"/>
  <c r="N227" i="52"/>
  <c r="K229" i="52"/>
  <c r="K194" i="52"/>
  <c r="P226" i="52"/>
  <c r="K230" i="52"/>
  <c r="H217" i="52"/>
  <c r="J42" i="60"/>
  <c r="F42" i="60"/>
  <c r="G199" i="52"/>
  <c r="G209" i="52" s="1"/>
  <c r="J22" i="34" s="1"/>
  <c r="J27" i="34"/>
  <c r="J25" i="34" s="1"/>
  <c r="E204" i="52"/>
  <c r="H198" i="52"/>
  <c r="E198" i="52"/>
  <c r="E197" i="52"/>
  <c r="E185" i="52"/>
  <c r="E187" i="52" s="1"/>
  <c r="I184" i="52"/>
  <c r="H184" i="52"/>
  <c r="E184" i="52"/>
  <c r="E178" i="52"/>
  <c r="I177" i="52"/>
  <c r="H177" i="52"/>
  <c r="E177" i="52"/>
  <c r="E175" i="52"/>
  <c r="F175" i="52" s="1"/>
  <c r="E172" i="52"/>
  <c r="F172" i="52" s="1"/>
  <c r="E168" i="52"/>
  <c r="K166" i="52"/>
  <c r="I155" i="52"/>
  <c r="H155" i="52"/>
  <c r="E155" i="52"/>
  <c r="F144" i="52"/>
  <c r="E138" i="52"/>
  <c r="I137" i="52"/>
  <c r="H137" i="52"/>
  <c r="I135" i="52"/>
  <c r="H135" i="52"/>
  <c r="E120" i="52"/>
  <c r="F120" i="52" s="1"/>
  <c r="E99" i="52"/>
  <c r="E93" i="52" s="1"/>
  <c r="E97" i="52"/>
  <c r="E89" i="52"/>
  <c r="I86" i="52"/>
  <c r="H86" i="52"/>
  <c r="E86" i="52"/>
  <c r="I84" i="52"/>
  <c r="H84" i="52"/>
  <c r="E84" i="52"/>
  <c r="I82" i="52"/>
  <c r="H82" i="52"/>
  <c r="E82" i="52"/>
  <c r="I80" i="52"/>
  <c r="K80" i="52" s="1"/>
  <c r="H80" i="52"/>
  <c r="E80" i="52"/>
  <c r="H69" i="52"/>
  <c r="E69" i="52"/>
  <c r="H63" i="52"/>
  <c r="K63" i="52" s="1"/>
  <c r="E63" i="52"/>
  <c r="I61" i="52"/>
  <c r="K61" i="52" s="1"/>
  <c r="H61" i="52"/>
  <c r="E61" i="52"/>
  <c r="I58" i="52"/>
  <c r="H58" i="52"/>
  <c r="E58" i="52"/>
  <c r="E56" i="52"/>
  <c r="F56" i="52" s="1"/>
  <c r="E54" i="52"/>
  <c r="F54" i="52" s="1"/>
  <c r="I51" i="52"/>
  <c r="K51" i="52" s="1"/>
  <c r="H51" i="52"/>
  <c r="E51" i="52"/>
  <c r="E45" i="52"/>
  <c r="F45" i="52" s="1"/>
  <c r="E40" i="52"/>
  <c r="F40" i="52" s="1"/>
  <c r="E37" i="52"/>
  <c r="F37" i="52" s="1"/>
  <c r="E35" i="52"/>
  <c r="F35" i="52" s="1"/>
  <c r="F31" i="52"/>
  <c r="A10" i="52"/>
  <c r="B9" i="52"/>
  <c r="A9" i="52"/>
  <c r="B8" i="52"/>
  <c r="A8" i="52"/>
  <c r="B7" i="52"/>
  <c r="A7" i="52"/>
  <c r="B6" i="52"/>
  <c r="A6" i="52"/>
  <c r="B5" i="52"/>
  <c r="A5" i="52"/>
  <c r="B4" i="52"/>
  <c r="A4" i="52"/>
  <c r="J207" i="56"/>
  <c r="I207" i="56"/>
  <c r="J208" i="56"/>
  <c r="J218" i="56" s="1"/>
  <c r="J33" i="56"/>
  <c r="J18" i="56" s="1"/>
  <c r="Z95" i="56"/>
  <c r="O207" i="56"/>
  <c r="O172" i="56"/>
  <c r="O132" i="56" s="1"/>
  <c r="O129" i="56"/>
  <c r="O126" i="56"/>
  <c r="O106" i="56"/>
  <c r="O35" i="56"/>
  <c r="K30" i="51"/>
  <c r="L30" i="51"/>
  <c r="L163" i="51" s="1"/>
  <c r="H30" i="51"/>
  <c r="L36" i="51"/>
  <c r="N36" i="51" s="1"/>
  <c r="F35" i="51"/>
  <c r="F34" i="51"/>
  <c r="K153" i="50"/>
  <c r="N153" i="50" s="1"/>
  <c r="H153" i="50"/>
  <c r="H102" i="50"/>
  <c r="H56" i="46"/>
  <c r="H53" i="46"/>
  <c r="I53" i="46" s="1"/>
  <c r="H63" i="46"/>
  <c r="G63" i="46"/>
  <c r="E63" i="46"/>
  <c r="F60" i="46"/>
  <c r="L348" i="45"/>
  <c r="N348" i="45" s="1"/>
  <c r="K348" i="45"/>
  <c r="H348" i="45"/>
  <c r="I348" i="45" s="1"/>
  <c r="G348" i="45"/>
  <c r="E348" i="45"/>
  <c r="C348" i="45"/>
  <c r="B348" i="45"/>
  <c r="F347" i="45"/>
  <c r="L346" i="45"/>
  <c r="N346" i="45" s="1"/>
  <c r="K346" i="45"/>
  <c r="H346" i="45"/>
  <c r="G346" i="45"/>
  <c r="E346" i="45"/>
  <c r="C346" i="45"/>
  <c r="B346" i="45"/>
  <c r="F345" i="45"/>
  <c r="I285" i="49"/>
  <c r="J285" i="49" s="1"/>
  <c r="I129" i="49"/>
  <c r="J129" i="49" s="1"/>
  <c r="H175" i="50"/>
  <c r="I175" i="50" s="1"/>
  <c r="H20" i="51"/>
  <c r="I20" i="51" s="1"/>
  <c r="H38" i="51"/>
  <c r="H95" i="51"/>
  <c r="H97" i="51" s="1"/>
  <c r="H13" i="50"/>
  <c r="K69" i="52" l="1"/>
  <c r="K177" i="52"/>
  <c r="J49" i="60"/>
  <c r="J51" i="60"/>
  <c r="J52" i="60"/>
  <c r="D42" i="60"/>
  <c r="DE39" i="60"/>
  <c r="K84" i="52"/>
  <c r="K155" i="52"/>
  <c r="K232" i="52"/>
  <c r="K82" i="52"/>
  <c r="P227" i="52"/>
  <c r="K58" i="52"/>
  <c r="K200" i="52"/>
  <c r="N228" i="52"/>
  <c r="N229" i="52" s="1"/>
  <c r="I199" i="52"/>
  <c r="I209" i="52" s="1"/>
  <c r="K135" i="52"/>
  <c r="K86" i="52"/>
  <c r="K137" i="52"/>
  <c r="K184" i="52"/>
  <c r="H52" i="52"/>
  <c r="F137" i="52"/>
  <c r="F135" i="52"/>
  <c r="K31" i="51"/>
  <c r="X11" i="61"/>
  <c r="O22" i="34"/>
  <c r="X21" i="34" s="1"/>
  <c r="I346" i="45"/>
  <c r="H262" i="45"/>
  <c r="H15" i="50"/>
  <c r="I15" i="50" s="1"/>
  <c r="I13" i="50"/>
  <c r="J39" i="34"/>
  <c r="J14" i="34"/>
  <c r="J24" i="34" s="1"/>
  <c r="H163" i="51"/>
  <c r="I163" i="51" s="1"/>
  <c r="I30" i="51"/>
  <c r="L31" i="51"/>
  <c r="N31" i="51" s="1"/>
  <c r="K163" i="51"/>
  <c r="H40" i="51"/>
  <c r="I40" i="51" s="1"/>
  <c r="I38" i="51"/>
  <c r="H58" i="46"/>
  <c r="E78" i="52"/>
  <c r="E194" i="52"/>
  <c r="F194" i="52" s="1"/>
  <c r="F197" i="52"/>
  <c r="F51" i="52"/>
  <c r="F84" i="52"/>
  <c r="F69" i="52"/>
  <c r="F184" i="52"/>
  <c r="F177" i="52"/>
  <c r="F201" i="52"/>
  <c r="F63" i="52"/>
  <c r="F86" i="52"/>
  <c r="F166" i="52"/>
  <c r="F204" i="52"/>
  <c r="F80" i="52"/>
  <c r="E170" i="52"/>
  <c r="F168" i="52"/>
  <c r="E122" i="52"/>
  <c r="F122" i="52" s="1"/>
  <c r="E182" i="52"/>
  <c r="F182" i="52" s="1"/>
  <c r="F178" i="52"/>
  <c r="F82" i="52"/>
  <c r="F89" i="52"/>
  <c r="H91" i="52"/>
  <c r="F61" i="52"/>
  <c r="F73" i="52"/>
  <c r="F155" i="52"/>
  <c r="H187" i="52"/>
  <c r="K187" i="52" s="1"/>
  <c r="F185" i="52"/>
  <c r="E19" i="52"/>
  <c r="H59" i="52"/>
  <c r="E128" i="52"/>
  <c r="I138" i="52"/>
  <c r="E59" i="52"/>
  <c r="H19" i="52"/>
  <c r="H78" i="52"/>
  <c r="E91" i="52"/>
  <c r="E200" i="52"/>
  <c r="E207" i="52"/>
  <c r="E52" i="52"/>
  <c r="H138" i="52"/>
  <c r="E101" i="52"/>
  <c r="E145" i="52"/>
  <c r="F145" i="52" s="1"/>
  <c r="F346" i="45"/>
  <c r="F63" i="46"/>
  <c r="F348" i="45"/>
  <c r="H112" i="48"/>
  <c r="I112" i="48" s="1"/>
  <c r="H25" i="48"/>
  <c r="I25" i="48" s="1"/>
  <c r="H87" i="46"/>
  <c r="I87" i="46" s="1"/>
  <c r="H30" i="46"/>
  <c r="H32" i="46" s="1"/>
  <c r="I265" i="52" l="1"/>
  <c r="I266" i="52" s="1"/>
  <c r="F52" i="52"/>
  <c r="L211" i="52"/>
  <c r="K138" i="52"/>
  <c r="F187" i="52"/>
  <c r="F138" i="52"/>
  <c r="H205" i="52"/>
  <c r="K205" i="52" s="1"/>
  <c r="I58" i="46"/>
  <c r="DD39" i="60"/>
  <c r="F207" i="52"/>
  <c r="E199" i="52"/>
  <c r="H208" i="52"/>
  <c r="H96" i="52"/>
  <c r="K96" i="52" s="1"/>
  <c r="F170" i="52"/>
  <c r="E167" i="52"/>
  <c r="H167" i="52"/>
  <c r="F19" i="52"/>
  <c r="F78" i="52"/>
  <c r="F59" i="52"/>
  <c r="F210" i="52"/>
  <c r="E214" i="52"/>
  <c r="E96" i="52"/>
  <c r="E208" i="52"/>
  <c r="H93" i="45"/>
  <c r="H165" i="45"/>
  <c r="V11" i="61" l="1"/>
  <c r="J211" i="52"/>
  <c r="I220" i="52"/>
  <c r="L22" i="34"/>
  <c r="W21" i="34" s="1"/>
  <c r="H199" i="52"/>
  <c r="K199" i="52" s="1"/>
  <c r="X12" i="61"/>
  <c r="X15" i="61" s="1"/>
  <c r="W11" i="61" s="1"/>
  <c r="O14" i="34"/>
  <c r="F205" i="52"/>
  <c r="F208" i="52"/>
  <c r="E209" i="52"/>
  <c r="H22" i="34" s="1"/>
  <c r="F200" i="52"/>
  <c r="F167" i="52"/>
  <c r="H90" i="52"/>
  <c r="K265" i="52" s="1"/>
  <c r="K266" i="52" s="1"/>
  <c r="E90" i="52"/>
  <c r="H243" i="45"/>
  <c r="H241" i="45"/>
  <c r="H242" i="45" s="1"/>
  <c r="H50" i="47"/>
  <c r="H68" i="47"/>
  <c r="I22" i="49"/>
  <c r="H24" i="47"/>
  <c r="H29" i="47" s="1"/>
  <c r="H71" i="45"/>
  <c r="H158" i="45"/>
  <c r="H162" i="45" s="1"/>
  <c r="H102" i="45"/>
  <c r="H88" i="45"/>
  <c r="H92" i="45" s="1"/>
  <c r="H21" i="45"/>
  <c r="H109" i="45"/>
  <c r="H36" i="45"/>
  <c r="H116" i="45"/>
  <c r="H41" i="45"/>
  <c r="H95" i="45"/>
  <c r="H26" i="45"/>
  <c r="H60" i="45"/>
  <c r="H55" i="45"/>
  <c r="H51" i="45"/>
  <c r="H46" i="45"/>
  <c r="H28" i="51"/>
  <c r="H26" i="56"/>
  <c r="O24" i="34" l="1"/>
  <c r="O42" i="34" s="1"/>
  <c r="X13" i="34"/>
  <c r="H209" i="52"/>
  <c r="W13" i="61"/>
  <c r="W12" i="61"/>
  <c r="K22" i="34"/>
  <c r="V21" i="34" s="1"/>
  <c r="H31" i="51"/>
  <c r="I28" i="51"/>
  <c r="H231" i="45"/>
  <c r="I231" i="45" s="1"/>
  <c r="F199" i="52"/>
  <c r="F90" i="52"/>
  <c r="I130" i="49"/>
  <c r="J130" i="49" s="1"/>
  <c r="K209" i="52" l="1"/>
  <c r="I211" i="52"/>
  <c r="F209" i="52"/>
  <c r="H220" i="52"/>
  <c r="H211" i="52"/>
  <c r="F211" i="52" s="1"/>
  <c r="T11" i="61"/>
  <c r="I22" i="34"/>
  <c r="M22" i="34"/>
  <c r="H171" i="45"/>
  <c r="H168" i="45" s="1"/>
  <c r="I168" i="45" s="1"/>
  <c r="I28" i="49"/>
  <c r="I31" i="49"/>
  <c r="I25" i="49"/>
  <c r="I109" i="49"/>
  <c r="J109" i="49" s="1"/>
  <c r="I158" i="49"/>
  <c r="J158" i="49" s="1"/>
  <c r="H85" i="56"/>
  <c r="H176" i="50"/>
  <c r="K211" i="52" l="1"/>
  <c r="H210" i="56"/>
  <c r="I85" i="56"/>
  <c r="G86" i="50"/>
  <c r="F86" i="50"/>
  <c r="E86" i="50"/>
  <c r="H86" i="50"/>
  <c r="E173" i="50"/>
  <c r="H285" i="49"/>
  <c r="F285" i="49"/>
  <c r="Y95" i="56"/>
  <c r="X95" i="56"/>
  <c r="W95" i="56"/>
  <c r="E210" i="56"/>
  <c r="H64" i="56"/>
  <c r="I64" i="56" s="1"/>
  <c r="I168" i="50" l="1"/>
  <c r="K167" i="50"/>
  <c r="N167" i="50" s="1"/>
  <c r="K86" i="50"/>
  <c r="N86" i="50" s="1"/>
  <c r="I210" i="56"/>
  <c r="H46" i="51"/>
  <c r="K178" i="50" l="1"/>
  <c r="N178" i="50" s="1"/>
  <c r="I18" i="49"/>
  <c r="J18" i="49" s="1"/>
  <c r="H19" i="47"/>
  <c r="H17" i="45"/>
  <c r="I17" i="45" s="1"/>
  <c r="I16" i="49"/>
  <c r="J16" i="49" l="1"/>
  <c r="F24" i="56"/>
  <c r="F119" i="56"/>
  <c r="H15" i="45"/>
  <c r="I15" i="45" s="1"/>
  <c r="C52" i="58"/>
  <c r="C49" i="58"/>
  <c r="C45" i="58"/>
  <c r="C44" i="58"/>
  <c r="C39" i="58"/>
  <c r="C36" i="58"/>
  <c r="C34" i="58"/>
  <c r="C31" i="58"/>
  <c r="C29" i="58"/>
  <c r="C26" i="58"/>
  <c r="C23" i="58"/>
  <c r="C16" i="58"/>
  <c r="C11" i="58"/>
  <c r="C8" i="58"/>
  <c r="F26" i="56" l="1"/>
  <c r="H183" i="50"/>
  <c r="H161" i="51"/>
  <c r="I161" i="51" s="1"/>
  <c r="H235" i="45" l="1"/>
  <c r="H230" i="45" l="1"/>
  <c r="H239" i="45"/>
  <c r="I287" i="49"/>
  <c r="J287" i="49" s="1"/>
  <c r="F258" i="49"/>
  <c r="I23" i="49"/>
  <c r="I17" i="49" s="1"/>
  <c r="H107" i="48"/>
  <c r="F32" i="47"/>
  <c r="J17" i="49" l="1"/>
  <c r="H234" i="45"/>
  <c r="I234" i="45" s="1"/>
  <c r="I230" i="45"/>
  <c r="H120" i="48"/>
  <c r="I107" i="48"/>
  <c r="H31" i="47"/>
  <c r="H67" i="45"/>
  <c r="H61" i="45"/>
  <c r="H56" i="45"/>
  <c r="H47" i="45"/>
  <c r="H37" i="45"/>
  <c r="H40" i="45" s="1"/>
  <c r="H27" i="45"/>
  <c r="H18" i="47" l="1"/>
  <c r="H125" i="47" s="1"/>
  <c r="H36" i="47"/>
  <c r="H16" i="45"/>
  <c r="I16" i="45" s="1"/>
  <c r="H81" i="56"/>
  <c r="I81" i="56" s="1"/>
  <c r="DD27" i="60" l="1"/>
  <c r="H366" i="45"/>
  <c r="I366" i="45" s="1"/>
  <c r="I106" i="49"/>
  <c r="J106" i="49" s="1"/>
  <c r="H101" i="47"/>
  <c r="H91" i="47"/>
  <c r="H110" i="48" l="1"/>
  <c r="I110" i="48" s="1"/>
  <c r="H165" i="51"/>
  <c r="I165" i="51" s="1"/>
  <c r="F149" i="51" l="1"/>
  <c r="F146" i="51"/>
  <c r="F106" i="51"/>
  <c r="F95" i="51"/>
  <c r="F86" i="51"/>
  <c r="F82" i="51"/>
  <c r="F69" i="51"/>
  <c r="F68" i="51"/>
  <c r="F62" i="51"/>
  <c r="F88" i="48"/>
  <c r="F87" i="48"/>
  <c r="F86" i="48"/>
  <c r="F85" i="48"/>
  <c r="F83" i="48"/>
  <c r="F81" i="48"/>
  <c r="F68" i="48"/>
  <c r="F66" i="48"/>
  <c r="F59" i="48"/>
  <c r="F57" i="48"/>
  <c r="F54" i="48"/>
  <c r="F50" i="48"/>
  <c r="F52" i="48"/>
  <c r="F48" i="48"/>
  <c r="F43" i="48"/>
  <c r="F40" i="48"/>
  <c r="F36" i="48"/>
  <c r="F33" i="48"/>
  <c r="F28" i="48"/>
  <c r="F26" i="48"/>
  <c r="F23" i="48"/>
  <c r="H129" i="47"/>
  <c r="F119" i="47"/>
  <c r="F118" i="47"/>
  <c r="F117" i="47"/>
  <c r="F114" i="47"/>
  <c r="F113" i="47"/>
  <c r="F109" i="47"/>
  <c r="F104" i="47"/>
  <c r="F103" i="47"/>
  <c r="F99" i="47"/>
  <c r="F98" i="47"/>
  <c r="F97" i="47"/>
  <c r="F94" i="47"/>
  <c r="F76" i="47"/>
  <c r="F75" i="47"/>
  <c r="F71" i="47"/>
  <c r="F61" i="47"/>
  <c r="F57" i="47"/>
  <c r="F54" i="47"/>
  <c r="F47" i="47"/>
  <c r="F45" i="47"/>
  <c r="F37" i="47"/>
  <c r="F30" i="47"/>
  <c r="F26" i="47"/>
  <c r="F25" i="47"/>
  <c r="F24" i="47"/>
  <c r="F73" i="46"/>
  <c r="F53" i="46"/>
  <c r="F49" i="46"/>
  <c r="F45" i="46"/>
  <c r="F43" i="46"/>
  <c r="F30" i="46"/>
  <c r="F16" i="46"/>
  <c r="F37" i="56"/>
  <c r="F32" i="56"/>
  <c r="F20" i="56"/>
  <c r="F38" i="51" l="1"/>
  <c r="F37" i="51"/>
  <c r="F28" i="51"/>
  <c r="F26" i="51"/>
  <c r="F21" i="51"/>
  <c r="F17" i="51"/>
  <c r="F18" i="51"/>
  <c r="K362" i="45" l="1"/>
  <c r="N362" i="45" s="1"/>
  <c r="H141" i="50"/>
  <c r="I141" i="50" s="1"/>
  <c r="G141" i="50"/>
  <c r="F141" i="50"/>
  <c r="E141" i="50"/>
  <c r="F351" i="45"/>
  <c r="F329" i="45"/>
  <c r="F326" i="45"/>
  <c r="F307" i="45"/>
  <c r="F306" i="45"/>
  <c r="F302" i="45"/>
  <c r="F292" i="45"/>
  <c r="F288" i="45"/>
  <c r="F264" i="45"/>
  <c r="F260" i="45"/>
  <c r="F258" i="45"/>
  <c r="K29" i="34" l="1"/>
  <c r="H19" i="45"/>
  <c r="I19" i="45" s="1"/>
  <c r="K370" i="45"/>
  <c r="L370" i="45"/>
  <c r="G19" i="45"/>
  <c r="F200" i="45"/>
  <c r="H137" i="50"/>
  <c r="G137" i="50"/>
  <c r="F137" i="50"/>
  <c r="E137" i="50"/>
  <c r="L371" i="45" l="1"/>
  <c r="N370" i="45"/>
  <c r="CX11" i="60"/>
  <c r="DE11" i="60" s="1"/>
  <c r="CW11" i="60"/>
  <c r="H370" i="45"/>
  <c r="I370" i="45" s="1"/>
  <c r="H20" i="45"/>
  <c r="I147" i="49"/>
  <c r="J147" i="49" s="1"/>
  <c r="O373" i="45" l="1"/>
  <c r="L378" i="45"/>
  <c r="CX47" i="60"/>
  <c r="CX49" i="60" s="1"/>
  <c r="DD11" i="60"/>
  <c r="CW47" i="60"/>
  <c r="I272" i="49"/>
  <c r="J272" i="49" s="1"/>
  <c r="G231" i="49"/>
  <c r="G224" i="49"/>
  <c r="G209" i="49"/>
  <c r="G207" i="49"/>
  <c r="G189" i="49"/>
  <c r="G187" i="49"/>
  <c r="G186" i="49"/>
  <c r="G162" i="49"/>
  <c r="G153" i="49"/>
  <c r="G150" i="49"/>
  <c r="G145" i="49"/>
  <c r="G135" i="49"/>
  <c r="G132" i="49"/>
  <c r="G130" i="49"/>
  <c r="G122" i="49"/>
  <c r="G120" i="49"/>
  <c r="G117" i="49"/>
  <c r="G115" i="49"/>
  <c r="G110" i="49"/>
  <c r="G104" i="49"/>
  <c r="G99" i="49"/>
  <c r="G98" i="49"/>
  <c r="G94" i="49"/>
  <c r="F45" i="49"/>
  <c r="G43" i="49"/>
  <c r="G42" i="49"/>
  <c r="G36" i="49"/>
  <c r="CW52" i="60" l="1"/>
  <c r="CW51" i="60"/>
  <c r="G22" i="49"/>
  <c r="G25" i="49"/>
  <c r="G28" i="49"/>
  <c r="G29" i="49"/>
  <c r="G31" i="49"/>
  <c r="F45" i="50"/>
  <c r="F43" i="50"/>
  <c r="F13" i="50"/>
  <c r="H364" i="45" l="1"/>
  <c r="I364" i="45" s="1"/>
  <c r="H211" i="56"/>
  <c r="H22" i="46"/>
  <c r="I61" i="49"/>
  <c r="J61" i="49" s="1"/>
  <c r="H20" i="50"/>
  <c r="I75" i="49"/>
  <c r="J75" i="49" s="1"/>
  <c r="I20" i="50" l="1"/>
  <c r="H212" i="56"/>
  <c r="I212" i="56" s="1"/>
  <c r="I211" i="56"/>
  <c r="F20" i="50"/>
  <c r="H171" i="50"/>
  <c r="I171" i="50" l="1"/>
  <c r="H167" i="50"/>
  <c r="I39" i="49"/>
  <c r="J39" i="49" s="1"/>
  <c r="I62" i="49"/>
  <c r="J62" i="49" s="1"/>
  <c r="I179" i="49"/>
  <c r="J179" i="49" s="1"/>
  <c r="H83" i="45"/>
  <c r="H354" i="45"/>
  <c r="I154" i="49"/>
  <c r="G154" i="49" s="1"/>
  <c r="I107" i="49"/>
  <c r="I194" i="49"/>
  <c r="J194" i="49" s="1"/>
  <c r="F230" i="45"/>
  <c r="G107" i="49" l="1"/>
  <c r="J107" i="49"/>
  <c r="H365" i="45"/>
  <c r="I365" i="45" s="1"/>
  <c r="I354" i="45"/>
  <c r="H177" i="50"/>
  <c r="J179" i="50" s="1"/>
  <c r="I167" i="50"/>
  <c r="G39" i="49"/>
  <c r="I288" i="49"/>
  <c r="J288" i="49" s="1"/>
  <c r="H20" i="34" l="1"/>
  <c r="G288" i="49"/>
  <c r="H38" i="56" l="1"/>
  <c r="I38" i="56" s="1"/>
  <c r="H19" i="56"/>
  <c r="G19" i="56"/>
  <c r="H23" i="56" l="1"/>
  <c r="I23" i="56" s="1"/>
  <c r="I19" i="56"/>
  <c r="F38" i="56"/>
  <c r="G23" i="49"/>
  <c r="F31" i="47"/>
  <c r="L355" i="45" l="1"/>
  <c r="K355" i="45"/>
  <c r="H355" i="45"/>
  <c r="G355" i="45"/>
  <c r="E355" i="45"/>
  <c r="C355" i="45"/>
  <c r="N355" i="45" l="1"/>
  <c r="I355" i="45"/>
  <c r="K350" i="45"/>
  <c r="H28" i="34"/>
  <c r="I28" i="34" s="1"/>
  <c r="I59" i="49" l="1"/>
  <c r="J59" i="49" s="1"/>
  <c r="F201" i="45"/>
  <c r="H79" i="45"/>
  <c r="I79" i="45" s="1"/>
  <c r="H75" i="49"/>
  <c r="H61" i="49"/>
  <c r="I63" i="49"/>
  <c r="J63" i="49" s="1"/>
  <c r="I83" i="45" l="1"/>
  <c r="K85" i="45"/>
  <c r="N85" i="45" s="1"/>
  <c r="G59" i="49"/>
  <c r="H363" i="45"/>
  <c r="H89" i="49"/>
  <c r="H90" i="49" s="1"/>
  <c r="I89" i="49"/>
  <c r="H77" i="49"/>
  <c r="I77" i="49"/>
  <c r="J77" i="49" s="1"/>
  <c r="H99" i="51"/>
  <c r="H103" i="51"/>
  <c r="H98" i="51" s="1"/>
  <c r="H167" i="51" s="1"/>
  <c r="I167" i="51" s="1"/>
  <c r="H51" i="50"/>
  <c r="I51" i="50" s="1"/>
  <c r="G51" i="50"/>
  <c r="I236" i="49"/>
  <c r="J236" i="49" s="1"/>
  <c r="I192" i="49"/>
  <c r="J192" i="49" s="1"/>
  <c r="H214" i="45"/>
  <c r="H212" i="45"/>
  <c r="I212" i="45" s="1"/>
  <c r="H369" i="45"/>
  <c r="I369" i="45" s="1"/>
  <c r="H183" i="45"/>
  <c r="I282" i="49" l="1"/>
  <c r="J282" i="49" s="1"/>
  <c r="J89" i="49"/>
  <c r="H362" i="45"/>
  <c r="I362" i="45" s="1"/>
  <c r="I363" i="45"/>
  <c r="F183" i="45"/>
  <c r="I183" i="45"/>
  <c r="H367" i="45"/>
  <c r="I367" i="45" s="1"/>
  <c r="H215" i="45"/>
  <c r="I215" i="45" s="1"/>
  <c r="I214" i="45"/>
  <c r="F98" i="51"/>
  <c r="H168" i="51"/>
  <c r="F99" i="51"/>
  <c r="F209" i="45"/>
  <c r="F212" i="45"/>
  <c r="H100" i="51"/>
  <c r="I90" i="49"/>
  <c r="J90" i="49" s="1"/>
  <c r="H190" i="56"/>
  <c r="H133" i="56"/>
  <c r="G133" i="56"/>
  <c r="I168" i="51" l="1"/>
  <c r="H38" i="34"/>
  <c r="H136" i="56"/>
  <c r="I133" i="56"/>
  <c r="F168" i="51"/>
  <c r="I136" i="56" l="1"/>
  <c r="I193" i="49"/>
  <c r="H110" i="49"/>
  <c r="G106" i="49"/>
  <c r="H106" i="49"/>
  <c r="I48" i="49"/>
  <c r="H83" i="47"/>
  <c r="H128" i="47" s="1"/>
  <c r="H14" i="46"/>
  <c r="I14" i="46" s="1"/>
  <c r="G14" i="46"/>
  <c r="H81" i="45"/>
  <c r="H166" i="45"/>
  <c r="F130" i="56"/>
  <c r="H173" i="56"/>
  <c r="F124" i="56"/>
  <c r="G30" i="56"/>
  <c r="H30" i="56"/>
  <c r="I280" i="49" l="1"/>
  <c r="J280" i="49" s="1"/>
  <c r="J48" i="49"/>
  <c r="I196" i="49"/>
  <c r="J196" i="49" s="1"/>
  <c r="J193" i="49"/>
  <c r="H361" i="45"/>
  <c r="I361" i="45" s="1"/>
  <c r="I81" i="45"/>
  <c r="H31" i="56"/>
  <c r="I31" i="56" s="1"/>
  <c r="I30" i="56"/>
  <c r="H80" i="46"/>
  <c r="F14" i="46"/>
  <c r="G48" i="49"/>
  <c r="H85" i="45"/>
  <c r="I85" i="45" s="1"/>
  <c r="I49" i="49"/>
  <c r="J49" i="49" s="1"/>
  <c r="F75" i="46" l="1"/>
  <c r="I80" i="46"/>
  <c r="I241" i="49"/>
  <c r="H241" i="49"/>
  <c r="H236" i="49"/>
  <c r="L44" i="48" l="1"/>
  <c r="K44" i="48"/>
  <c r="H44" i="48"/>
  <c r="G44" i="48"/>
  <c r="E44" i="48"/>
  <c r="N44" i="48" l="1"/>
  <c r="K22" i="48"/>
  <c r="I44" i="48"/>
  <c r="F44" i="48"/>
  <c r="F272" i="49"/>
  <c r="F44" i="46" l="1"/>
  <c r="G44" i="46"/>
  <c r="H44" i="46"/>
  <c r="I44" i="46" s="1"/>
  <c r="G305" i="45"/>
  <c r="E305" i="45"/>
  <c r="G214" i="45"/>
  <c r="G213" i="45"/>
  <c r="G209" i="45"/>
  <c r="H360" i="45"/>
  <c r="H371" i="45" s="1"/>
  <c r="G212" i="45"/>
  <c r="L215" i="45" l="1"/>
  <c r="N215" i="45" s="1"/>
  <c r="F305" i="45"/>
  <c r="G215" i="45"/>
  <c r="G267" i="45" l="1"/>
  <c r="H98" i="50" l="1"/>
  <c r="I98" i="50" s="1"/>
  <c r="G98" i="50"/>
  <c r="E98" i="50"/>
  <c r="G171" i="50" l="1"/>
  <c r="H352" i="45" l="1"/>
  <c r="G352" i="45"/>
  <c r="F25" i="56"/>
  <c r="F27" i="56"/>
  <c r="F34" i="56"/>
  <c r="F45" i="56"/>
  <c r="F46" i="56"/>
  <c r="F48" i="56"/>
  <c r="F49" i="56"/>
  <c r="F51" i="56"/>
  <c r="F53" i="56"/>
  <c r="F55" i="56"/>
  <c r="F57" i="56"/>
  <c r="F59" i="56"/>
  <c r="F65" i="56"/>
  <c r="F67" i="56"/>
  <c r="F68" i="56"/>
  <c r="F70" i="56"/>
  <c r="F72" i="56"/>
  <c r="F74" i="56"/>
  <c r="F77" i="56"/>
  <c r="F80" i="56"/>
  <c r="F82" i="56"/>
  <c r="F85" i="56"/>
  <c r="F87" i="56"/>
  <c r="F89" i="56"/>
  <c r="F90" i="56"/>
  <c r="F96" i="56"/>
  <c r="F114" i="56"/>
  <c r="F116" i="56"/>
  <c r="F121" i="56"/>
  <c r="F127" i="56"/>
  <c r="F133" i="56"/>
  <c r="F158" i="56"/>
  <c r="F168" i="56"/>
  <c r="F170" i="56"/>
  <c r="F173" i="56"/>
  <c r="F179" i="56"/>
  <c r="F184" i="56"/>
  <c r="F192" i="56"/>
  <c r="F197" i="56"/>
  <c r="F202" i="56"/>
  <c r="F205" i="56"/>
  <c r="E47" i="56"/>
  <c r="E40" i="56"/>
  <c r="H350" i="45" l="1"/>
  <c r="I350" i="45" s="1"/>
  <c r="I352" i="45"/>
  <c r="H86" i="47"/>
  <c r="G83" i="47"/>
  <c r="G86" i="47" s="1"/>
  <c r="H120" i="47" l="1"/>
  <c r="H115" i="47"/>
  <c r="H107" i="47"/>
  <c r="H95" i="47"/>
  <c r="H73" i="47"/>
  <c r="H69" i="47"/>
  <c r="H66" i="47" a="1"/>
  <c r="H59" i="47"/>
  <c r="H55" i="47"/>
  <c r="H43" i="47"/>
  <c r="H38" i="47"/>
  <c r="H21" i="47"/>
  <c r="H126" i="47" s="1"/>
  <c r="H35" i="34" s="1"/>
  <c r="H20" i="47"/>
  <c r="H17" i="47"/>
  <c r="H81" i="46"/>
  <c r="H78" i="46"/>
  <c r="H74" i="46"/>
  <c r="H50" i="46"/>
  <c r="H46" i="46"/>
  <c r="H18" i="46"/>
  <c r="H13" i="46" s="1"/>
  <c r="H359" i="45"/>
  <c r="H261" i="45"/>
  <c r="H259" i="45"/>
  <c r="H184" i="45"/>
  <c r="I184" i="45" s="1"/>
  <c r="H155" i="45"/>
  <c r="H149" i="45"/>
  <c r="H143" i="45"/>
  <c r="H137" i="45"/>
  <c r="H131" i="45"/>
  <c r="H125" i="45"/>
  <c r="H119" i="45"/>
  <c r="H113" i="45"/>
  <c r="H106" i="45"/>
  <c r="H99" i="45"/>
  <c r="H78" i="45"/>
  <c r="H74" i="45"/>
  <c r="H70" i="45"/>
  <c r="H65" i="45"/>
  <c r="H59" i="45"/>
  <c r="H54" i="45"/>
  <c r="H50" i="45"/>
  <c r="H45" i="45"/>
  <c r="H35" i="45"/>
  <c r="H30" i="45"/>
  <c r="H25" i="45"/>
  <c r="H207" i="56"/>
  <c r="H206" i="56"/>
  <c r="I206" i="56" s="1"/>
  <c r="H204" i="56"/>
  <c r="I204" i="56" s="1"/>
  <c r="H198" i="56"/>
  <c r="I198" i="56" s="1"/>
  <c r="H187" i="56"/>
  <c r="I187" i="56" s="1"/>
  <c r="H175" i="56"/>
  <c r="I175" i="56" s="1"/>
  <c r="H172" i="56"/>
  <c r="H162" i="56"/>
  <c r="H131" i="56"/>
  <c r="H128" i="56"/>
  <c r="I128" i="56" s="1"/>
  <c r="H126" i="56"/>
  <c r="H123" i="56"/>
  <c r="I123" i="56" s="1"/>
  <c r="H120" i="56"/>
  <c r="I120" i="56" s="1"/>
  <c r="H117" i="56"/>
  <c r="I117" i="56" s="1"/>
  <c r="H115" i="56"/>
  <c r="I115" i="56" s="1"/>
  <c r="H106" i="56"/>
  <c r="H91" i="56"/>
  <c r="I91" i="56" s="1"/>
  <c r="H88" i="56"/>
  <c r="I88" i="56" s="1"/>
  <c r="H86" i="56"/>
  <c r="I86" i="56" s="1"/>
  <c r="H84" i="56"/>
  <c r="I84" i="56" s="1"/>
  <c r="H79" i="56"/>
  <c r="I79" i="56" s="1"/>
  <c r="H76" i="56"/>
  <c r="I76" i="56" s="1"/>
  <c r="H73" i="56"/>
  <c r="I73" i="56" s="1"/>
  <c r="H71" i="56"/>
  <c r="I71" i="56" s="1"/>
  <c r="H69" i="56"/>
  <c r="I69" i="56" s="1"/>
  <c r="H66" i="56"/>
  <c r="I66" i="56" s="1"/>
  <c r="H61" i="56"/>
  <c r="I61" i="56" s="1"/>
  <c r="H58" i="56"/>
  <c r="I58" i="56" s="1"/>
  <c r="H56" i="56"/>
  <c r="I56" i="56" s="1"/>
  <c r="H54" i="56"/>
  <c r="I54" i="56" s="1"/>
  <c r="H52" i="56"/>
  <c r="I52" i="56" s="1"/>
  <c r="H50" i="56"/>
  <c r="I50" i="56" s="1"/>
  <c r="H47" i="56"/>
  <c r="H39" i="56"/>
  <c r="H35" i="56"/>
  <c r="H33" i="56"/>
  <c r="I33" i="56" s="1"/>
  <c r="G201" i="45"/>
  <c r="G203" i="45" s="1"/>
  <c r="G168" i="45"/>
  <c r="H79" i="46" l="1"/>
  <c r="I81" i="46"/>
  <c r="I162" i="56"/>
  <c r="H132" i="56"/>
  <c r="H209" i="56"/>
  <c r="I209" i="56" s="1"/>
  <c r="F47" i="56"/>
  <c r="I47" i="56"/>
  <c r="H129" i="56"/>
  <c r="I131" i="56"/>
  <c r="F39" i="56"/>
  <c r="H40" i="56"/>
  <c r="I40" i="56" s="1"/>
  <c r="H95" i="56"/>
  <c r="H23" i="47"/>
  <c r="F198" i="56"/>
  <c r="H122" i="47"/>
  <c r="H137" i="47" s="1"/>
  <c r="H82" i="46"/>
  <c r="I82" i="46" s="1"/>
  <c r="H74" i="47"/>
  <c r="H78" i="47"/>
  <c r="H92" i="47"/>
  <c r="H51" i="47"/>
  <c r="H96" i="47"/>
  <c r="H56" i="47"/>
  <c r="H102" i="47"/>
  <c r="H123" i="47"/>
  <c r="H60" i="47"/>
  <c r="F59" i="47"/>
  <c r="H108" i="47"/>
  <c r="H66" i="47"/>
  <c r="F67" i="47"/>
  <c r="H116" i="47"/>
  <c r="F168" i="45"/>
  <c r="H29" i="46"/>
  <c r="H213" i="56"/>
  <c r="H183" i="56"/>
  <c r="I183" i="56" s="1"/>
  <c r="H191" i="56"/>
  <c r="I191" i="56" s="1"/>
  <c r="F190" i="56"/>
  <c r="H199" i="56"/>
  <c r="I199" i="56" s="1"/>
  <c r="H118" i="56"/>
  <c r="H203" i="45"/>
  <c r="I203" i="45" s="1"/>
  <c r="H169" i="45"/>
  <c r="H18" i="56"/>
  <c r="H89" i="46" l="1"/>
  <c r="I79" i="46"/>
  <c r="H167" i="45"/>
  <c r="I169" i="45"/>
  <c r="H41" i="47"/>
  <c r="H36" i="56"/>
  <c r="H230" i="56"/>
  <c r="H224" i="56"/>
  <c r="H121" i="47"/>
  <c r="H130" i="47" s="1"/>
  <c r="H90" i="47"/>
  <c r="H63" i="47"/>
  <c r="H100" i="47"/>
  <c r="H16" i="47"/>
  <c r="H124" i="47"/>
  <c r="H14" i="45"/>
  <c r="H189" i="56"/>
  <c r="I189" i="56" s="1"/>
  <c r="F40" i="56"/>
  <c r="H208" i="56"/>
  <c r="I89" i="46" l="1"/>
  <c r="H16" i="34"/>
  <c r="H17" i="34"/>
  <c r="H218" i="56"/>
  <c r="S16" i="34" l="1"/>
  <c r="H15" i="34"/>
  <c r="H14" i="34"/>
  <c r="B5" i="51"/>
  <c r="B8" i="51"/>
  <c r="A8" i="51"/>
  <c r="B7" i="51"/>
  <c r="A7" i="51"/>
  <c r="B6" i="51"/>
  <c r="A6" i="51"/>
  <c r="A5" i="51"/>
  <c r="B4" i="51"/>
  <c r="A4" i="51"/>
  <c r="B5" i="50"/>
  <c r="A5" i="50"/>
  <c r="B4" i="50"/>
  <c r="A4" i="50"/>
  <c r="B7" i="49"/>
  <c r="A7" i="49"/>
  <c r="B6" i="49"/>
  <c r="A6" i="49"/>
  <c r="B5" i="49"/>
  <c r="A5" i="49"/>
  <c r="A4" i="49"/>
  <c r="B9" i="48"/>
  <c r="A9" i="48"/>
  <c r="B8" i="48"/>
  <c r="A8" i="48"/>
  <c r="B7" i="48"/>
  <c r="A7" i="48"/>
  <c r="B6" i="48"/>
  <c r="A6" i="48"/>
  <c r="B5" i="48"/>
  <c r="A5" i="48"/>
  <c r="B8" i="47"/>
  <c r="A8" i="47"/>
  <c r="B7" i="47"/>
  <c r="A7" i="47"/>
  <c r="B6" i="47"/>
  <c r="A6" i="47"/>
  <c r="B5" i="47"/>
  <c r="A5" i="47"/>
  <c r="B4" i="47"/>
  <c r="A4" i="47"/>
  <c r="B5" i="46"/>
  <c r="A5" i="46"/>
  <c r="B4" i="46"/>
  <c r="A4" i="46"/>
  <c r="B7" i="45"/>
  <c r="A7" i="45"/>
  <c r="B6" i="45"/>
  <c r="A6" i="45"/>
  <c r="B5" i="45"/>
  <c r="A5" i="45"/>
  <c r="B4" i="45"/>
  <c r="A4" i="45"/>
  <c r="A4" i="56"/>
  <c r="B4" i="56"/>
  <c r="B10" i="56"/>
  <c r="A10" i="56"/>
  <c r="B9" i="56"/>
  <c r="A9" i="56"/>
  <c r="B8" i="56"/>
  <c r="A8" i="56"/>
  <c r="B7" i="56"/>
  <c r="A7" i="56"/>
  <c r="B6" i="56"/>
  <c r="A6" i="56"/>
  <c r="B5" i="56"/>
  <c r="A5" i="56"/>
  <c r="B3" i="56"/>
  <c r="A3" i="56"/>
  <c r="F130" i="50"/>
  <c r="F129" i="50"/>
  <c r="G129" i="50"/>
  <c r="H129" i="50"/>
  <c r="K129" i="50"/>
  <c r="L129" i="50"/>
  <c r="F126" i="50"/>
  <c r="G126" i="50"/>
  <c r="H126" i="50"/>
  <c r="K176" i="50"/>
  <c r="F67" i="50"/>
  <c r="G67" i="50"/>
  <c r="H67" i="50"/>
  <c r="H178" i="50" s="1"/>
  <c r="F46" i="50"/>
  <c r="G46" i="50"/>
  <c r="H46" i="50"/>
  <c r="I46" i="50" s="1"/>
  <c r="F44" i="50"/>
  <c r="G44" i="50"/>
  <c r="H44" i="50"/>
  <c r="I44" i="50" s="1"/>
  <c r="F42" i="50"/>
  <c r="G42" i="50"/>
  <c r="H42" i="50"/>
  <c r="K42" i="50"/>
  <c r="G35" i="50"/>
  <c r="H35" i="50"/>
  <c r="K35" i="50"/>
  <c r="L35" i="50"/>
  <c r="F31" i="50"/>
  <c r="G31" i="50"/>
  <c r="H31" i="50"/>
  <c r="K31" i="50"/>
  <c r="L31" i="50"/>
  <c r="F27" i="50"/>
  <c r="G27" i="50"/>
  <c r="H27" i="50"/>
  <c r="G15" i="50"/>
  <c r="F16" i="49"/>
  <c r="H16" i="49"/>
  <c r="F17" i="49"/>
  <c r="H17" i="49"/>
  <c r="F19" i="49"/>
  <c r="H19" i="49"/>
  <c r="I19" i="49"/>
  <c r="F20" i="49"/>
  <c r="H20" i="49"/>
  <c r="I20" i="49"/>
  <c r="L20" i="49"/>
  <c r="E18" i="46"/>
  <c r="E13" i="46" s="1"/>
  <c r="F13" i="46" s="1"/>
  <c r="F18" i="46"/>
  <c r="G18" i="46"/>
  <c r="G13" i="46" s="1"/>
  <c r="K18" i="46"/>
  <c r="E32" i="46"/>
  <c r="F32" i="46" s="1"/>
  <c r="G32" i="46"/>
  <c r="E44" i="46"/>
  <c r="E46" i="46"/>
  <c r="F46" i="46" s="1"/>
  <c r="G46" i="46"/>
  <c r="K46" i="46"/>
  <c r="L46" i="46"/>
  <c r="N46" i="46" s="1"/>
  <c r="E50" i="46"/>
  <c r="F50" i="46" s="1"/>
  <c r="G50" i="46"/>
  <c r="K50" i="46"/>
  <c r="L50" i="46"/>
  <c r="G350" i="45"/>
  <c r="G328" i="45"/>
  <c r="G372" i="45" s="1"/>
  <c r="G291" i="45"/>
  <c r="G261" i="45"/>
  <c r="K261" i="45"/>
  <c r="L261" i="45"/>
  <c r="N261" i="45" s="1"/>
  <c r="G259" i="45"/>
  <c r="K259" i="45"/>
  <c r="N259" i="45" s="1"/>
  <c r="G234" i="45"/>
  <c r="G169" i="45"/>
  <c r="G184" i="45"/>
  <c r="E15" i="45"/>
  <c r="F15" i="45" s="1"/>
  <c r="G15" i="45"/>
  <c r="G16" i="45"/>
  <c r="E18" i="45"/>
  <c r="F18" i="45" s="1"/>
  <c r="G18" i="45"/>
  <c r="E22" i="45"/>
  <c r="G47" i="56"/>
  <c r="N129" i="50" l="1"/>
  <c r="N50" i="46"/>
  <c r="L13" i="46"/>
  <c r="N18" i="46"/>
  <c r="N35" i="50"/>
  <c r="L177" i="50"/>
  <c r="I46" i="46"/>
  <c r="L21" i="49"/>
  <c r="O21" i="49" s="1"/>
  <c r="K177" i="50"/>
  <c r="J19" i="49"/>
  <c r="I21" i="49"/>
  <c r="H21" i="49"/>
  <c r="H15" i="49" s="1"/>
  <c r="G16" i="49"/>
  <c r="F21" i="49"/>
  <c r="F15" i="49" s="1"/>
  <c r="I259" i="45"/>
  <c r="K167" i="45"/>
  <c r="L20" i="45"/>
  <c r="L14" i="45" s="1"/>
  <c r="L433" i="45" s="1"/>
  <c r="L434" i="45" s="1"/>
  <c r="K360" i="45"/>
  <c r="N360" i="45" s="1"/>
  <c r="K20" i="45"/>
  <c r="I35" i="50"/>
  <c r="I176" i="50"/>
  <c r="K95" i="50"/>
  <c r="H95" i="50"/>
  <c r="K13" i="46"/>
  <c r="I18" i="46"/>
  <c r="I283" i="49"/>
  <c r="M15" i="49"/>
  <c r="S14" i="34"/>
  <c r="S15" i="34"/>
  <c r="G19" i="49"/>
  <c r="G17" i="49"/>
  <c r="F95" i="50"/>
  <c r="G20" i="45"/>
  <c r="E19" i="56"/>
  <c r="F19" i="56" s="1"/>
  <c r="G20" i="56"/>
  <c r="E30" i="56"/>
  <c r="F30" i="56" s="1"/>
  <c r="E213" i="56"/>
  <c r="F213" i="56" s="1"/>
  <c r="F210" i="56"/>
  <c r="L207" i="56"/>
  <c r="K207" i="56"/>
  <c r="G207" i="56"/>
  <c r="F207" i="56"/>
  <c r="G206" i="56"/>
  <c r="E206" i="56"/>
  <c r="F206" i="56" s="1"/>
  <c r="G204" i="56"/>
  <c r="E204" i="56"/>
  <c r="F204" i="56" s="1"/>
  <c r="E199" i="56"/>
  <c r="F199" i="56" s="1"/>
  <c r="G198" i="56"/>
  <c r="G199" i="56" s="1"/>
  <c r="E191" i="56"/>
  <c r="F191" i="56" s="1"/>
  <c r="G190" i="56"/>
  <c r="G191" i="56" s="1"/>
  <c r="G187" i="56"/>
  <c r="G183" i="56" s="1"/>
  <c r="E187" i="56"/>
  <c r="G182" i="56"/>
  <c r="E182" i="56"/>
  <c r="F182" i="56" s="1"/>
  <c r="G175" i="56"/>
  <c r="E175" i="56"/>
  <c r="F175" i="56" s="1"/>
  <c r="L172" i="56"/>
  <c r="K172" i="56"/>
  <c r="G172" i="56"/>
  <c r="E172" i="56"/>
  <c r="F172" i="56" s="1"/>
  <c r="G169" i="56"/>
  <c r="E169" i="56"/>
  <c r="F169" i="56" s="1"/>
  <c r="G162" i="56"/>
  <c r="E162" i="56"/>
  <c r="F162" i="56" s="1"/>
  <c r="G136" i="56"/>
  <c r="E136" i="56"/>
  <c r="F136" i="56" s="1"/>
  <c r="K129" i="56"/>
  <c r="G131" i="56"/>
  <c r="G129" i="56" s="1"/>
  <c r="E131" i="56"/>
  <c r="G128" i="56"/>
  <c r="E128" i="56"/>
  <c r="F128" i="56" s="1"/>
  <c r="N126" i="56"/>
  <c r="N118" i="56" s="1"/>
  <c r="I126" i="56"/>
  <c r="G126" i="56"/>
  <c r="E126" i="56"/>
  <c r="F126" i="56" s="1"/>
  <c r="G123" i="56"/>
  <c r="E123" i="56"/>
  <c r="F123" i="56" s="1"/>
  <c r="C123" i="56"/>
  <c r="B123" i="56"/>
  <c r="G120" i="56"/>
  <c r="E120" i="56"/>
  <c r="F120" i="56" s="1"/>
  <c r="G117" i="56"/>
  <c r="E117" i="56"/>
  <c r="F117" i="56" s="1"/>
  <c r="G115" i="56"/>
  <c r="E115" i="56"/>
  <c r="F115" i="56" s="1"/>
  <c r="L106" i="56"/>
  <c r="K106" i="56"/>
  <c r="E106" i="56"/>
  <c r="G98" i="56"/>
  <c r="E98" i="56"/>
  <c r="F98" i="56" s="1"/>
  <c r="G91" i="56"/>
  <c r="E91" i="56"/>
  <c r="F91" i="56" s="1"/>
  <c r="G88" i="56"/>
  <c r="E88" i="56"/>
  <c r="F88" i="56" s="1"/>
  <c r="G86" i="56"/>
  <c r="E86" i="56"/>
  <c r="F86" i="56" s="1"/>
  <c r="G84" i="56"/>
  <c r="E84" i="56"/>
  <c r="F84" i="56" s="1"/>
  <c r="G81" i="56"/>
  <c r="E81" i="56"/>
  <c r="F81" i="56" s="1"/>
  <c r="K36" i="56"/>
  <c r="G79" i="56"/>
  <c r="E79" i="56"/>
  <c r="F79" i="56" s="1"/>
  <c r="G76" i="56"/>
  <c r="E76" i="56"/>
  <c r="F76" i="56" s="1"/>
  <c r="G73" i="56"/>
  <c r="E73" i="56"/>
  <c r="F73" i="56" s="1"/>
  <c r="G71" i="56"/>
  <c r="E71" i="56"/>
  <c r="F71" i="56" s="1"/>
  <c r="G69" i="56"/>
  <c r="E69" i="56"/>
  <c r="F69" i="56" s="1"/>
  <c r="G66" i="56"/>
  <c r="E66" i="56"/>
  <c r="F66" i="56" s="1"/>
  <c r="G61" i="56"/>
  <c r="E61" i="56"/>
  <c r="F61" i="56" s="1"/>
  <c r="G58" i="56"/>
  <c r="E58" i="56"/>
  <c r="F58" i="56" s="1"/>
  <c r="G56" i="56"/>
  <c r="E56" i="56"/>
  <c r="F56" i="56" s="1"/>
  <c r="G54" i="56"/>
  <c r="E54" i="56"/>
  <c r="F54" i="56" s="1"/>
  <c r="G52" i="56"/>
  <c r="E52" i="56"/>
  <c r="F52" i="56" s="1"/>
  <c r="G50" i="56"/>
  <c r="E50" i="56"/>
  <c r="G39" i="56"/>
  <c r="G38" i="56"/>
  <c r="G37" i="56"/>
  <c r="G210" i="56" s="1"/>
  <c r="L35" i="56"/>
  <c r="K35" i="56"/>
  <c r="G35" i="56"/>
  <c r="E35" i="56"/>
  <c r="F35" i="56" s="1"/>
  <c r="G33" i="56"/>
  <c r="E33" i="56"/>
  <c r="F33" i="56" s="1"/>
  <c r="G31" i="56"/>
  <c r="L397" i="56" l="1"/>
  <c r="L399" i="56" s="1"/>
  <c r="N35" i="56"/>
  <c r="N129" i="56"/>
  <c r="N172" i="56"/>
  <c r="N106" i="56"/>
  <c r="N20" i="45"/>
  <c r="L188" i="50"/>
  <c r="L179" i="50"/>
  <c r="O179" i="50"/>
  <c r="N13" i="46"/>
  <c r="L20" i="34"/>
  <c r="W19" i="34" s="1"/>
  <c r="N193" i="50"/>
  <c r="N177" i="50"/>
  <c r="K95" i="56"/>
  <c r="N95" i="56" s="1"/>
  <c r="I36" i="56"/>
  <c r="I129" i="56"/>
  <c r="J21" i="49"/>
  <c r="L15" i="49"/>
  <c r="O15" i="49" s="1"/>
  <c r="I13" i="46"/>
  <c r="I250" i="45"/>
  <c r="I251" i="45"/>
  <c r="K188" i="50"/>
  <c r="K190" i="50" s="1"/>
  <c r="I167" i="45"/>
  <c r="K371" i="45"/>
  <c r="G21" i="49"/>
  <c r="I281" i="49"/>
  <c r="J281" i="49" s="1"/>
  <c r="J283" i="49"/>
  <c r="K14" i="45"/>
  <c r="I20" i="45"/>
  <c r="I360" i="45"/>
  <c r="I177" i="50"/>
  <c r="K20" i="34"/>
  <c r="V19" i="34" s="1"/>
  <c r="K118" i="56"/>
  <c r="K18" i="56"/>
  <c r="N18" i="56" s="1"/>
  <c r="I35" i="56"/>
  <c r="N36" i="56"/>
  <c r="F50" i="56"/>
  <c r="E36" i="56"/>
  <c r="F36" i="56" s="1"/>
  <c r="I15" i="49"/>
  <c r="G15" i="49" s="1"/>
  <c r="G189" i="56"/>
  <c r="G213" i="56"/>
  <c r="E129" i="56"/>
  <c r="F129" i="56" s="1"/>
  <c r="F131" i="56"/>
  <c r="E23" i="56"/>
  <c r="F23" i="56" s="1"/>
  <c r="E183" i="56"/>
  <c r="F183" i="56" s="1"/>
  <c r="F187" i="56"/>
  <c r="E132" i="56"/>
  <c r="F132" i="56" s="1"/>
  <c r="G209" i="56"/>
  <c r="G132" i="56"/>
  <c r="K132" i="56"/>
  <c r="G118" i="56"/>
  <c r="G95" i="56"/>
  <c r="G23" i="56"/>
  <c r="G18" i="56" s="1"/>
  <c r="E31" i="56"/>
  <c r="E189" i="56"/>
  <c r="F189" i="56" s="1"/>
  <c r="E118" i="56"/>
  <c r="F118" i="56" s="1"/>
  <c r="E95" i="56"/>
  <c r="F95" i="56" s="1"/>
  <c r="E209" i="56"/>
  <c r="F209" i="56" s="1"/>
  <c r="G40" i="56"/>
  <c r="G36" i="56" s="1"/>
  <c r="G81" i="46"/>
  <c r="G80" i="46"/>
  <c r="L359" i="45"/>
  <c r="K359" i="45"/>
  <c r="G359" i="45"/>
  <c r="N14" i="45" l="1"/>
  <c r="N132" i="56"/>
  <c r="M20" i="34"/>
  <c r="N371" i="45"/>
  <c r="L373" i="45"/>
  <c r="K378" i="45"/>
  <c r="I118" i="56"/>
  <c r="I95" i="56"/>
  <c r="I132" i="56"/>
  <c r="I253" i="45"/>
  <c r="L15" i="34"/>
  <c r="W14" i="34" s="1"/>
  <c r="J15" i="49"/>
  <c r="I371" i="45"/>
  <c r="I373" i="45"/>
  <c r="I20" i="34"/>
  <c r="I213" i="56"/>
  <c r="I208" i="56"/>
  <c r="G208" i="56"/>
  <c r="G218" i="56" s="1"/>
  <c r="E208" i="56"/>
  <c r="F208" i="56" s="1"/>
  <c r="E18" i="56"/>
  <c r="F18" i="56" s="1"/>
  <c r="F31" i="56"/>
  <c r="G79" i="46"/>
  <c r="G89" i="46" s="1"/>
  <c r="J91" i="46" s="1"/>
  <c r="L14" i="34" l="1"/>
  <c r="W13" i="34" s="1"/>
  <c r="E218" i="56"/>
  <c r="H220" i="56" s="1"/>
  <c r="G367" i="45"/>
  <c r="K14" i="34" l="1"/>
  <c r="I218" i="56"/>
  <c r="F218" i="56"/>
  <c r="L120" i="47"/>
  <c r="K120" i="47"/>
  <c r="G120" i="47"/>
  <c r="L116" i="47"/>
  <c r="K116" i="47"/>
  <c r="G115" i="47"/>
  <c r="G116" i="47" s="1"/>
  <c r="E115" i="47"/>
  <c r="L108" i="47"/>
  <c r="K108" i="47"/>
  <c r="G107" i="47"/>
  <c r="G108" i="47" s="1"/>
  <c r="E107" i="47"/>
  <c r="F107" i="47" s="1"/>
  <c r="G101" i="47"/>
  <c r="G102" i="47" s="1"/>
  <c r="E101" i="47"/>
  <c r="K96" i="47"/>
  <c r="N96" i="47" s="1"/>
  <c r="G95" i="47"/>
  <c r="G96" i="47" s="1"/>
  <c r="E95" i="47"/>
  <c r="K92" i="47"/>
  <c r="N92" i="47" s="1"/>
  <c r="G91" i="47"/>
  <c r="G92" i="47" s="1"/>
  <c r="E91" i="47"/>
  <c r="G77" i="47"/>
  <c r="E77" i="47"/>
  <c r="L74" i="47"/>
  <c r="K73" i="47"/>
  <c r="N73" i="47" s="1"/>
  <c r="G73" i="47"/>
  <c r="E73" i="47"/>
  <c r="F70" i="47"/>
  <c r="G68" i="47"/>
  <c r="G69" i="47" s="1"/>
  <c r="E68" i="47"/>
  <c r="G66" i="47" a="1"/>
  <c r="G66" i="47" s="1"/>
  <c r="E64" i="47"/>
  <c r="F64" i="47" s="1"/>
  <c r="E60" i="47"/>
  <c r="F60" i="47" s="1"/>
  <c r="G59" i="47"/>
  <c r="G60" i="47" s="1"/>
  <c r="K55" i="47"/>
  <c r="N55" i="47" s="1"/>
  <c r="G55" i="47"/>
  <c r="G56" i="47" s="1"/>
  <c r="E55" i="47"/>
  <c r="G50" i="47"/>
  <c r="G51" i="47" s="1"/>
  <c r="E50" i="47"/>
  <c r="L43" i="47"/>
  <c r="K43" i="47"/>
  <c r="G42" i="47"/>
  <c r="E42" i="47"/>
  <c r="G38" i="47"/>
  <c r="E38" i="47"/>
  <c r="F38" i="47" s="1"/>
  <c r="G36" i="47"/>
  <c r="E36" i="47"/>
  <c r="F36" i="47" s="1"/>
  <c r="G29" i="47"/>
  <c r="E29" i="47"/>
  <c r="F29" i="47" s="1"/>
  <c r="L129" i="47"/>
  <c r="K129" i="47"/>
  <c r="G22" i="47"/>
  <c r="E22" i="47"/>
  <c r="L126" i="47"/>
  <c r="K126" i="47"/>
  <c r="G21" i="47"/>
  <c r="G126" i="47" s="1"/>
  <c r="E21" i="47"/>
  <c r="G20" i="47"/>
  <c r="G123" i="47" s="1"/>
  <c r="E20" i="47"/>
  <c r="G18" i="47"/>
  <c r="G125" i="47" s="1"/>
  <c r="E18" i="47"/>
  <c r="G17" i="47"/>
  <c r="E17" i="47"/>
  <c r="N116" i="47" l="1"/>
  <c r="N108" i="47"/>
  <c r="M14" i="34"/>
  <c r="V13" i="34"/>
  <c r="L38" i="34"/>
  <c r="N129" i="47"/>
  <c r="L35" i="34"/>
  <c r="O146" i="47"/>
  <c r="L27" i="34"/>
  <c r="P146" i="47"/>
  <c r="K38" i="34"/>
  <c r="I38" i="34" s="1"/>
  <c r="K74" i="47"/>
  <c r="N74" i="47" s="1"/>
  <c r="K35" i="34"/>
  <c r="I35" i="34" s="1"/>
  <c r="K122" i="47"/>
  <c r="I14" i="34"/>
  <c r="C19" i="60"/>
  <c r="D19" i="60"/>
  <c r="DE19" i="60" s="1"/>
  <c r="K90" i="47"/>
  <c r="N90" i="47" s="1"/>
  <c r="K63" i="47"/>
  <c r="L56" i="47"/>
  <c r="K56" i="47"/>
  <c r="K41" i="47" s="1"/>
  <c r="E125" i="47"/>
  <c r="F125" i="47" s="1"/>
  <c r="F18" i="47"/>
  <c r="E51" i="47"/>
  <c r="F51" i="47" s="1"/>
  <c r="F50" i="47"/>
  <c r="E69" i="47"/>
  <c r="F69" i="47" s="1"/>
  <c r="F68" i="47"/>
  <c r="E78" i="47"/>
  <c r="F78" i="47" s="1"/>
  <c r="F77" i="47"/>
  <c r="E96" i="47"/>
  <c r="F96" i="47" s="1"/>
  <c r="F95" i="47"/>
  <c r="E23" i="47"/>
  <c r="F23" i="47" s="1"/>
  <c r="F17" i="47"/>
  <c r="E43" i="47"/>
  <c r="F43" i="47" s="1"/>
  <c r="F42" i="47"/>
  <c r="E56" i="47"/>
  <c r="F56" i="47" s="1"/>
  <c r="F55" i="47"/>
  <c r="E123" i="47"/>
  <c r="F123" i="47" s="1"/>
  <c r="F20" i="47"/>
  <c r="E74" i="47"/>
  <c r="F74" i="47" s="1"/>
  <c r="F73" i="47"/>
  <c r="E92" i="47"/>
  <c r="F92" i="47" s="1"/>
  <c r="F91" i="47"/>
  <c r="E102" i="47"/>
  <c r="F102" i="47" s="1"/>
  <c r="F101" i="47"/>
  <c r="E116" i="47"/>
  <c r="F116" i="47" s="1"/>
  <c r="F115" i="47"/>
  <c r="G23" i="47"/>
  <c r="G16" i="47" s="1"/>
  <c r="G90" i="47"/>
  <c r="K100" i="47"/>
  <c r="G100" i="47"/>
  <c r="N100" i="47"/>
  <c r="E66" i="47"/>
  <c r="F66" i="47" s="1"/>
  <c r="G74" i="47"/>
  <c r="G122" i="47"/>
  <c r="G121" i="47" s="1"/>
  <c r="E122" i="47"/>
  <c r="E108" i="47"/>
  <c r="F108" i="47" s="1"/>
  <c r="G78" i="47"/>
  <c r="G43" i="47"/>
  <c r="N16" i="47" l="1"/>
  <c r="L154" i="47"/>
  <c r="L155" i="47" s="1"/>
  <c r="N63" i="47"/>
  <c r="L41" i="47"/>
  <c r="N56" i="47"/>
  <c r="N41" i="47"/>
  <c r="D22" i="60"/>
  <c r="N122" i="47"/>
  <c r="M35" i="34"/>
  <c r="M38" i="34"/>
  <c r="L151" i="47"/>
  <c r="R146" i="47"/>
  <c r="P148" i="47"/>
  <c r="L121" i="47"/>
  <c r="O148" i="47"/>
  <c r="O149" i="47" s="1"/>
  <c r="K121" i="47"/>
  <c r="K130" i="47" s="1"/>
  <c r="K135" i="47"/>
  <c r="DD19" i="60"/>
  <c r="C22" i="60"/>
  <c r="S17" i="34"/>
  <c r="E16" i="47"/>
  <c r="F16" i="47" s="1"/>
  <c r="E41" i="47"/>
  <c r="F41" i="47" s="1"/>
  <c r="E90" i="47"/>
  <c r="F90" i="47" s="1"/>
  <c r="E121" i="47"/>
  <c r="F122" i="47"/>
  <c r="E100" i="47"/>
  <c r="F100" i="47" s="1"/>
  <c r="E63" i="47"/>
  <c r="F63" i="47" s="1"/>
  <c r="G63" i="47"/>
  <c r="G41" i="47"/>
  <c r="G130" i="47"/>
  <c r="N154" i="47" l="1"/>
  <c r="N155" i="47" s="1"/>
  <c r="L130" i="47"/>
  <c r="N121" i="47"/>
  <c r="P149" i="47"/>
  <c r="R148" i="47"/>
  <c r="K141" i="47"/>
  <c r="K17" i="34"/>
  <c r="V16" i="34" s="1"/>
  <c r="E130" i="47"/>
  <c r="F121" i="47"/>
  <c r="G50" i="45"/>
  <c r="L17" i="34" l="1"/>
  <c r="W16" i="34" s="1"/>
  <c r="O132" i="47"/>
  <c r="N130" i="47"/>
  <c r="L132" i="47"/>
  <c r="L141" i="47"/>
  <c r="I17" i="34"/>
  <c r="F130" i="47"/>
  <c r="G81" i="45"/>
  <c r="G79" i="45"/>
  <c r="G167" i="45"/>
  <c r="M17" i="34" l="1"/>
  <c r="G85" i="45"/>
  <c r="G14" i="45" s="1"/>
  <c r="G362" i="45"/>
  <c r="G366" i="45"/>
  <c r="G361" i="45"/>
  <c r="G78" i="45" l="1"/>
  <c r="G155" i="45" l="1"/>
  <c r="K155" i="45"/>
  <c r="L155" i="45"/>
  <c r="G74" i="45"/>
  <c r="G149" i="45"/>
  <c r="G70" i="45"/>
  <c r="G65" i="45"/>
  <c r="G137" i="45"/>
  <c r="G143" i="45"/>
  <c r="G59" i="45"/>
  <c r="N155" i="45" l="1"/>
  <c r="G131" i="45"/>
  <c r="G54" i="45"/>
  <c r="G125" i="45"/>
  <c r="G119" i="45" l="1"/>
  <c r="G45" i="45"/>
  <c r="K45" i="45"/>
  <c r="L45" i="45"/>
  <c r="N45" i="45" s="1"/>
  <c r="G113" i="45" l="1"/>
  <c r="G106" i="45" l="1"/>
  <c r="G35" i="45"/>
  <c r="G99" i="45" l="1"/>
  <c r="G30" i="45"/>
  <c r="G25" i="45" l="1"/>
  <c r="F51" i="50" l="1"/>
  <c r="F19" i="50"/>
  <c r="G19" i="50"/>
  <c r="H19" i="50"/>
  <c r="K19" i="50"/>
  <c r="L19" i="50"/>
  <c r="G23" i="50"/>
  <c r="H23" i="50"/>
  <c r="I23" i="50" s="1"/>
  <c r="K12" i="50" l="1"/>
  <c r="L12" i="50"/>
  <c r="N12" i="50" s="1"/>
  <c r="H12" i="50"/>
  <c r="G121" i="51"/>
  <c r="E121" i="51"/>
  <c r="I12" i="50" l="1"/>
  <c r="H63" i="49"/>
  <c r="H286" i="49" l="1"/>
  <c r="I286" i="49"/>
  <c r="J286" i="49" s="1"/>
  <c r="H155" i="49"/>
  <c r="I155" i="49"/>
  <c r="J155" i="49" s="1"/>
  <c r="G140" i="49"/>
  <c r="H140" i="49"/>
  <c r="I140" i="49"/>
  <c r="J140" i="49" s="1"/>
  <c r="H134" i="49"/>
  <c r="I134" i="49"/>
  <c r="J134" i="49" s="1"/>
  <c r="G129" i="49"/>
  <c r="H129" i="49"/>
  <c r="G123" i="49"/>
  <c r="H123" i="49"/>
  <c r="I123" i="49"/>
  <c r="J123" i="49" s="1"/>
  <c r="H119" i="49"/>
  <c r="I119" i="49"/>
  <c r="J119" i="49" s="1"/>
  <c r="G47" i="49"/>
  <c r="H47" i="49"/>
  <c r="I47" i="49"/>
  <c r="M29" i="34" l="1"/>
  <c r="H179" i="49"/>
  <c r="I178" i="49"/>
  <c r="J178" i="49" s="1"/>
  <c r="H178" i="49"/>
  <c r="I284" i="49" l="1"/>
  <c r="H181" i="49"/>
  <c r="I181" i="49"/>
  <c r="J181" i="49" s="1"/>
  <c r="M301" i="49" l="1"/>
  <c r="M302" i="49" s="1"/>
  <c r="V12" i="61"/>
  <c r="L19" i="34"/>
  <c r="W18" i="34" s="1"/>
  <c r="H34" i="34"/>
  <c r="I34" i="34" s="1"/>
  <c r="J284" i="49"/>
  <c r="I279" i="49"/>
  <c r="J279" i="49" s="1"/>
  <c r="I296" i="49"/>
  <c r="G114" i="49"/>
  <c r="H116" i="49"/>
  <c r="I116" i="49"/>
  <c r="L116" i="49"/>
  <c r="M116" i="49"/>
  <c r="O116" i="49" s="1"/>
  <c r="H60" i="49"/>
  <c r="I60" i="49"/>
  <c r="J60" i="49" s="1"/>
  <c r="M35" i="49"/>
  <c r="G41" i="49"/>
  <c r="H33" i="49"/>
  <c r="I33" i="49"/>
  <c r="H281" i="49"/>
  <c r="H284" i="49"/>
  <c r="H280" i="49"/>
  <c r="H27" i="49"/>
  <c r="I27" i="49"/>
  <c r="L27" i="49"/>
  <c r="M27" i="49"/>
  <c r="O27" i="49" l="1"/>
  <c r="J116" i="49"/>
  <c r="I289" i="49"/>
  <c r="H279" i="49"/>
  <c r="H289" i="49" s="1"/>
  <c r="H225" i="49"/>
  <c r="I225" i="49"/>
  <c r="J225" i="49" s="1"/>
  <c r="G215" i="49"/>
  <c r="H215" i="49"/>
  <c r="I215" i="49"/>
  <c r="J215" i="49" s="1"/>
  <c r="H210" i="49"/>
  <c r="I210" i="49"/>
  <c r="J210" i="49" s="1"/>
  <c r="H196" i="49"/>
  <c r="H192" i="49"/>
  <c r="H188" i="49"/>
  <c r="I188" i="49"/>
  <c r="L188" i="49"/>
  <c r="O188" i="49" s="1"/>
  <c r="G168" i="49"/>
  <c r="H168" i="49"/>
  <c r="G163" i="49"/>
  <c r="H163" i="49"/>
  <c r="I163" i="49"/>
  <c r="J163" i="49" s="1"/>
  <c r="G159" i="49"/>
  <c r="H159" i="49"/>
  <c r="I159" i="49"/>
  <c r="J159" i="49" s="1"/>
  <c r="H151" i="49"/>
  <c r="I151" i="49"/>
  <c r="J151" i="49" s="1"/>
  <c r="G149" i="49"/>
  <c r="H149" i="49"/>
  <c r="I149" i="49"/>
  <c r="L149" i="49"/>
  <c r="M149" i="49"/>
  <c r="G142" i="49"/>
  <c r="H142" i="49"/>
  <c r="I142" i="49"/>
  <c r="L142" i="49"/>
  <c r="M142" i="49"/>
  <c r="O142" i="49" s="1"/>
  <c r="H147" i="49"/>
  <c r="G111" i="49"/>
  <c r="H111" i="49"/>
  <c r="I111" i="49"/>
  <c r="J111" i="49" s="1"/>
  <c r="H108" i="49"/>
  <c r="I108" i="49"/>
  <c r="J108" i="49" s="1"/>
  <c r="G105" i="49"/>
  <c r="H105" i="49"/>
  <c r="I105" i="49"/>
  <c r="J105" i="49" s="1"/>
  <c r="H100" i="49"/>
  <c r="I100" i="49"/>
  <c r="J100" i="49" s="1"/>
  <c r="H95" i="49"/>
  <c r="I95" i="49"/>
  <c r="J95" i="49" s="1"/>
  <c r="I45" i="49"/>
  <c r="H45" i="49"/>
  <c r="H41" i="49"/>
  <c r="I41" i="49"/>
  <c r="J41" i="49" s="1"/>
  <c r="H38" i="49"/>
  <c r="I38" i="49"/>
  <c r="J38" i="49" s="1"/>
  <c r="O149" i="49" l="1"/>
  <c r="J142" i="49"/>
  <c r="J188" i="49"/>
  <c r="G45" i="49"/>
  <c r="J45" i="49"/>
  <c r="K291" i="49"/>
  <c r="L35" i="49"/>
  <c r="O35" i="49" s="1"/>
  <c r="I290" i="49"/>
  <c r="I35" i="49"/>
  <c r="I160" i="49"/>
  <c r="H19" i="34"/>
  <c r="H35" i="49"/>
  <c r="H160" i="49"/>
  <c r="L166" i="50"/>
  <c r="H166" i="50"/>
  <c r="G166" i="50"/>
  <c r="L132" i="50"/>
  <c r="K132" i="50"/>
  <c r="H132" i="50"/>
  <c r="H130" i="50" s="1"/>
  <c r="G132" i="50"/>
  <c r="G130" i="50" s="1"/>
  <c r="E132" i="50"/>
  <c r="E130" i="50" s="1"/>
  <c r="E129" i="50"/>
  <c r="E126" i="50"/>
  <c r="G95" i="50"/>
  <c r="E67" i="50"/>
  <c r="E51" i="50"/>
  <c r="E46" i="50"/>
  <c r="E44" i="50"/>
  <c r="E42" i="50"/>
  <c r="E34" i="50"/>
  <c r="E33" i="50"/>
  <c r="F33" i="50" s="1"/>
  <c r="E31" i="50"/>
  <c r="E27" i="50"/>
  <c r="E23" i="50"/>
  <c r="F23" i="50" s="1"/>
  <c r="E19" i="50"/>
  <c r="E15" i="50"/>
  <c r="F15" i="50" s="1"/>
  <c r="F286" i="49"/>
  <c r="G286" i="49" s="1"/>
  <c r="G285" i="49"/>
  <c r="I278" i="49"/>
  <c r="H278" i="49"/>
  <c r="F236" i="49"/>
  <c r="G236" i="49" s="1"/>
  <c r="F229" i="49"/>
  <c r="F225" i="49"/>
  <c r="G225" i="49" s="1"/>
  <c r="F215" i="49"/>
  <c r="F210" i="49"/>
  <c r="G210" i="49" s="1"/>
  <c r="F204" i="49"/>
  <c r="F194" i="49"/>
  <c r="G194" i="49" s="1"/>
  <c r="F193" i="49"/>
  <c r="G193" i="49" s="1"/>
  <c r="F192" i="49"/>
  <c r="G192" i="49" s="1"/>
  <c r="F188" i="49"/>
  <c r="G188" i="49" s="1"/>
  <c r="C188" i="49"/>
  <c r="C181" i="49"/>
  <c r="B181" i="49"/>
  <c r="F179" i="49"/>
  <c r="G179" i="49" s="1"/>
  <c r="F178" i="49"/>
  <c r="G178" i="49" s="1"/>
  <c r="F168" i="49"/>
  <c r="C168" i="49"/>
  <c r="B168" i="49"/>
  <c r="F163" i="49"/>
  <c r="C163" i="49"/>
  <c r="B163" i="49"/>
  <c r="F159" i="49"/>
  <c r="F155" i="49"/>
  <c r="G155" i="49" s="1"/>
  <c r="F151" i="49"/>
  <c r="G151" i="49" s="1"/>
  <c r="F149" i="49"/>
  <c r="F147" i="49"/>
  <c r="G147" i="49" s="1"/>
  <c r="F142" i="49"/>
  <c r="F140" i="49"/>
  <c r="F134" i="49"/>
  <c r="G134" i="49" s="1"/>
  <c r="F129" i="49"/>
  <c r="F123" i="49"/>
  <c r="M121" i="49"/>
  <c r="L121" i="49"/>
  <c r="I121" i="49"/>
  <c r="I96" i="49" s="1"/>
  <c r="H121" i="49"/>
  <c r="H96" i="49" s="1"/>
  <c r="F121" i="49"/>
  <c r="F119" i="49"/>
  <c r="G119" i="49" s="1"/>
  <c r="F116" i="49"/>
  <c r="G116" i="49" s="1"/>
  <c r="F111" i="49"/>
  <c r="F108" i="49"/>
  <c r="G108" i="49" s="1"/>
  <c r="F105" i="49"/>
  <c r="F100" i="49"/>
  <c r="G100" i="49" s="1"/>
  <c r="F95" i="49"/>
  <c r="G95" i="49" s="1"/>
  <c r="F89" i="49"/>
  <c r="F75" i="49"/>
  <c r="F61" i="49"/>
  <c r="F60" i="49"/>
  <c r="G60" i="49" s="1"/>
  <c r="F49" i="49"/>
  <c r="G49" i="49" s="1"/>
  <c r="F47" i="49"/>
  <c r="F41" i="49"/>
  <c r="F38" i="49"/>
  <c r="G38" i="49" s="1"/>
  <c r="F33" i="49"/>
  <c r="G33" i="49" s="1"/>
  <c r="F27" i="49"/>
  <c r="G27" i="49" s="1"/>
  <c r="M96" i="49" l="1"/>
  <c r="O121" i="49"/>
  <c r="L130" i="50"/>
  <c r="N132" i="50"/>
  <c r="K130" i="50"/>
  <c r="J35" i="49"/>
  <c r="L96" i="49"/>
  <c r="J121" i="49"/>
  <c r="S19" i="34"/>
  <c r="G196" i="49"/>
  <c r="F77" i="49"/>
  <c r="G77" i="49" s="1"/>
  <c r="G75" i="49"/>
  <c r="F90" i="49"/>
  <c r="G89" i="49"/>
  <c r="G90" i="49" s="1"/>
  <c r="G121" i="49"/>
  <c r="F63" i="49"/>
  <c r="G61" i="49"/>
  <c r="E171" i="50"/>
  <c r="F171" i="50" s="1"/>
  <c r="F34" i="50"/>
  <c r="F35" i="50" s="1"/>
  <c r="F96" i="49"/>
  <c r="G96" i="49" s="1"/>
  <c r="E168" i="50"/>
  <c r="E35" i="50"/>
  <c r="E12" i="50" s="1"/>
  <c r="F12" i="50" s="1"/>
  <c r="E95" i="50"/>
  <c r="G12" i="50"/>
  <c r="G168" i="50"/>
  <c r="F181" i="49"/>
  <c r="G181" i="49" s="1"/>
  <c r="F284" i="49"/>
  <c r="G284" i="49" s="1"/>
  <c r="F280" i="49"/>
  <c r="G280" i="49" s="1"/>
  <c r="F196" i="49"/>
  <c r="F281" i="49"/>
  <c r="G281" i="49" s="1"/>
  <c r="O96" i="49" l="1"/>
  <c r="N130" i="50"/>
  <c r="J96" i="49"/>
  <c r="F35" i="49"/>
  <c r="G35" i="49" s="1"/>
  <c r="G63" i="49"/>
  <c r="E167" i="50"/>
  <c r="E177" i="50" s="1"/>
  <c r="F168" i="50"/>
  <c r="F160" i="49"/>
  <c r="G160" i="49" s="1"/>
  <c r="G167" i="50"/>
  <c r="G177" i="50" s="1"/>
  <c r="F279" i="49"/>
  <c r="F289" i="49" l="1"/>
  <c r="G279" i="49"/>
  <c r="F167" i="50"/>
  <c r="S20" i="34" l="1"/>
  <c r="I291" i="49"/>
  <c r="G289" i="49"/>
  <c r="F177" i="50"/>
  <c r="H95" i="48"/>
  <c r="G95" i="48"/>
  <c r="G93" i="48" s="1"/>
  <c r="E95" i="48"/>
  <c r="E93" i="48" s="1"/>
  <c r="H93" i="48" l="1"/>
  <c r="I93" i="48" s="1"/>
  <c r="I95" i="48"/>
  <c r="H36" i="34" l="1"/>
  <c r="I36" i="34" s="1"/>
  <c r="L37" i="34"/>
  <c r="T38" i="34" l="1"/>
  <c r="K48" i="34"/>
  <c r="L25" i="34"/>
  <c r="U32" i="34"/>
  <c r="K37" i="34"/>
  <c r="H37" i="34"/>
  <c r="G123" i="51"/>
  <c r="G124" i="51" s="1"/>
  <c r="G122" i="51" s="1"/>
  <c r="H123" i="51"/>
  <c r="H160" i="51" s="1"/>
  <c r="I160" i="51" s="1"/>
  <c r="K123" i="51"/>
  <c r="M37" i="34" l="1"/>
  <c r="K160" i="51"/>
  <c r="P184" i="51"/>
  <c r="C35" i="60"/>
  <c r="C47" i="60" s="1"/>
  <c r="C49" i="60" s="1"/>
  <c r="D47" i="60"/>
  <c r="H159" i="51"/>
  <c r="I159" i="51" s="1"/>
  <c r="L124" i="51"/>
  <c r="K124" i="51"/>
  <c r="H124" i="51"/>
  <c r="G62" i="60" l="1"/>
  <c r="L48" i="34" s="1"/>
  <c r="K50" i="34" s="1"/>
  <c r="G53" i="34" s="1"/>
  <c r="D60" i="60"/>
  <c r="D63" i="60" s="1"/>
  <c r="D49" i="60"/>
  <c r="C51" i="60"/>
  <c r="C52" i="60"/>
  <c r="DE35" i="60"/>
  <c r="N124" i="51"/>
  <c r="K174" i="51"/>
  <c r="N160" i="51"/>
  <c r="P187" i="51"/>
  <c r="S184" i="51"/>
  <c r="D38" i="60"/>
  <c r="Q189" i="51"/>
  <c r="N189" i="51"/>
  <c r="N192" i="51" s="1"/>
  <c r="K159" i="51"/>
  <c r="K169" i="51" s="1"/>
  <c r="K122" i="51"/>
  <c r="L159" i="51"/>
  <c r="K27" i="34"/>
  <c r="M27" i="34" s="1"/>
  <c r="L23" i="34"/>
  <c r="W22" i="34" s="1"/>
  <c r="I37" i="34"/>
  <c r="C38" i="60"/>
  <c r="DD35" i="60"/>
  <c r="DD47" i="60" s="1"/>
  <c r="H27" i="34"/>
  <c r="H122" i="51"/>
  <c r="G63" i="60" l="1"/>
  <c r="DE47" i="60"/>
  <c r="DD51" i="60" s="1"/>
  <c r="L169" i="51"/>
  <c r="V13" i="61" s="1"/>
  <c r="N159" i="51"/>
  <c r="P189" i="51"/>
  <c r="S187" i="51"/>
  <c r="K177" i="51"/>
  <c r="K25" i="34"/>
  <c r="H169" i="51"/>
  <c r="G108" i="48"/>
  <c r="G110" i="48"/>
  <c r="E110" i="48"/>
  <c r="F110" i="48" s="1"/>
  <c r="H108" i="48"/>
  <c r="G107" i="48"/>
  <c r="L39" i="34" l="1"/>
  <c r="O41" i="34" s="1"/>
  <c r="M25" i="34"/>
  <c r="DE57" i="60"/>
  <c r="DE59" i="60" s="1"/>
  <c r="DD52" i="60"/>
  <c r="N169" i="51"/>
  <c r="L171" i="51"/>
  <c r="O171" i="51"/>
  <c r="L21" i="34"/>
  <c r="L177" i="51"/>
  <c r="G106" i="48"/>
  <c r="I108" i="48"/>
  <c r="H106" i="48"/>
  <c r="S41" i="34"/>
  <c r="V15" i="61"/>
  <c r="U13" i="61" s="1"/>
  <c r="I169" i="51"/>
  <c r="K171" i="51"/>
  <c r="H29" i="34"/>
  <c r="H51" i="48"/>
  <c r="I51" i="48" s="1"/>
  <c r="G51" i="48"/>
  <c r="G61" i="48"/>
  <c r="H61" i="48"/>
  <c r="I61" i="48" s="1"/>
  <c r="L24" i="34" l="1"/>
  <c r="L44" i="34" s="1"/>
  <c r="W20" i="34"/>
  <c r="I106" i="48"/>
  <c r="U11" i="61"/>
  <c r="U12" i="61"/>
  <c r="I29" i="34"/>
  <c r="H25" i="34"/>
  <c r="H23" i="34"/>
  <c r="G42" i="48"/>
  <c r="H42" i="48"/>
  <c r="I42" i="48" s="1"/>
  <c r="H37" i="48"/>
  <c r="I37" i="48" s="1"/>
  <c r="G37" i="48"/>
  <c r="G34" i="48"/>
  <c r="H34" i="48"/>
  <c r="I34" i="48" s="1"/>
  <c r="G29" i="48"/>
  <c r="G25" i="48"/>
  <c r="S23" i="34" l="1"/>
  <c r="H22" i="48"/>
  <c r="I22" i="48" s="1"/>
  <c r="G22" i="48"/>
  <c r="G165" i="51"/>
  <c r="L157" i="51" l="1"/>
  <c r="K157" i="51"/>
  <c r="N157" i="51" l="1"/>
  <c r="L170" i="51"/>
  <c r="K154" i="51"/>
  <c r="L154" i="51"/>
  <c r="G31" i="51"/>
  <c r="E31" i="51"/>
  <c r="N154" i="51" l="1"/>
  <c r="F31" i="51"/>
  <c r="G116" i="51"/>
  <c r="H116" i="51"/>
  <c r="K67" i="51"/>
  <c r="N67" i="51" s="1"/>
  <c r="E67" i="51"/>
  <c r="K170" i="51" l="1"/>
  <c r="F67" i="51"/>
  <c r="G67" i="51"/>
  <c r="G160" i="51"/>
  <c r="G22" i="51"/>
  <c r="H22" i="51"/>
  <c r="G71" i="51"/>
  <c r="H71" i="51"/>
  <c r="I71" i="51" s="1"/>
  <c r="E71" i="51"/>
  <c r="G88" i="51"/>
  <c r="H88" i="51"/>
  <c r="L40" i="34" l="1"/>
  <c r="N170" i="51"/>
  <c r="F71" i="51"/>
  <c r="G159" i="51"/>
  <c r="G40" i="51"/>
  <c r="E40" i="51"/>
  <c r="G20" i="51"/>
  <c r="G109" i="51"/>
  <c r="H109" i="51"/>
  <c r="G97" i="51"/>
  <c r="F40" i="51" l="1"/>
  <c r="E20" i="51" l="1"/>
  <c r="F20" i="51" s="1"/>
  <c r="E123" i="51"/>
  <c r="E116" i="51"/>
  <c r="E109" i="51"/>
  <c r="F109" i="51" s="1"/>
  <c r="E100" i="51"/>
  <c r="F100" i="51" s="1"/>
  <c r="E97" i="51"/>
  <c r="F97" i="51" s="1"/>
  <c r="E88" i="51"/>
  <c r="F88" i="51" s="1"/>
  <c r="E160" i="51" l="1"/>
  <c r="F123" i="51"/>
  <c r="E108" i="48"/>
  <c r="F108" i="48" s="1"/>
  <c r="E107" i="48"/>
  <c r="L84" i="48"/>
  <c r="K84" i="48"/>
  <c r="H84" i="48"/>
  <c r="G84" i="48"/>
  <c r="E84" i="48"/>
  <c r="E29" i="48"/>
  <c r="F29" i="48" s="1"/>
  <c r="N84" i="48" l="1"/>
  <c r="F107" i="48"/>
  <c r="E106" i="48"/>
  <c r="F106" i="48" s="1"/>
  <c r="E159" i="51"/>
  <c r="F159" i="51" s="1"/>
  <c r="F160" i="51"/>
  <c r="F84" i="48"/>
  <c r="G78" i="46" l="1"/>
  <c r="H157" i="51"/>
  <c r="H170" i="51" s="1"/>
  <c r="G157" i="51"/>
  <c r="G154" i="51" s="1"/>
  <c r="E157" i="51"/>
  <c r="E154" i="51" s="1"/>
  <c r="L148" i="51"/>
  <c r="K150" i="51"/>
  <c r="N150" i="51" s="1"/>
  <c r="H150" i="51"/>
  <c r="G150" i="51"/>
  <c r="G148" i="51" s="1"/>
  <c r="E150" i="51"/>
  <c r="E148" i="51" s="1"/>
  <c r="L145" i="51"/>
  <c r="K145" i="51"/>
  <c r="H147" i="51"/>
  <c r="G147" i="51"/>
  <c r="G145" i="51" s="1"/>
  <c r="E147" i="51"/>
  <c r="E145" i="51" s="1"/>
  <c r="G169" i="51"/>
  <c r="E169" i="51"/>
  <c r="L158" i="51"/>
  <c r="K158" i="51"/>
  <c r="H158" i="51"/>
  <c r="G158" i="51"/>
  <c r="E124" i="51"/>
  <c r="F124" i="51" s="1"/>
  <c r="G100" i="51"/>
  <c r="L83" i="51"/>
  <c r="K83" i="51"/>
  <c r="H83" i="51"/>
  <c r="G83" i="51"/>
  <c r="E83" i="51"/>
  <c r="H50" i="51"/>
  <c r="G50" i="51"/>
  <c r="E50" i="51"/>
  <c r="H27" i="51"/>
  <c r="I27" i="51" s="1"/>
  <c r="G27" i="51"/>
  <c r="E27" i="51"/>
  <c r="E22" i="51"/>
  <c r="F22" i="51" s="1"/>
  <c r="N83" i="51" l="1"/>
  <c r="N145" i="51"/>
  <c r="K148" i="51"/>
  <c r="N148" i="51" s="1"/>
  <c r="I170" i="51"/>
  <c r="H40" i="34"/>
  <c r="E142" i="51"/>
  <c r="E144" i="51" s="1"/>
  <c r="G142" i="51"/>
  <c r="G144" i="51" s="1"/>
  <c r="H16" i="51"/>
  <c r="H148" i="51"/>
  <c r="F148" i="51" s="1"/>
  <c r="F150" i="51"/>
  <c r="F27" i="51"/>
  <c r="F83" i="51"/>
  <c r="H145" i="51"/>
  <c r="F147" i="51"/>
  <c r="G16" i="51"/>
  <c r="K16" i="51"/>
  <c r="L16" i="51"/>
  <c r="E122" i="51"/>
  <c r="F122" i="51" s="1"/>
  <c r="H154" i="51"/>
  <c r="E16" i="51"/>
  <c r="G170" i="51"/>
  <c r="K21" i="34"/>
  <c r="N16" i="51" l="1"/>
  <c r="M21" i="34"/>
  <c r="V20" i="34"/>
  <c r="F145" i="51"/>
  <c r="F16" i="51"/>
  <c r="F169" i="51"/>
  <c r="H171" i="51"/>
  <c r="H21" i="34"/>
  <c r="E42" i="48"/>
  <c r="F42" i="48" s="1"/>
  <c r="E37" i="48"/>
  <c r="F37" i="48" s="1"/>
  <c r="E34" i="48"/>
  <c r="F34" i="48" s="1"/>
  <c r="E114" i="48"/>
  <c r="K18" i="34"/>
  <c r="K80" i="48"/>
  <c r="H82" i="48"/>
  <c r="I82" i="48" s="1"/>
  <c r="G82" i="48"/>
  <c r="G80" i="48" s="1"/>
  <c r="E82" i="48"/>
  <c r="E80" i="48" s="1"/>
  <c r="H69" i="48"/>
  <c r="I69" i="48" s="1"/>
  <c r="G69" i="48"/>
  <c r="E69" i="48"/>
  <c r="L67" i="48"/>
  <c r="K67" i="48"/>
  <c r="H67" i="48"/>
  <c r="G67" i="48"/>
  <c r="E67" i="48"/>
  <c r="E61" i="48"/>
  <c r="F61" i="48" s="1"/>
  <c r="L58" i="48"/>
  <c r="K58" i="48"/>
  <c r="H58" i="48"/>
  <c r="G58" i="48"/>
  <c r="E58" i="48"/>
  <c r="H55" i="48"/>
  <c r="I55" i="48" s="1"/>
  <c r="G55" i="48"/>
  <c r="E55" i="48"/>
  <c r="H53" i="48"/>
  <c r="I53" i="48" s="1"/>
  <c r="G53" i="48"/>
  <c r="E53" i="48"/>
  <c r="E51" i="48"/>
  <c r="F51" i="48" s="1"/>
  <c r="H49" i="48"/>
  <c r="I49" i="48" s="1"/>
  <c r="G49" i="48"/>
  <c r="E49" i="48"/>
  <c r="E25" i="48"/>
  <c r="M18" i="34" l="1"/>
  <c r="V17" i="34"/>
  <c r="N67" i="48"/>
  <c r="N58" i="48"/>
  <c r="I58" i="48"/>
  <c r="I67" i="48"/>
  <c r="K56" i="48"/>
  <c r="I21" i="34"/>
  <c r="F144" i="51"/>
  <c r="F142" i="51"/>
  <c r="F53" i="48"/>
  <c r="F67" i="48"/>
  <c r="E22" i="48"/>
  <c r="F22" i="48" s="1"/>
  <c r="F25" i="48"/>
  <c r="F49" i="48"/>
  <c r="H80" i="48"/>
  <c r="F80" i="48" s="1"/>
  <c r="F82" i="48"/>
  <c r="F58" i="48"/>
  <c r="F55" i="48"/>
  <c r="F69" i="48"/>
  <c r="H114" i="48"/>
  <c r="S22" i="34"/>
  <c r="S21" i="34"/>
  <c r="E47" i="48"/>
  <c r="E56" i="48"/>
  <c r="G56" i="48"/>
  <c r="G47" i="48"/>
  <c r="H47" i="48"/>
  <c r="I47" i="48" s="1"/>
  <c r="H56" i="48"/>
  <c r="N128" i="48" l="1"/>
  <c r="N129" i="48" s="1"/>
  <c r="I56" i="48"/>
  <c r="I80" i="48"/>
  <c r="H39" i="34"/>
  <c r="H116" i="48"/>
  <c r="I114" i="48"/>
  <c r="J116" i="48"/>
  <c r="F47" i="48"/>
  <c r="H18" i="34"/>
  <c r="I18" i="34" s="1"/>
  <c r="F56" i="48"/>
  <c r="F114" i="48"/>
  <c r="G114" i="48"/>
  <c r="E81" i="46"/>
  <c r="F81" i="46" s="1"/>
  <c r="E80" i="46"/>
  <c r="F80" i="46" s="1"/>
  <c r="L74" i="46"/>
  <c r="K74" i="46"/>
  <c r="G74" i="46"/>
  <c r="E74" i="46"/>
  <c r="F74" i="46" s="1"/>
  <c r="G58" i="46"/>
  <c r="E58" i="46"/>
  <c r="L78" i="46"/>
  <c r="K78" i="46"/>
  <c r="N78" i="46" l="1"/>
  <c r="N74" i="46"/>
  <c r="I74" i="46"/>
  <c r="H24" i="34"/>
  <c r="S18" i="34"/>
  <c r="E29" i="46"/>
  <c r="F29" i="46" s="1"/>
  <c r="F58" i="46"/>
  <c r="E79" i="46"/>
  <c r="G29" i="46"/>
  <c r="E367" i="45"/>
  <c r="F367" i="45" s="1"/>
  <c r="E352" i="45"/>
  <c r="E328" i="45"/>
  <c r="F328" i="45" s="1"/>
  <c r="E291" i="45"/>
  <c r="F291" i="45" s="1"/>
  <c r="E267" i="45"/>
  <c r="F267" i="45" s="1"/>
  <c r="E261" i="45"/>
  <c r="F261" i="45" s="1"/>
  <c r="E259" i="45"/>
  <c r="F259" i="45" s="1"/>
  <c r="E231" i="45"/>
  <c r="F231" i="45" s="1"/>
  <c r="E215" i="45"/>
  <c r="F215" i="45" s="1"/>
  <c r="E203" i="45"/>
  <c r="F203" i="45" s="1"/>
  <c r="E184" i="45"/>
  <c r="F184" i="45" s="1"/>
  <c r="E169" i="45"/>
  <c r="F169" i="45" s="1"/>
  <c r="C352" i="45"/>
  <c r="E81" i="45"/>
  <c r="F81" i="45" s="1"/>
  <c r="E99" i="45"/>
  <c r="E92" i="45"/>
  <c r="E79" i="45"/>
  <c r="F79" i="45" s="1"/>
  <c r="E166" i="45"/>
  <c r="E162" i="45"/>
  <c r="E155" i="45"/>
  <c r="E149" i="45"/>
  <c r="E143" i="45"/>
  <c r="E137" i="45"/>
  <c r="E131" i="45"/>
  <c r="E125" i="45"/>
  <c r="E119" i="45"/>
  <c r="E113" i="45"/>
  <c r="E106" i="45"/>
  <c r="E78" i="45"/>
  <c r="E74" i="45"/>
  <c r="E70" i="45"/>
  <c r="E65" i="45"/>
  <c r="E56" i="45"/>
  <c r="E52" i="45"/>
  <c r="E50" i="45"/>
  <c r="E42" i="45"/>
  <c r="E32" i="45"/>
  <c r="E27" i="45"/>
  <c r="E89" i="46" l="1"/>
  <c r="H91" i="46" s="1"/>
  <c r="I91" i="46" s="1"/>
  <c r="F79" i="46"/>
  <c r="E59" i="45"/>
  <c r="E361" i="45"/>
  <c r="F361" i="45" s="1"/>
  <c r="E350" i="45"/>
  <c r="F350" i="45" s="1"/>
  <c r="F352" i="45"/>
  <c r="E45" i="45"/>
  <c r="E35" i="45"/>
  <c r="E234" i="45"/>
  <c r="F234" i="45" s="1"/>
  <c r="E54" i="45"/>
  <c r="E30" i="45"/>
  <c r="E16" i="45"/>
  <c r="F16" i="45" s="1"/>
  <c r="E25" i="45"/>
  <c r="E362" i="45"/>
  <c r="F362" i="45" s="1"/>
  <c r="E85" i="45"/>
  <c r="F85" i="45" s="1"/>
  <c r="F89" i="46" l="1"/>
  <c r="E167" i="45"/>
  <c r="F167" i="45" s="1"/>
  <c r="E20" i="45"/>
  <c r="F20" i="45" s="1"/>
  <c r="E366" i="45"/>
  <c r="F366" i="45" s="1"/>
  <c r="B352" i="45"/>
  <c r="E14" i="45" l="1"/>
  <c r="F14" i="45" s="1"/>
  <c r="E360" i="45"/>
  <c r="F360" i="45" s="1"/>
  <c r="G360" i="45"/>
  <c r="K15" i="34"/>
  <c r="M15" i="34" l="1"/>
  <c r="V14" i="34"/>
  <c r="I15" i="34"/>
  <c r="E371" i="45"/>
  <c r="G371" i="45"/>
  <c r="F371" i="45" l="1"/>
  <c r="E372" i="45" l="1"/>
  <c r="E262" i="45"/>
  <c r="G262" i="45"/>
  <c r="F262" i="45" l="1"/>
  <c r="F372" i="45"/>
  <c r="I30" i="46" l="1"/>
  <c r="K32" i="46"/>
  <c r="N32" i="46" s="1"/>
  <c r="K29" i="46" l="1"/>
  <c r="N314" i="46" s="1"/>
  <c r="N315" i="46" s="1"/>
  <c r="I32" i="46"/>
  <c r="K16" i="34"/>
  <c r="M16" i="34" l="1"/>
  <c r="V15" i="34"/>
  <c r="I29" i="46"/>
  <c r="I16" i="34"/>
  <c r="T13" i="61" l="1"/>
  <c r="K23" i="34"/>
  <c r="M23" i="34" l="1"/>
  <c r="V22" i="34"/>
  <c r="I23" i="34"/>
  <c r="L241" i="49"/>
  <c r="O241" i="49" s="1"/>
  <c r="L253" i="49"/>
  <c r="O253" i="49" s="1"/>
  <c r="J241" i="49" l="1"/>
  <c r="L290" i="49"/>
  <c r="O290" i="49" s="1"/>
  <c r="L289" i="49"/>
  <c r="L160" i="49"/>
  <c r="O160" i="49" s="1"/>
  <c r="O305" i="49" s="1"/>
  <c r="O317" i="49" s="1"/>
  <c r="O289" i="49" l="1"/>
  <c r="M291" i="49"/>
  <c r="J160" i="49"/>
  <c r="J290" i="49"/>
  <c r="L301" i="49"/>
  <c r="T12" i="61"/>
  <c r="K40" i="34"/>
  <c r="J289" i="49"/>
  <c r="L291" i="49"/>
  <c r="K19" i="34"/>
  <c r="V18" i="34" s="1"/>
  <c r="K39" i="34"/>
  <c r="M39" i="34" l="1"/>
  <c r="L41" i="34"/>
  <c r="O291" i="49"/>
  <c r="K24" i="34"/>
  <c r="M19" i="34"/>
  <c r="I40" i="34"/>
  <c r="M40" i="34"/>
  <c r="J291" i="49"/>
  <c r="L302" i="49"/>
  <c r="L303" i="49" s="1"/>
  <c r="T15" i="61"/>
  <c r="S12" i="61" s="1"/>
  <c r="I27" i="34"/>
  <c r="I19" i="34"/>
  <c r="I39" i="34"/>
  <c r="I296" i="45"/>
  <c r="M24" i="34" l="1"/>
  <c r="K44" i="34"/>
  <c r="I24" i="34"/>
  <c r="S13" i="61"/>
  <c r="S11" i="61"/>
  <c r="K262" i="45"/>
  <c r="N433" i="45" s="1"/>
  <c r="N434" i="45" s="1"/>
  <c r="I262" i="45" l="1"/>
  <c r="M87" i="46" l="1"/>
  <c r="N37" i="34" l="1"/>
  <c r="M79" i="46"/>
  <c r="N25" i="34" l="1"/>
  <c r="N39" i="34"/>
  <c r="M89" i="46"/>
  <c r="M97" i="46" l="1"/>
  <c r="N16" i="34"/>
  <c r="M163" i="51"/>
  <c r="M159" i="51" s="1"/>
  <c r="M31" i="51"/>
  <c r="M16" i="51" s="1"/>
  <c r="M169" i="51" l="1"/>
  <c r="M177" i="51" l="1"/>
  <c r="N21" i="34"/>
  <c r="N24" i="34" s="1"/>
  <c r="N42" i="34" s="1"/>
  <c r="Q433" i="45"/>
  <c r="BF11" i="60"/>
  <c r="DH11" i="60" s="1"/>
  <c r="T385" i="45"/>
  <c r="Q360" i="45" l="1"/>
  <c r="Q371" i="45" s="1"/>
  <c r="Q378" i="45" s="1"/>
  <c r="BF47" i="60"/>
  <c r="BF49" i="60" s="1"/>
  <c r="Q80" i="46"/>
  <c r="Q27" i="34" s="1"/>
  <c r="G15" i="60"/>
  <c r="Q13" i="46"/>
  <c r="P112" i="46"/>
  <c r="Q434" i="45" l="1"/>
  <c r="G47" i="60"/>
  <c r="DH15" i="60"/>
  <c r="DH47" i="60" s="1"/>
  <c r="DG57" i="60" s="1"/>
  <c r="Q15" i="34"/>
  <c r="Y14" i="34" s="1"/>
  <c r="Q25" i="34"/>
  <c r="Q39" i="34" s="1"/>
  <c r="Q41" i="34" s="1"/>
  <c r="Q373" i="45"/>
  <c r="G18" i="60"/>
  <c r="Q79" i="46"/>
  <c r="Q89" i="46" s="1"/>
  <c r="Q91" i="46" s="1"/>
  <c r="Z12" i="61" l="1"/>
  <c r="Z15" i="61" s="1"/>
  <c r="Q97" i="46"/>
  <c r="Q16" i="34"/>
  <c r="Q24" i="34" l="1"/>
  <c r="Q42" i="34" s="1"/>
  <c r="Y15" i="34"/>
  <c r="Y12" i="61"/>
  <c r="Y13" i="61" l="1"/>
  <c r="Y11" i="6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B112" authorId="0" shapeId="0" xr:uid="{9B97B1A4-87FD-40CF-9F2D-23535A9536F4}">
      <text>
        <r>
          <rPr>
            <b/>
            <sz val="9"/>
            <color indexed="81"/>
            <rFont val="Tahoma"/>
            <family val="2"/>
          </rPr>
          <t>Inga:</t>
        </r>
        <r>
          <rPr>
            <sz val="9"/>
            <color indexed="81"/>
            <rFont val="Tahoma"/>
            <family val="2"/>
          </rPr>
          <t xml:space="preserve">
Poreikis suplanuotas 01.01.01.01 priemonėje</t>
        </r>
      </text>
    </comment>
    <comment ref="B179" authorId="0" shapeId="0" xr:uid="{B8BBACAD-E9C8-4267-9D39-43E087184035}">
      <text>
        <r>
          <rPr>
            <b/>
            <sz val="9"/>
            <color indexed="81"/>
            <rFont val="Tahoma"/>
            <family val="2"/>
          </rPr>
          <t>Inga:</t>
        </r>
        <r>
          <rPr>
            <sz val="9"/>
            <color indexed="81"/>
            <rFont val="Tahoma"/>
            <family val="2"/>
          </rPr>
          <t xml:space="preserve">
Poreikio nėra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B45" authorId="0" shapeId="0" xr:uid="{B80204F9-B78D-4031-BA05-C58AF76232C6}">
      <text>
        <r>
          <rPr>
            <b/>
            <sz val="9"/>
            <color indexed="81"/>
            <rFont val="Tahoma"/>
            <family val="2"/>
          </rPr>
          <t>Inga:</t>
        </r>
        <r>
          <rPr>
            <sz val="9"/>
            <color indexed="81"/>
            <rFont val="Tahoma"/>
            <family val="2"/>
          </rPr>
          <t xml:space="preserve">
2025 m. spalio 13 d. VSA tautinių mažumų komisijos posėdžio protokolas Nr. 9-1630</t>
        </r>
      </text>
    </comment>
    <comment ref="B68" authorId="0" shapeId="0" xr:uid="{66AD6E6C-EDDE-4018-A31C-3E0C59FCBC2C}">
      <text>
        <r>
          <rPr>
            <b/>
            <sz val="9"/>
            <color indexed="81"/>
            <rFont val="Tahoma"/>
            <family val="2"/>
          </rPr>
          <t>Inga:</t>
        </r>
        <r>
          <rPr>
            <sz val="9"/>
            <color indexed="81"/>
            <rFont val="Tahoma"/>
            <family val="2"/>
          </rPr>
          <t xml:space="preserve">
Poreikis perkeliamas į 10 programos 10.03.04.01.  priemonę, nes neatitinka šios programos bendro tikslo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J38" authorId="0" shapeId="0" xr:uid="{1BBFFB79-E590-4E92-AE68-6769DAE6FA25}">
      <text>
        <r>
          <rPr>
            <b/>
            <sz val="9"/>
            <color indexed="81"/>
            <rFont val="Tahoma"/>
            <family val="2"/>
          </rPr>
          <t>Inga:</t>
        </r>
        <r>
          <rPr>
            <sz val="9"/>
            <color indexed="81"/>
            <rFont val="Tahoma"/>
            <family val="2"/>
          </rPr>
          <t xml:space="preserve">
Alicija poreikį pateikė elektroniniu paštu</t>
        </r>
      </text>
    </comment>
    <comment ref="B43" authorId="0" shapeId="0" xr:uid="{1DFB6FFB-D4E9-412A-A7C4-DFBDE37DB671}">
      <text>
        <r>
          <rPr>
            <b/>
            <sz val="9"/>
            <color indexed="81"/>
            <rFont val="Tahoma"/>
            <family val="2"/>
          </rPr>
          <t>Inga:</t>
        </r>
        <r>
          <rPr>
            <sz val="9"/>
            <color indexed="81"/>
            <rFont val="Tahoma"/>
            <family val="2"/>
          </rPr>
          <t xml:space="preserve">
2025-10-22 Komiisjos protokolas Nr. </t>
        </r>
      </text>
    </comment>
    <comment ref="G131" authorId="0" shapeId="0" xr:uid="{F44B8295-2D73-4EC1-989B-CA862A61F578}">
      <text>
        <r>
          <rPr>
            <b/>
            <sz val="9"/>
            <color indexed="81"/>
            <rFont val="Tahoma"/>
            <family val="2"/>
          </rPr>
          <t>Inga:</t>
        </r>
        <r>
          <rPr>
            <sz val="9"/>
            <color indexed="81"/>
            <rFont val="Tahoma"/>
            <family val="2"/>
          </rPr>
          <t xml:space="preserve">
+270 000 Eur iš 10 programos 10.02.03.01. priemonės numatytų pastato griovimui. Pakeisti projektų lentelėje. </t>
        </r>
      </text>
    </comment>
    <comment ref="B159" authorId="0" shapeId="0" xr:uid="{092C0F96-ED26-42A1-B253-0B4CE2B2C406}">
      <text>
        <r>
          <rPr>
            <b/>
            <sz val="9"/>
            <color indexed="81"/>
            <rFont val="Tahoma"/>
            <family val="2"/>
          </rPr>
          <t>Inga:</t>
        </r>
        <r>
          <rPr>
            <sz val="9"/>
            <color indexed="81"/>
            <rFont val="Tahoma"/>
            <family val="2"/>
          </rPr>
          <t xml:space="preserve">
Lėšos padidintos skultūrai</t>
        </r>
      </text>
    </comment>
    <comment ref="J174" authorId="0" shapeId="0" xr:uid="{A7155EE5-59C2-41E9-B81A-F643D4D35805}">
      <text>
        <r>
          <rPr>
            <b/>
            <sz val="9"/>
            <color indexed="81"/>
            <rFont val="Tahoma"/>
            <family val="2"/>
          </rPr>
          <t>Inga:</t>
        </r>
        <r>
          <rPr>
            <sz val="9"/>
            <color indexed="81"/>
            <rFont val="Tahoma"/>
            <family val="2"/>
          </rPr>
          <t xml:space="preserve">
prie projekt8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B98" authorId="0" shapeId="0" xr:uid="{06605CD2-E5D2-4870-9E22-6237AE8FED1B}">
      <text>
        <r>
          <rPr>
            <b/>
            <sz val="9"/>
            <color indexed="81"/>
            <rFont val="Tahoma"/>
            <family val="2"/>
          </rPr>
          <t>Inga:</t>
        </r>
        <r>
          <rPr>
            <sz val="9"/>
            <color indexed="81"/>
            <rFont val="Tahoma"/>
            <family val="2"/>
          </rPr>
          <t xml:space="preserve">
Lėšos numatytos 09.03.01.04 prie VIZA projektų. Šitą priemonę panaikinsiu. </t>
        </r>
      </text>
    </comment>
    <comment ref="K236" authorId="0" shapeId="0" xr:uid="{250803D4-B8E0-49C2-916F-3A9F221ECD55}">
      <text>
        <r>
          <rPr>
            <b/>
            <sz val="9"/>
            <color indexed="81"/>
            <rFont val="Tahoma"/>
            <family val="2"/>
          </rPr>
          <t>Inga:</t>
        </r>
        <r>
          <rPr>
            <sz val="9"/>
            <color indexed="81"/>
            <rFont val="Tahoma"/>
            <family val="2"/>
          </rPr>
          <t xml:space="preserve">
Perkelta į 9 programą į VIZA projektą</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BB50" authorId="0" shapeId="0" xr:uid="{BC1A7D44-F3FA-44A4-83F0-82465FD030B4}">
      <text>
        <r>
          <rPr>
            <b/>
            <sz val="9"/>
            <color indexed="81"/>
            <rFont val="Tahoma"/>
            <family val="2"/>
          </rPr>
          <t>Inga:</t>
        </r>
        <r>
          <rPr>
            <sz val="9"/>
            <color indexed="81"/>
            <rFont val="Tahoma"/>
            <family val="2"/>
          </rPr>
          <t xml:space="preserve">
finansinio turto padidėjimo išlaidos </t>
        </r>
      </text>
    </comment>
    <comment ref="BQ50" authorId="0" shapeId="0" xr:uid="{37B8A9A9-1219-4D0F-8729-53CB7F2725FD}">
      <text>
        <r>
          <rPr>
            <b/>
            <sz val="9"/>
            <color indexed="81"/>
            <rFont val="Tahoma"/>
            <family val="2"/>
          </rPr>
          <t>Inga:</t>
        </r>
        <r>
          <rPr>
            <sz val="9"/>
            <color indexed="81"/>
            <rFont val="Tahoma"/>
            <family val="2"/>
          </rPr>
          <t xml:space="preserve">
finansinio turto padidėjimo išlaidos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<sst xmlns="http://schemas.openxmlformats.org/spreadsheetml/2006/main" count="9722" uniqueCount="4732">
  <si>
    <t>P-05-01-01-02</t>
  </si>
  <si>
    <t>P-10-03-02-02</t>
  </si>
  <si>
    <t>P-10-01-01-01</t>
  </si>
  <si>
    <t>žm. skaičius</t>
  </si>
  <si>
    <t>30</t>
  </si>
  <si>
    <t>Vykdomų sveikatinimo programų skaičius</t>
  </si>
  <si>
    <t>P-07-01-01-01</t>
  </si>
  <si>
    <t>01.02. Uždavinys. Remti sveikatos priežiūros paslaugų teikimą nustatytų kategorijų žmonėms</t>
  </si>
  <si>
    <t>Atliktų irklavimo bazės įrengimo Visagino ežero pakrantėje darbų procentas</t>
  </si>
  <si>
    <t>20</t>
  </si>
  <si>
    <t>Miestų partnerių skaičius</t>
  </si>
  <si>
    <t>P-01-02-04-01</t>
  </si>
  <si>
    <t>P-07-01-01-02</t>
  </si>
  <si>
    <t>P-07-01-01-03</t>
  </si>
  <si>
    <t>P-07-01-01-05</t>
  </si>
  <si>
    <t>P-07-01-01-07</t>
  </si>
  <si>
    <t>04 Visagino savivaldybės gyventojų kultūrinio aktyvumo skatinimo ir identiteto stiprinimo programa</t>
  </si>
  <si>
    <t>P-01-01-05-02</t>
  </si>
  <si>
    <t>asmenų skaičius</t>
  </si>
  <si>
    <t>P-07-01-03-02</t>
  </si>
  <si>
    <t>P-07-01-03-03</t>
  </si>
  <si>
    <t>P-06-02-01-02</t>
  </si>
  <si>
    <t>P-03-01-02-01</t>
  </si>
  <si>
    <t>P-01-01-05-01</t>
  </si>
  <si>
    <t>R-08-01-01</t>
  </si>
  <si>
    <t>Įrengtų liftų skaičius</t>
  </si>
  <si>
    <t>02 strateginis tikslas. Gerinti socialinę aplinką teikiant kokybiškas paslaugas</t>
  </si>
  <si>
    <t>Miesto vaizdo stebėjimo kamerų tinklo funkcionavimo užtikrinimas</t>
  </si>
  <si>
    <t>P-10-02-03-02</t>
  </si>
  <si>
    <t>P-10-02-04-03</t>
  </si>
  <si>
    <t>Įrengtų lauko vasaros estradų skaičius</t>
  </si>
  <si>
    <t>P-08-01-01-06</t>
  </si>
  <si>
    <t>01.02. Uždavinys. Gerinti tiekiamo geriamojo vandens kokybę ir nuotekų surinkimą bei valymą</t>
  </si>
  <si>
    <t>P-08-01-02-01</t>
  </si>
  <si>
    <t>km</t>
  </si>
  <si>
    <t>Jaunimo savarankiškos veiklos skatinimo srityje organizuotų akcijų ir renginių skaičius</t>
  </si>
  <si>
    <t>P-05-02-01-04</t>
  </si>
  <si>
    <t>06 Visagino savivaldybės socialinės paramos įgyvendinimo programa</t>
  </si>
  <si>
    <t>01 tikslas. Teikti socialinę (finansinę) paramą Visagino savivaldybės gyventojams bei skatinti socialinių paslaugų plėtrą bendruomenėje</t>
  </si>
  <si>
    <t>Suteiktos paramos dalis</t>
  </si>
  <si>
    <t>R-06-01-01</t>
  </si>
  <si>
    <t>Įdiegtų priemonių, skirtų paslaugų ir (ar) aptarnavimo kokybei gerinti, skaičius</t>
  </si>
  <si>
    <t>R-04-02-02</t>
  </si>
  <si>
    <t>R-10-02-05</t>
  </si>
  <si>
    <t>P-09-02-01-02</t>
  </si>
  <si>
    <t>* informacinių leidinių, kuriuose skelbiama informacija apie savivaldybės veiklą, skaičius</t>
  </si>
  <si>
    <t>01.03. Uždavinys. Vykdyti triukšmo prevenciją</t>
  </si>
  <si>
    <t>P-08-01-03-01</t>
  </si>
  <si>
    <t xml:space="preserve">SB </t>
  </si>
  <si>
    <t>Visagino miesto kelių ženklinimas (KD)</t>
  </si>
  <si>
    <t>Visagino miesto kelių duobių remontas (KD)</t>
  </si>
  <si>
    <t>01.03. Uždavinys. Užtikrinti efektyvų savivaldybei nuosavybės teise priklausančio nekilnojamojo turto naudojimą, įmonių bei įstaigų valdymą</t>
  </si>
  <si>
    <t>P-01-01-03-01</t>
  </si>
  <si>
    <t>Kelių priežiūros ir plėtros programos lėšų panaudojimas</t>
  </si>
  <si>
    <t>- pagal  pagrindinio ugdymo programą</t>
  </si>
  <si>
    <t>R-02-01-04</t>
  </si>
  <si>
    <t>03.02. Uždavinys. Vykdyti kapinių priežiūros darbus</t>
  </si>
  <si>
    <t>P-09-03-02-04</t>
  </si>
  <si>
    <t>Įrengtų informacinių lauko stendų skaičius</t>
  </si>
  <si>
    <t>Nusikalstamumo lygis (100 000 gyventojų tenka užregistruotų nusikalstamų veikų)</t>
  </si>
  <si>
    <t>E-02-05</t>
  </si>
  <si>
    <t>P-10-01-01-07</t>
  </si>
  <si>
    <t>Paremtų vietos iniciatyvų projektų skaičius</t>
  </si>
  <si>
    <t>Įrengtų naujų kapinių skaičius</t>
  </si>
  <si>
    <t>P-10-03-02-04</t>
  </si>
  <si>
    <t>P-04-01-01-03</t>
  </si>
  <si>
    <t>R-02-02-01</t>
  </si>
  <si>
    <t>P-02-02-01-01</t>
  </si>
  <si>
    <t>Aliktų aplinkos oro kokybės tyrimų skaičius</t>
  </si>
  <si>
    <t>P-08-01-01-08</t>
  </si>
  <si>
    <t>P-05-03-01-02</t>
  </si>
  <si>
    <t>Valstybės dotacijų, skirtų vykdyti valstybinėms (perduotoms savivaldybėms) funkcijoms, panaudojimas, proc.</t>
  </si>
  <si>
    <t>R-01-01-03</t>
  </si>
  <si>
    <t>PRODUKTO:</t>
  </si>
  <si>
    <t>01.01. Uždavinys. Organizuoti savivaldybės funkcijų įgyvendinimą</t>
  </si>
  <si>
    <t>P-09-01-01-04</t>
  </si>
  <si>
    <t>P-09-01-01-05</t>
  </si>
  <si>
    <t>val.</t>
  </si>
  <si>
    <t>Socialinės pašalpos gavėjų skaičius nuo gyventojų skaičiaus</t>
  </si>
  <si>
    <t>E-02-06</t>
  </si>
  <si>
    <t>05 Visagino savivaldybės bendruomeniškumo skatinimo programa</t>
  </si>
  <si>
    <t>Šiuolaikinių informacinių technologijų diegimas</t>
  </si>
  <si>
    <t>Reguliaraus susisiekimo autobusų maršrutais nuvažiuotas atstumas</t>
  </si>
  <si>
    <t>P-10-01-01-02</t>
  </si>
  <si>
    <t>Savivaldybės finansinių įsipareigojimų vykdymas (paskolų grąžinimas ir palūkanų mokėjimas)</t>
  </si>
  <si>
    <t>P-04-02-01-03</t>
  </si>
  <si>
    <t>Dalyvauta respublikiniuose ir tarptautiniuose renginiuose</t>
  </si>
  <si>
    <t>P-04-02-02-01</t>
  </si>
  <si>
    <t>P-04-02-02-02</t>
  </si>
  <si>
    <t>P-04-02-02-03</t>
  </si>
  <si>
    <t>P-04-02-02-04</t>
  </si>
  <si>
    <t>P-04-02-02-05</t>
  </si>
  <si>
    <t>Vykdomų formaliojo ir neformaliojo ugdymo programų skaičius savivaldybėje</t>
  </si>
  <si>
    <t>Neformaliojo švietimo programų teikėjų, registruotų ŠMIR, skaičius savivaldybėje</t>
  </si>
  <si>
    <t>R-02-01-05</t>
  </si>
  <si>
    <t>Suaugusiųjų bendrojo ugdymo klasėse besimokančiųjų skaičius</t>
  </si>
  <si>
    <t>Mokinių, besiugdančių neformaliojo ugdymo įstaigose ir kitose NVŠ programose, skaičius (pagal sutartis)</t>
  </si>
  <si>
    <t>R-10-02-07</t>
  </si>
  <si>
    <t>ha.</t>
  </si>
  <si>
    <t>Regeneruotos teritorijos plotas („Apleistų teritorijų konversija, regeneruojant buvusį karinį miestelį ir pritaikant kompleksą inovatyviai pramonei vystyti – SMART PARK įkūrimui“)</t>
  </si>
  <si>
    <t>Finansuotų įstaigų skaičius</t>
  </si>
  <si>
    <t>03.01. Uždavinys. Tvarkyti gyvenamąją aplinką, administruoti gatvių apšvietimo paslaugas</t>
  </si>
  <si>
    <t>Vaikų, besiugdančių pagal priešmokyklinio ugdymo programas, skaičius</t>
  </si>
  <si>
    <t>07 Visagino savivaldybės sveikatos apsaugos paslaugų kokybės gerinimo programa</t>
  </si>
  <si>
    <t>P-03-01-02-05</t>
  </si>
  <si>
    <t>vieta</t>
  </si>
  <si>
    <t>P-03-01-02-06</t>
  </si>
  <si>
    <t>Įgyvendintų priemonių aplinkos apsaugos programoje dalis</t>
  </si>
  <si>
    <t>E-03-02</t>
  </si>
  <si>
    <t>P-07-01-02-01</t>
  </si>
  <si>
    <t>Renovuotų daugiabučių namų dalis nuo bendro daugiabučių namų skaičiaus</t>
  </si>
  <si>
    <t>R-10-02-03</t>
  </si>
  <si>
    <t>02 tikslas. Plėtoti vaikų ir jaunimo socializacijos galimybes</t>
  </si>
  <si>
    <t>02 tikslas. Sudaryti sąlygas efektyvesnei, profesionalesnei savivaldybės administracijos darbo veiklai, optimizuoti savivaldybės administracijos darbą, laikantis viešumo ir skaidrumo principų</t>
  </si>
  <si>
    <t>P-02-01-01-02</t>
  </si>
  <si>
    <t>Aplinkos apsaugos rėmimo specialiosios programos priemonių įgyvendinimas lyginant su planuotomis</t>
  </si>
  <si>
    <t>-</t>
  </si>
  <si>
    <t>Pakeistų Visagino miesto apšvietimo tinklų netinkamų eksploatuoti linijų kiekis</t>
  </si>
  <si>
    <t>Mato vnt.</t>
  </si>
  <si>
    <t>Dainų šventėje dalyvavusių miesto kolektyvų skaičius</t>
  </si>
  <si>
    <t>P-04-02-01-04</t>
  </si>
  <si>
    <t>P-04-02-01-05</t>
  </si>
  <si>
    <t>Bendruomenės iniciatyvų, įgyvendintų su administracijos pagalba, skaičius</t>
  </si>
  <si>
    <t>Tautinių mažumų bendrijų renginiai Visagine ir reprezentacija išvykose Lietuvoje</t>
  </si>
  <si>
    <t>Tautinių mažumų bendrijų renginių skaičius užsienyje ir etninėse tėvynėse</t>
  </si>
  <si>
    <t>01.04. Uždavinys. Sudaryti sąlygas tinkamai prižiūrėti gyvūnus</t>
  </si>
  <si>
    <t>P-08-01-04-01</t>
  </si>
  <si>
    <t>Sugautų beglobių gyvūnų skaičius</t>
  </si>
  <si>
    <t>P-02-01-01-04</t>
  </si>
  <si>
    <t>Mokinių, besiugdančių pagal pradinio ugdymo programas, skaičius</t>
  </si>
  <si>
    <t>P-02-01-01-03</t>
  </si>
  <si>
    <t>Mokinių, besiugdančių pagal pagrindinio ugdymo programas, skaičius</t>
  </si>
  <si>
    <t>Gavusių paramą vietos iniciatyvų projektams įgyvendinti dalis nuo visų besikreipiančių paramos, procentas</t>
  </si>
  <si>
    <t>Gyvenamosios vietovės bendruomenės išrinktų seniūnaičių skaičius, jų darbo užtikrinimas</t>
  </si>
  <si>
    <t>Suteiktų konsultacijų mokiniams ir mokytojams skaičius</t>
  </si>
  <si>
    <t>Ugdymo įstaigose organizuotų sveikatinimo renginių skaičius</t>
  </si>
  <si>
    <t>P-07-01-02-03</t>
  </si>
  <si>
    <t>P-07-01-02-04</t>
  </si>
  <si>
    <t>P-07-01-02-05</t>
  </si>
  <si>
    <t>R-06-01-03</t>
  </si>
  <si>
    <t>P-10-02-04-02</t>
  </si>
  <si>
    <t>P-04-02-01-01</t>
  </si>
  <si>
    <t>50</t>
  </si>
  <si>
    <t>P-06-01-03-05</t>
  </si>
  <si>
    <t>14</t>
  </si>
  <si>
    <t>15</t>
  </si>
  <si>
    <t>Atliktų šildymo punktų atnaujinimo darbų (II, III mikr.) apimtis</t>
  </si>
  <si>
    <t>01.01. Uždavinys. Stiprinti ir plėtoti visuomenės sveikatinimo veiklą</t>
  </si>
  <si>
    <t>09 Visagino savivaldybės ekonominės plėtros programa</t>
  </si>
  <si>
    <t>P-06-01-03-03</t>
  </si>
  <si>
    <t>Priimtų tarybos sprendimų skaičius</t>
  </si>
  <si>
    <t>Organizuotų konferencijų verslo skatinimo klausimais skaičius</t>
  </si>
  <si>
    <t>Patikrintų objektų (įmonių, įstaigų, organizacijų, visuomenės informavimo priemonių, neperiodinės spaudos leidinių, reklamos ir viešųjų užrašų ir pan.) skaičius</t>
  </si>
  <si>
    <t>Pateiktų investicinio projekto finansavimo paraiškų skaičius</t>
  </si>
  <si>
    <t>P-06-01-03-07</t>
  </si>
  <si>
    <t>P-06-02-01-06</t>
  </si>
  <si>
    <t>Paremtų smulkaus ir vidutinio verslo įmonių skaičius</t>
  </si>
  <si>
    <t>R-09-01-04</t>
  </si>
  <si>
    <t>kWh</t>
  </si>
  <si>
    <t>Prižiūrimų objektų skaičius</t>
  </si>
  <si>
    <t>P-10-03-02-01</t>
  </si>
  <si>
    <t>Viešosios bibliotekos fondo dydis (knygos)</t>
  </si>
  <si>
    <t>Valstybinių švenčių, reikšmingų datų minėjimų skaičius</t>
  </si>
  <si>
    <t>Valstybinėse šventėse, minėjimuose apsilankiusių žiūrovų skaičius</t>
  </si>
  <si>
    <t>01.03. Uždavinys. Teikti paramą Visagino savivaldybės socialiai jautrių ir pažeidžiamų gyventojų grupėms, užkirsti kelią socialinės rizikos židinių formavimuisi</t>
  </si>
  <si>
    <t>P-10-03-01-02</t>
  </si>
  <si>
    <t>E-03-03</t>
  </si>
  <si>
    <t>E-03-04</t>
  </si>
  <si>
    <t>02.02. Uždavinys.  Atnaujinti Visagino miesto centralizuoto šildymo sistemą</t>
  </si>
  <si>
    <t>P-10-02-02-01</t>
  </si>
  <si>
    <t>Kultūros įstaigų pateiktų projektų į nacionalinius ir ES fondus skaičius</t>
  </si>
  <si>
    <t>P-04-01-01-04</t>
  </si>
  <si>
    <t>Kultūros įstaigų materialinės bazės atnaujinimui skirti asignavimai</t>
  </si>
  <si>
    <t>P-02-01-02-02</t>
  </si>
  <si>
    <t>R-01-01-02</t>
  </si>
  <si>
    <t>Bendrojo naudojimo teritorijų tvarkymo ir sanitarijos darbai</t>
  </si>
  <si>
    <t>taip/ne</t>
  </si>
  <si>
    <t>Archyvinių dokumentų tvarkymas</t>
  </si>
  <si>
    <t>P-09-01-01-01</t>
  </si>
  <si>
    <t>Dalyvauta verslui skatinti skirtuose renginiuose</t>
  </si>
  <si>
    <t>P-09-01-01-02</t>
  </si>
  <si>
    <t>P-09-01-01-03</t>
  </si>
  <si>
    <t>02 tikslas. Kurti palankią aplinką investicijoms</t>
  </si>
  <si>
    <t>01.01. Uždavinys. Mažinti aplinkos užterštumą ir gerinti vandens telkinių, bendro naudojimo ir kitų teritorijų būklę</t>
  </si>
  <si>
    <t>P-02-01-02-07</t>
  </si>
  <si>
    <t>P-02-01-02-08</t>
  </si>
  <si>
    <t>02.01. Uždavinys. Įgyvendinti jaunimo politiką siekiant padėti jauniems žmonėms pasirengti savarankiškam gyvenimui</t>
  </si>
  <si>
    <t>Užregistruotų nusikalstamų veikų skaičiaus mažėjimas</t>
  </si>
  <si>
    <t>R-05-03-02</t>
  </si>
  <si>
    <t>P-07-01-01-04</t>
  </si>
  <si>
    <t>Sveikatingumo renginiuose (seminarai, konferencijos, paskaitos ir pan.) dalyvavusių mokinių skaičius</t>
  </si>
  <si>
    <t>Visagino miesto šaligatvių remonto/rekonstrukcijos darbai (KD)</t>
  </si>
  <si>
    <t>kv. m</t>
  </si>
  <si>
    <t>Finansuojamų biudžetinių įstaigų, teikiančių socialines paslaugas, skaičius</t>
  </si>
  <si>
    <t>01 tikslas. Skatinti smulkaus ir vidutinio verslo kūrimąsi ir plėtojimą, finansiškai remti smulkaus ir vidutinio verslo subjektus</t>
  </si>
  <si>
    <t>R-09-01-01</t>
  </si>
  <si>
    <t>P-06-01-02-05</t>
  </si>
  <si>
    <t>P-06-01-02-06</t>
  </si>
  <si>
    <t>Gyventojų, kurie naudojasi komunalinėmis paslaugomis, dalis nuo visų gyventojų skaičiaus</t>
  </si>
  <si>
    <t>01 tikslas. Efektyviai organizuoti Savivaldybės darbą, tinkamai įgyvendinti jos funkcijas</t>
  </si>
  <si>
    <t>REZULTATO:</t>
  </si>
  <si>
    <t>R-01-01-01</t>
  </si>
  <si>
    <t>vnt.</t>
  </si>
  <si>
    <t>10 Visagino savivaldybės viešosios infrastruktūros plėtros programa</t>
  </si>
  <si>
    <t>P-09-02-02-03</t>
  </si>
  <si>
    <t>Socialinių darbuotojų, jų padėjėjų, pakėlusių kvalifikaciją, skaičius</t>
  </si>
  <si>
    <t>P-06-02-01-03</t>
  </si>
  <si>
    <t>R-07-01-02</t>
  </si>
  <si>
    <t>R-07-01-03</t>
  </si>
  <si>
    <t>Naujai užregistruotų susirgimų (1000 suaugusiųjų/1000 vaikų) skaičius</t>
  </si>
  <si>
    <t>E-02-10</t>
  </si>
  <si>
    <t>1400/2450</t>
  </si>
  <si>
    <t>1390/2400</t>
  </si>
  <si>
    <t>P-10-01-01-05</t>
  </si>
  <si>
    <t>R-09-02-01</t>
  </si>
  <si>
    <t>Registruotų bedarbių dalis nuo darbingo amžiaus gyventojų</t>
  </si>
  <si>
    <t>E-04-03</t>
  </si>
  <si>
    <t>Parengtų Visagino savivaldybės visuomenės sveikatos stebėsenos (monitoringo) ataskaitų ir pasiūlymų dėl gyventojų sveikatos būklės skaičius</t>
  </si>
  <si>
    <t>R-07-01-01</t>
  </si>
  <si>
    <t>R-06-01-02</t>
  </si>
  <si>
    <t>Įgyvendintų priemonių nusikaltimų prevencijos srityje skaičius</t>
  </si>
  <si>
    <t>Vertinimo kriterijus</t>
  </si>
  <si>
    <t>R-03-01-02</t>
  </si>
  <si>
    <t>01 tikslas. Prižiūrėti ir modernizuoti savivaldybės susisiekimo viešąją infrastruktūrą</t>
  </si>
  <si>
    <t>R-10-01-01</t>
  </si>
  <si>
    <t>01.01. Uždavinys. Gerinti keleivių vežimo sąlygas</t>
  </si>
  <si>
    <t>Šeimų, gaunančių kompensacijas už šaltą vandenį, skaičius</t>
  </si>
  <si>
    <t>P-06-01-02-04</t>
  </si>
  <si>
    <t>Savivaldybės finansinių įsipareigojimų vykdymas (draudimų ir kt.)</t>
  </si>
  <si>
    <t>P-01-01-04-03</t>
  </si>
  <si>
    <t>Eur</t>
  </si>
  <si>
    <t>01.01. Uždavinys. Užtikrinti efektyvią kultūros įstaigų veiklą</t>
  </si>
  <si>
    <t>P-09-01-01-08</t>
  </si>
  <si>
    <t>Sveikatinimo renginiuose dalyvavusių asmenų skaičius</t>
  </si>
  <si>
    <t>02.01. Uždavinys. Organizuoti ir koordinuoti vykdomus kultūrinius renginius</t>
  </si>
  <si>
    <t>P-02-01-01-08</t>
  </si>
  <si>
    <t>Valstybinės kalbos mokymo kursuose besimokančių žmonių skaičius (pagal kategorijas)</t>
  </si>
  <si>
    <t>P-02-01-01-09</t>
  </si>
  <si>
    <t>I kategorija</t>
  </si>
  <si>
    <t>03 tikslas. Kurti palankią turizmui aplinką</t>
  </si>
  <si>
    <t>R-09-03-01</t>
  </si>
  <si>
    <t>03.01. Uždavinys. Plėsti turizmo, rekreacijos, poilsio ir paslaugų infrastruktūrą</t>
  </si>
  <si>
    <t>P-06-01-03-06</t>
  </si>
  <si>
    <t>P-09-02-03-04</t>
  </si>
  <si>
    <t>Rekonstruotų pastatų, taikant šiuolaikiškas energiją taupančias technologijas ir pritaikytas parko administravimo veiklos vykdymui, verslo inkubatoriaus įkūrimui, skaičius</t>
  </si>
  <si>
    <t>P-01-02-03-02</t>
  </si>
  <si>
    <t>ES</t>
  </si>
  <si>
    <t>Lėšų, skirtų SVV rėmimui, panaudojimas</t>
  </si>
  <si>
    <t>Sukurtų naujų interneto svetainių apie Visaginą skaičius</t>
  </si>
  <si>
    <t>Rizikos šeimų, gaunančių socialines paslaugas, skaičius</t>
  </si>
  <si>
    <t>ne daugiau 11%</t>
  </si>
  <si>
    <t>Gyventojų informavimo veiklos įgyvendinimas</t>
  </si>
  <si>
    <t>P-01-02-02-02</t>
  </si>
  <si>
    <t>P-01-02-02-03</t>
  </si>
  <si>
    <t>P-07-01-02-02</t>
  </si>
  <si>
    <t>P-01-02-02-01</t>
  </si>
  <si>
    <t>Mažas pajamas turinčių šeimų, gaunančių būsto šildymo išlaidų ir išlaidų karštam vandeniui kompensacijas, skaičius</t>
  </si>
  <si>
    <t>P-06-01-02-03</t>
  </si>
  <si>
    <t>Organizuoti savivaldybės veiklą vadovaujantis šiuolaikiniais vadybos metodais</t>
  </si>
  <si>
    <t>E-04-01</t>
  </si>
  <si>
    <t>Naujai įregistruotų įmonių skaičius</t>
  </si>
  <si>
    <t>E-04-02</t>
  </si>
  <si>
    <t>Priemonių, skatinančių turizmo plėtrą savivaldybėje, skaičius</t>
  </si>
  <si>
    <t>P-09-03-01-02</t>
  </si>
  <si>
    <t>01 tikslas. Racionaliai naudojant lėšas, užtikrinti kultūros įstaigų funkcionalumą ir efektyvų darbą</t>
  </si>
  <si>
    <t>P-02-01-01-12</t>
  </si>
  <si>
    <t>P-02-01-01-13</t>
  </si>
  <si>
    <t>P-01-01-02-02</t>
  </si>
  <si>
    <t>P-01-01-02-03</t>
  </si>
  <si>
    <t>Suteiktų pirminės teisinės pagalbos konsultacijų skaičius</t>
  </si>
  <si>
    <t>P-01-01-02-04</t>
  </si>
  <si>
    <t>P-10-02-04-01</t>
  </si>
  <si>
    <t>Vykdomų projektų, skatinančių socialinių paslaugų plėtrą, skaičius</t>
  </si>
  <si>
    <t>R-06-02-03</t>
  </si>
  <si>
    <t>P-01-01-01-02</t>
  </si>
  <si>
    <t>Renovuotų sporto ir laisvalaikio aikštelių skaičius</t>
  </si>
  <si>
    <t>02.05. Uždavinys. Remontuoti ir prižiūrėti savivaldybės turtą</t>
  </si>
  <si>
    <t>Įsigytų triukšmomačių skaičius</t>
  </si>
  <si>
    <t>01.01. Uždavinys.  Užtikrinti efektyvią biudžetinių įstaigų veiklą</t>
  </si>
  <si>
    <t>P-10-03-01-04</t>
  </si>
  <si>
    <t>Įrengtų viešojo dizaino elementų skaičius</t>
  </si>
  <si>
    <t>P-09-03-01-04</t>
  </si>
  <si>
    <t>R-06-01-04</t>
  </si>
  <si>
    <t>Organizuotų tarptautinių vaizdo konferencijų, svečių vizitų (susitikimų) skaičius</t>
  </si>
  <si>
    <t>Vaikų, kuriems vaikų dienos centre teikiamos socialinės paslaugos, skaičius</t>
  </si>
  <si>
    <t>P-06-02-01-05</t>
  </si>
  <si>
    <t>P-01-01-02-01</t>
  </si>
  <si>
    <t>02 Visagino savivaldybės švietimo paslaugų plėtros programa</t>
  </si>
  <si>
    <t>Socialinių išmokų ir kompensacijų administravimas</t>
  </si>
  <si>
    <t>Bendrųjų ugdymo planų valandų, skirtų papildomajam ugdymui, panaudojimas</t>
  </si>
  <si>
    <t>P-02-01-01-05</t>
  </si>
  <si>
    <t>Remontuotų savivaldybės įstaigų skaičius</t>
  </si>
  <si>
    <t>Mokinių, sėkmingai išlaikiusių mokyklinius ir valstybinius brandos egzaminus, skaičius</t>
  </si>
  <si>
    <t>P-02-01-02-06</t>
  </si>
  <si>
    <t>01 Visagino savivaldybės valdymo tobulinimo programa</t>
  </si>
  <si>
    <t>R-10-02-01</t>
  </si>
  <si>
    <t>R-10-02-02</t>
  </si>
  <si>
    <t>03.01. Uždavinys. Kurti saugią aplinką Visagino savivaldybėje</t>
  </si>
  <si>
    <t>Kvalifikaciją kėlusių darbuotojų dalis nuo visų darbuotojų</t>
  </si>
  <si>
    <t>R-01-02-01</t>
  </si>
  <si>
    <t>Informacinių pranešimų apie savivaldybės veiklą skaičius</t>
  </si>
  <si>
    <t>R-01-02-02</t>
  </si>
  <si>
    <t>01 tikslas. Skatinti savivaldybės gyventojus užsiimti įvairia sportine veikla</t>
  </si>
  <si>
    <t>01.01. Uždavinys.  Skatinti vietos bendruomenių iniciatyvas</t>
  </si>
  <si>
    <t>02 tikslas. Sukurti palankią aplinką jauno žmogaus vertingam gyvenimui ir saviraiškai savivaldybės teritorijoje</t>
  </si>
  <si>
    <t>R-05-03-01</t>
  </si>
  <si>
    <t>P-10-01-01-03</t>
  </si>
  <si>
    <t>01.02. Uždavinys. Prižiūrėti bei tvarkyti (remontuoti) miesto ir savivaldybės susisiekimo viešąją infrastruktūrą</t>
  </si>
  <si>
    <t>100</t>
  </si>
  <si>
    <t>02 tikslas. Prižiūrėti ir modernizuoti savivaldybės viešąją infrastruktūrą</t>
  </si>
  <si>
    <t>Abiturientų, įstojusių į aukštąsias mokyklas, dalis nuo visų abiturientų skaičiaus</t>
  </si>
  <si>
    <t>Socialines paslaugas gavusių asmenų skaičius</t>
  </si>
  <si>
    <t>01.02. Uždavinys. Užtikrinti efektyvų valstybinių (perduotų savivaldybei) ir savarankiškų savivaldybės funkcijų vykdymą</t>
  </si>
  <si>
    <t>E-01-01</t>
  </si>
  <si>
    <t>proc.</t>
  </si>
  <si>
    <t>Vykusių akcijų ekologijos srityje skaičius</t>
  </si>
  <si>
    <t>R-08-01-03</t>
  </si>
  <si>
    <t>02.01. Uždavinys.  Pritraukti ES ir kitų fondų lėšas miesto plėtros projektams įgyvendinti</t>
  </si>
  <si>
    <t>P-09-02-01-01</t>
  </si>
  <si>
    <t>03 Visagino savivaldybės kūno kultūros ir sporto plėtros programa</t>
  </si>
  <si>
    <t>P-10-02-06-01</t>
  </si>
  <si>
    <t>P-01-01-03-02</t>
  </si>
  <si>
    <t>P-09-03-02-01</t>
  </si>
  <si>
    <t>P-09-03-02-02</t>
  </si>
  <si>
    <t>1</t>
  </si>
  <si>
    <t>Integralios pagalbos gavėjų skaičius</t>
  </si>
  <si>
    <t>Įgyvendintų  projektų ir organizuotų renginių skaičius vaikų ir jaunimo socializacijos bei jaunimo politikos srityje</t>
  </si>
  <si>
    <t>E-02-04</t>
  </si>
  <si>
    <t>Įrengtų kolumbariumų skaičius</t>
  </si>
  <si>
    <t>02.02. Uždavinys. Aktyvinti bendruomenę ugdant pilietiškumą, sudarant sąlygas jos nariams dalyvauti konkursuose, vietos ir kitų regionų koncertinėse programose ir mokymuose bei profesionalaus meno renginiuose pagal amžiaus grupes</t>
  </si>
  <si>
    <t>01 tikslas. Kurti saugią, švarią ir sveiką aplinką</t>
  </si>
  <si>
    <t>Lavinamosiose klasėse besiugdančių specialiųjų poreikių mokinių skaičius</t>
  </si>
  <si>
    <t>Mokinių, besiugdančių pagal vidurinio ugdymo programas, skaičius</t>
  </si>
  <si>
    <t>Įregistruotų civilinės būklės aktų skaičius</t>
  </si>
  <si>
    <t>Mokyklų, dalyvaujančių nacionalinio lygmens projektuose partnerio teise, skaičius</t>
  </si>
  <si>
    <t>Suteiktos paramos dalis (dantų protezavimo išlaidų kompensavimas)</t>
  </si>
  <si>
    <t>Parengtų techninių projektų skaičius</t>
  </si>
  <si>
    <t>P-09-03-01-03</t>
  </si>
  <si>
    <t>R-03-01-01</t>
  </si>
  <si>
    <t>Socialinių paslaugų centras</t>
  </si>
  <si>
    <t>P-02-01-01-11</t>
  </si>
  <si>
    <t>02.01. Uždavinys. Užtikrinti efektyvų ir sistemingą savivaldybės administracijos valstybės tarnautojų ir darbuotojų mokymą</t>
  </si>
  <si>
    <t>P-08-01-01-03</t>
  </si>
  <si>
    <t>P-08-01-01-04</t>
  </si>
  <si>
    <t>skaičius</t>
  </si>
  <si>
    <t>Apšiltintų viešųjų pastatų skaičius</t>
  </si>
  <si>
    <t>P-05-03-01-01</t>
  </si>
  <si>
    <t>P-05-03-02-01</t>
  </si>
  <si>
    <t>03 tikslas. Kurti saugią ir patogią gyvenimo aplinką</t>
  </si>
  <si>
    <t>P-09-02-03-01</t>
  </si>
  <si>
    <t>Specialistų, dalyvavusių kvalifikacijos kėlimo kursuose, dalis nuo bendro sporto srities specialistų skaičiaus</t>
  </si>
  <si>
    <t>Sukurtų naujų darbo vietų SVV subjektuose, kuriems buvo suteikta finansinė parama iš SVV plėtros skatinimo priemonės</t>
  </si>
  <si>
    <t>Formaliojo ir neformaliojo ugdymo paslaugas teikiančių įstaigų/organizacijų skaičius</t>
  </si>
  <si>
    <t>Atliktų valdymo tobulinimo analizių skaičius</t>
  </si>
  <si>
    <t>Suremontuotų gatvių (kelių) (su aplinkinės teritorijos sutvarkymo darbais), įgyvendinant investicinius projektus, skaičius</t>
  </si>
  <si>
    <t>Savivaldybės įsipareigojimų vykdymas po projektų įgyvendinimo</t>
  </si>
  <si>
    <t>Įgyvendintų/įgyvendinamų projektų, modernizuojant savivaldybės viešąją infrastruktūrą, skaičius</t>
  </si>
  <si>
    <t>Įgyvendintų projektų skaičius</t>
  </si>
  <si>
    <t>Natūrali gyventojų kaita</t>
  </si>
  <si>
    <t>E-02-08</t>
  </si>
  <si>
    <t>Vienas gyventojas vidutiniškai apsilankė poliklinikose ir ambulatorijose</t>
  </si>
  <si>
    <t>P-03-01-02-03</t>
  </si>
  <si>
    <t>II kategorija</t>
  </si>
  <si>
    <t>III kategorija</t>
  </si>
  <si>
    <t>P-02-01-01-10</t>
  </si>
  <si>
    <t>Į VKC filialo veiklą įtrauktų NVO skaičius</t>
  </si>
  <si>
    <t>P-01-01-02-06</t>
  </si>
  <si>
    <t>Paremtų projektų, skirtų lygioms galimybėms užtikrinti, skaičius</t>
  </si>
  <si>
    <t>P-05-01-01-03</t>
  </si>
  <si>
    <t>P-06-01-03-08</t>
  </si>
  <si>
    <t>Jaunimo teisių apsauga</t>
  </si>
  <si>
    <t>Gyventojų registro tvarkymas ir duomenų teikimas valstybės registrui</t>
  </si>
  <si>
    <t>P-08-01-01-09</t>
  </si>
  <si>
    <t>02.04. Uždavinys. Informuoti visuomenę apie savivaldybės veiklą ir formuoti teigiamą savivaldybės įvaizdį, plėtoti dalykinius santykius ir ryšius su tarptautinėmis ir vietinėmis institucijomis ir organizacijomis</t>
  </si>
  <si>
    <t>Įvairių renginių (pranešimų, paskaitų, pamokų, diskusijų, konkursų ir kt.) alkoholio, tabako ir narkotikų vartojimo prevencijos klausimais skaičius</t>
  </si>
  <si>
    <t>Organizuotų įvairių renginių (pranešimų, paskaitų, pamokų, diskusijų, konkursų ir kt.) užkrečiamųjų ligų profilaktikos ir asmens higienos klausimais skaičius</t>
  </si>
  <si>
    <t>įmonių skaičius</t>
  </si>
  <si>
    <t>03 strateginis tikslas. Plėtoti savivaldybės inžinerinę, susisiekimo ir rekreacinę infrastruktūrą, kurti palankią gyvenamąją aplinką</t>
  </si>
  <si>
    <t>Išmestų teršalų kiekis į atmosferą iš stacionarių taršos šaltinių</t>
  </si>
  <si>
    <t>Vasaros užimtumo programų dalyvių skaičius</t>
  </si>
  <si>
    <t>P-01-02-01-01</t>
  </si>
  <si>
    <t>darbuotojų skaičius</t>
  </si>
  <si>
    <t>Įgijusių išsilavinimą pagal ugdymo programas mokinių dalis:</t>
  </si>
  <si>
    <t>R-02-01-03</t>
  </si>
  <si>
    <t>- pagal vidurinio ugdymo programą</t>
  </si>
  <si>
    <t>Pateiktų paraiškų projektų finansavimui gauti skaičius</t>
  </si>
  <si>
    <t>P-04-01-01-01</t>
  </si>
  <si>
    <t>R-04-01-01</t>
  </si>
  <si>
    <t>R-04-01-02</t>
  </si>
  <si>
    <t>R-04-01-03</t>
  </si>
  <si>
    <t>Projektų, skirtų neįgaliųjų socialinei reabilitacijai, skaičius</t>
  </si>
  <si>
    <t>P-06-02-01-01</t>
  </si>
  <si>
    <t>5</t>
  </si>
  <si>
    <t>Išvalytų vandens telkinių, kuriuose atliekami vandens kokybės tyrimai, skaičius</t>
  </si>
  <si>
    <t>01.01. Uždavinys. Užtikrinti efektyvią savivaldybės biudžetinių socialinių paslaugų įstaigų veiklą</t>
  </si>
  <si>
    <t>P-02-01-02-01</t>
  </si>
  <si>
    <t>P-02-01-01-06</t>
  </si>
  <si>
    <t>P-02-01-01-07</t>
  </si>
  <si>
    <t>03.02. Uždavinys.  Užtikrinti turizmo informacijos sklaidą, skatinti turizmo plėtrą savivaldybėje</t>
  </si>
  <si>
    <t>P-09-03-02-03</t>
  </si>
  <si>
    <t>Užtikrinta Visagino rekreacijos paslaugų centro filialo „Visagino parkas“ veikla</t>
  </si>
  <si>
    <t>P-09-01-01-09</t>
  </si>
  <si>
    <t>08</t>
  </si>
  <si>
    <t>10</t>
  </si>
  <si>
    <t>P-09-01-01-07</t>
  </si>
  <si>
    <t>R-08-01-04</t>
  </si>
  <si>
    <t>P-01-01-04-02</t>
  </si>
  <si>
    <t>Žemės ūkio funkcijų vykdymas</t>
  </si>
  <si>
    <t>Parengtų techninių dokumentų skaičius</t>
  </si>
  <si>
    <t>Būsto nuomos ir išperkamosios būsto nuomos mokesčių dalies kompensacijų administravimas</t>
  </si>
  <si>
    <t>01.04. Uždavinys. Sudaryti sąlygas iš anksto negalimoms suplanuoti priemonėms vykdyti bei savivaldybės įsipareigojimams įgyvendinti</t>
  </si>
  <si>
    <t>P-03-01-02-02</t>
  </si>
  <si>
    <t>VB</t>
  </si>
  <si>
    <t>P-08-01-01-05</t>
  </si>
  <si>
    <t>02.01. Uždavinys.  Skatinti socialinių paslaugų plėtrą bendruomenėje</t>
  </si>
  <si>
    <t>Asmenų, gavusių globos (rūpybos) išmokas, skaičius</t>
  </si>
  <si>
    <t>P-06-01-02-07</t>
  </si>
  <si>
    <t>Mokinių, gavusių socialinę paramą, skaičius</t>
  </si>
  <si>
    <t>Mokinių, lankančių sporto įstaigą, skaičius</t>
  </si>
  <si>
    <t>P-03-01-01-01</t>
  </si>
  <si>
    <t>01.02. Uždavinys. Plėtoti ir tobulinti sporto varžybas ir sporto sveikatingumo renginius siekiant įtraukti vaikus, jaunimą ir kitas gyventojų grupes į sportinę veiklą, rengti sporto specialistus</t>
  </si>
  <si>
    <t>Įsigytų antrinių žaliavų surinkimo konteinerių skaičius</t>
  </si>
  <si>
    <t>Įrengtų mišrių komunalinių atliekų ir antrinių žaliavų konteinerių aikštelių skaičius</t>
  </si>
  <si>
    <t>R-01-01-04</t>
  </si>
  <si>
    <t>P-04-01-01-02</t>
  </si>
  <si>
    <t>P-10-01-01-04</t>
  </si>
  <si>
    <t>R-09-01-05</t>
  </si>
  <si>
    <t>R-09-01-06</t>
  </si>
  <si>
    <t>SVV subjektų, gavusių negrąžintiną finansinę paramą, skaičius</t>
  </si>
  <si>
    <t>02 tikslas. Užtikrinti ir skatinti socialinių paslaugų teikimą bei plėtrą bendruomenėje</t>
  </si>
  <si>
    <t>R-06-02-01</t>
  </si>
  <si>
    <t>P-09-02-03-02</t>
  </si>
  <si>
    <t>2</t>
  </si>
  <si>
    <t>0</t>
  </si>
  <si>
    <t>Pateiktų projektinių pasiūlymų projektų finansavimui gauti skaičius</t>
  </si>
  <si>
    <t>Įgyvendinamų/įgyvendintų projektų turizmo, rekreacijos, poilsio ir paslaugų srityje skaičius</t>
  </si>
  <si>
    <t>Įrengtų aktyvaus poilsio, sporto ir turizmo traukos objektų skaičius</t>
  </si>
  <si>
    <t>P-09-03-01-01</t>
  </si>
  <si>
    <t>Administracinės naštos mažinimo priemonių plano įgyvendinimas</t>
  </si>
  <si>
    <t>R-04-02-01</t>
  </si>
  <si>
    <t>E-02-01</t>
  </si>
  <si>
    <t>E-02-02</t>
  </si>
  <si>
    <t>E-02-03</t>
  </si>
  <si>
    <t>Vaikų, besiugdančių pagal ikimokyklinio  ugdymo programas, skaičius</t>
  </si>
  <si>
    <t>P-02-01-01-01</t>
  </si>
  <si>
    <t>P-07-01-03-01</t>
  </si>
  <si>
    <t>Kultūros įstaigų skaičius</t>
  </si>
  <si>
    <t>P-02-01-01-14</t>
  </si>
  <si>
    <t>P-02-01-01-15</t>
  </si>
  <si>
    <t>P-02-01-02-03</t>
  </si>
  <si>
    <t>Šalies olimpiadose ir konkursuose prizines vietas laimėjusiųjų mokinių skaičius</t>
  </si>
  <si>
    <t>P-02-01-02-04</t>
  </si>
  <si>
    <t>P-02-01-02-05</t>
  </si>
  <si>
    <t>P-02-01-02-09</t>
  </si>
  <si>
    <t>SVV plėtros skatinimas savivaldybėje</t>
  </si>
  <si>
    <t>Organizuotų ir įvykdytų kelionių dalis nuo pateiktų paraiškų skaičiaus</t>
  </si>
  <si>
    <t>01 tikslas. Užtikrinti ugdymo programų įvairovę, paslaugų prieinamumą ir kokybę</t>
  </si>
  <si>
    <t>R-02-01-01</t>
  </si>
  <si>
    <t>P-01-01-02-05</t>
  </si>
  <si>
    <t>P-10-02-05-03</t>
  </si>
  <si>
    <t>P-10-02-03-01</t>
  </si>
  <si>
    <t>P-09-02-02-01</t>
  </si>
  <si>
    <t>Virš 0 (teigiamas skaičius)</t>
  </si>
  <si>
    <t>P-04-02-01-02</t>
  </si>
  <si>
    <t>R-05-01-01</t>
  </si>
  <si>
    <t>Prižiūrimos, tvarkomos bendro naudojimo teritorijos</t>
  </si>
  <si>
    <t>01.02. Uždavinys. Organizuoti renginius, turinčius įtakos ugdymo proceso kokybei, skirtus tęstiniam mokymuisi</t>
  </si>
  <si>
    <t>01.03. Uždavinys. Užtikrinti Savivaldybės darbuotojų saugą darbe</t>
  </si>
  <si>
    <t>m</t>
  </si>
  <si>
    <t>Viešosios komunalinių atliekų tvarkymo paslaugos teikimas atliekų turėtojams</t>
  </si>
  <si>
    <t>SB</t>
  </si>
  <si>
    <t>E-03-01</t>
  </si>
  <si>
    <t>tonos (kg 1 gyventojui)</t>
  </si>
  <si>
    <t>Organizuotų mokymų verslininkams skaičius</t>
  </si>
  <si>
    <t>P-09-01-01-06</t>
  </si>
  <si>
    <t>R-05-03-03</t>
  </si>
  <si>
    <t>Savivaldybės vidinės ir tarptautinės migracijos saldo</t>
  </si>
  <si>
    <t>E-02-07</t>
  </si>
  <si>
    <t>2 lentelė</t>
  </si>
  <si>
    <t>Socialinės globos paslaugų gavėjų skaičius socialinių paslaugų įstaigose</t>
  </si>
  <si>
    <t>01.02. Uždavinys. Užtikrinti socialinių išmokų ir kompensacijų mokėjimą</t>
  </si>
  <si>
    <t>P-06-01-02-01</t>
  </si>
  <si>
    <t>Nėščių moterų, gavusių vienkartines išmokas, skaičius</t>
  </si>
  <si>
    <t>P-06-01-02-02</t>
  </si>
  <si>
    <t>Priimtų administracijos direktoriaus įsakymų veiklos klausimais skaičius</t>
  </si>
  <si>
    <t>Organizuotų turto nuomos konkursų skaičius</t>
  </si>
  <si>
    <t>Patvirtintų strateginio planavimo ir veiklos vertinimo dokumentų ir ataskaitų skaičius</t>
  </si>
  <si>
    <t>Surengtų viešųjų pirkimų skaičius</t>
  </si>
  <si>
    <t>Gavusių paramą ūkio subjektų skaičius</t>
  </si>
  <si>
    <t>P-01-01-01-01</t>
  </si>
  <si>
    <t>P-05-03-02-02</t>
  </si>
  <si>
    <t>R-05-03-04</t>
  </si>
  <si>
    <t>01 strateginis tikslas. Gerinti savivaldybės valdymą, formuoti Visagino savivaldybės, kaip modernios, šiuolaikiškai besitvarkančios savivaldybės įvaizdį</t>
  </si>
  <si>
    <t>EFEKTO:</t>
  </si>
  <si>
    <t>Gyventojų, kurie savivaldybės administracijos veiklą vertina palankiai, dalis</t>
  </si>
  <si>
    <t>04 strateginis tikslas. Kurti ekonominę aplinką, palankią pramonei, verslui, turizmui, investicijoms ir žinių ekonomikai plėtoti</t>
  </si>
  <si>
    <t>03 tikslas. Teikti gyventojams kokybiškas komunalines paslaugas, prižiūrėti ir remontuoti objektus, kurti saugią ir patogią gyvenimo aplinką</t>
  </si>
  <si>
    <t>R-10-03-01</t>
  </si>
  <si>
    <t>Renovuotų daugiabučių namų skaičius</t>
  </si>
  <si>
    <t>Remontuojamų savivaldybės biudžetinių įstaigų dalis nuo biudžetinių įstaigų skaičiaus</t>
  </si>
  <si>
    <t>Vertinimo kriterijaus kodas</t>
  </si>
  <si>
    <t>Vykdytojas</t>
  </si>
  <si>
    <t>0.5</t>
  </si>
  <si>
    <t>Įrengtų automobilių stovėjimo aikštelių skaičius</t>
  </si>
  <si>
    <t>R-10-02-06</t>
  </si>
  <si>
    <t>Visagino savivaldybės administracija</t>
  </si>
  <si>
    <t>Mokinių, organizuotai vežiojamų į (iš) mokyklas(os) (iš/į kaimo vietovių), skaičius</t>
  </si>
  <si>
    <t>02.01. Uždavinys. Didinti vaikų ir jaunimo socioedukacinių veiklų, socialiai prasmingo užimtumo, saviraiškos bei švietimo pagalbos įvairovę ir prieinamumą</t>
  </si>
  <si>
    <t>08 Visagino savivaldybės aplinkos apsaugos programa</t>
  </si>
  <si>
    <t>P-03-01-02-07</t>
  </si>
  <si>
    <t>P-03-01-02-08</t>
  </si>
  <si>
    <t>P-10-03-01-03</t>
  </si>
  <si>
    <t>01 tikslas. Gerinti Visagino savivaldybės gyventojų sveikatos priežiūros kokybę, sveikatos priežiūros paslaugų prieinamumą</t>
  </si>
  <si>
    <t>P-08-01-01-01</t>
  </si>
  <si>
    <t>Antrinių žaliavų surinkimas</t>
  </si>
  <si>
    <t>P-08-01-01-02</t>
  </si>
  <si>
    <t>kiekis t</t>
  </si>
  <si>
    <t>Visagino miesto apšvietimo tinkluose suvartojamos elektros energijos kiekis</t>
  </si>
  <si>
    <t>P-06-02-01-04</t>
  </si>
  <si>
    <t>P-01-02-04-02</t>
  </si>
  <si>
    <t>R-09-02-02</t>
  </si>
  <si>
    <t>R-06-01-05</t>
  </si>
  <si>
    <t>R-06-01-06</t>
  </si>
  <si>
    <t>R-10-01-02</t>
  </si>
  <si>
    <t>R-10-02-04</t>
  </si>
  <si>
    <t>P-01-01-04-01</t>
  </si>
  <si>
    <t>01.05. Uždavinys. Vykdyti korupcijos prevencijos darbus</t>
  </si>
  <si>
    <t>P-10-01-01-06</t>
  </si>
  <si>
    <t>Renovuotų/įrengtų dviračių takų ilgis</t>
  </si>
  <si>
    <t>Suaugusiųjų, besimokančių pagal neformaliojo švietimo programas, skaičius</t>
  </si>
  <si>
    <t>Vadovėliams ir mokymo priemonėms įsigyti panaudotų MK lėšų dalis nuo apskaičiuotų pagal MK metodiką</t>
  </si>
  <si>
    <t>Pedagogų kvalifikacijai tobulinti panaudotų MK lėšų dalis nuo apskaičiuotų pagal MK metodiką</t>
  </si>
  <si>
    <t>Kvalifikacijos tobulinimo VŠPT renginiuose dalyvavusių Visagino pedagogų skaičius</t>
  </si>
  <si>
    <t>VŠPT specialistų suteiktų konsultacijų skaičius per metus</t>
  </si>
  <si>
    <t>Mokinių, dalyvavusių šalies ir savivaldybės etapuose patvirtintų olimpiadų, konkursų, varžybų skaičius ir nugalėtojų santykis</t>
  </si>
  <si>
    <t>Atestuotų mokyklų vadovų dalis. Iš jų:</t>
  </si>
  <si>
    <t>- suteikta trečioji vadybinė kategorija</t>
  </si>
  <si>
    <t>- suteikta antroji vadybinė kategorija</t>
  </si>
  <si>
    <t>- suteikta pirmoji vadybinė kategorija</t>
  </si>
  <si>
    <t>Mokyklose dirbančių atestuotų mokytojų ir pagalbos mokiniui specialistų dalis. Iš jų:</t>
  </si>
  <si>
    <t>- suteikta mokytojo kvalifikacinė kategorija</t>
  </si>
  <si>
    <t>- suteikta vyresniojo mokytojo kvalifikacinė kategorija</t>
  </si>
  <si>
    <t>- suteikta metodininko kvalifikacinė kategorija</t>
  </si>
  <si>
    <t>Pagal Mokytojų ir pagalbos mokiniui specialistų (išskyrus psichologus) atestacijos nuostatų  IX skyrių įvykdytų peratestavimų skaičius</t>
  </si>
  <si>
    <t>Mokyklų įgyvendinamų projektų, finansuojamų iš nacionalinių arba tarptautinių fondų, skaičius</t>
  </si>
  <si>
    <t>Nacionalinių ir ES fondų lėšomis finansuotų ir kultūros įstaigų įgyvendintų projektų skaičius</t>
  </si>
  <si>
    <t>Kultūros įstaigų darbuotojų, kėlusių kvalifikaciją, dalis</t>
  </si>
  <si>
    <t>R-04-01-04</t>
  </si>
  <si>
    <t>VKC gautos lėšos už parduotus bilietus į renginius</t>
  </si>
  <si>
    <t>02.03. Uždavinys. Atnaujinti (rekonstruoti) Visagino viešuosius, ūkinius pastatus</t>
  </si>
  <si>
    <t>planas</t>
  </si>
  <si>
    <t>P-05-02-01-01</t>
  </si>
  <si>
    <t>Pirminė teisinė pagalba</t>
  </si>
  <si>
    <t xml:space="preserve">Vaikų, gaunančių vienkartines ir pastovias išmokas, skaičius </t>
  </si>
  <si>
    <t>Neįgaliesiems pritaikytų būstų procentas nuo esamo poreikio (paraiškų)</t>
  </si>
  <si>
    <t>P-06-01-03-04</t>
  </si>
  <si>
    <t>Išmokų gavėjų skaičius</t>
  </si>
  <si>
    <t>Organizacijų, kurių veikloje dalyvaujama, skaičius</t>
  </si>
  <si>
    <t>R-09-01-02</t>
  </si>
  <si>
    <t xml:space="preserve">Reprezentacinės išlaidos </t>
  </si>
  <si>
    <t>LSA nario mokestis</t>
  </si>
  <si>
    <t>Gerinti visuomenei teikiamų paslaugų kokybę, didinant jų atitiktį visuomenės poreikiams</t>
  </si>
  <si>
    <t>Aptarnautų gyvenamosios vietos deklaravimo klausimais asmenų skaičius</t>
  </si>
  <si>
    <t>Užregistruotų skundų lygių galimybių pažeidimo srityje skaičius</t>
  </si>
  <si>
    <t>Įdiegtų naujų informacinių technologijų sistemų skaičius</t>
  </si>
  <si>
    <t>R-02-01-02</t>
  </si>
  <si>
    <t>Įgyvendintų socialinių programų skaičius</t>
  </si>
  <si>
    <t>P-06-01-03-01</t>
  </si>
  <si>
    <t>Remiamų studentų skaičius</t>
  </si>
  <si>
    <t>P-01-02-04-03</t>
  </si>
  <si>
    <t>P-10-02-05-01</t>
  </si>
  <si>
    <t>Savivaldybės sporto varžybų ir sveikatingumo renginių dalyvių skaičius</t>
  </si>
  <si>
    <t>Miško teritorijų pavertimas kitomis naudmenomis (detaliųjų planų skaičius)</t>
  </si>
  <si>
    <t>P-09-02-02-04</t>
  </si>
  <si>
    <t>Daugiabučių namų savininkų (bendrijų) rėmimui skirtų lėšų panaudojimas</t>
  </si>
  <si>
    <t>egz.</t>
  </si>
  <si>
    <t>tūkst. Eur</t>
  </si>
  <si>
    <t>12</t>
  </si>
  <si>
    <t>02.03. Uždavinys. Organizuoti savivaldybės veiklą vadovaujantis šiuolaikiniais vadybos metodais</t>
  </si>
  <si>
    <t>P-01-02-03-01</t>
  </si>
  <si>
    <t>Valstybinės kalbos vartojimo  ir taisyklingumo kontrolė</t>
  </si>
  <si>
    <t>Civilinės būklės aktų registravimas</t>
  </si>
  <si>
    <t>P-06-01-01-01</t>
  </si>
  <si>
    <t>Pagerėjęs Visagino savivaldybės indeksas</t>
  </si>
  <si>
    <t>E-01-02</t>
  </si>
  <si>
    <t>taip</t>
  </si>
  <si>
    <t>E-02-09</t>
  </si>
  <si>
    <t>VKC ir VVB organizuotų mėgėjų meno ir pramoginių renginių skaičius</t>
  </si>
  <si>
    <t>VKC ir VVB organizuotų edukacinių renginių skaičius</t>
  </si>
  <si>
    <t>Parengtų (pakoreguotų) teritorijos planavimo dokumentų skaičius</t>
  </si>
  <si>
    <t>P-09-02-02-02</t>
  </si>
  <si>
    <t>ne daugiau 12 %</t>
  </si>
  <si>
    <t>R-09-01-03</t>
  </si>
  <si>
    <t>P-05-01-01-01</t>
  </si>
  <si>
    <t>R-05-02-01</t>
  </si>
  <si>
    <t>R-05-02-02</t>
  </si>
  <si>
    <t xml:space="preserve">Socialinės paramos mokiniams administravimas </t>
  </si>
  <si>
    <t>Tarptautinio bendradarbiavimo plėtra</t>
  </si>
  <si>
    <t xml:space="preserve">2019 m. </t>
  </si>
  <si>
    <t xml:space="preserve">2020 m. </t>
  </si>
  <si>
    <t>Pateiktų audito išvadų ir ataskaitų skaičius</t>
  </si>
  <si>
    <t>Visagino savivaldybės užimtumo didinimo programos administravimo lėšų panaudojimas</t>
  </si>
  <si>
    <t>Asmenų, dalyvavusių užimtumo didinimo programoje, skaičius</t>
  </si>
  <si>
    <t>Viešojo aukciono būdu parduotų objektų skaičius</t>
  </si>
  <si>
    <t>Panaudotos administracijos direktoriaus rezervo lėšos esant poreikiui</t>
  </si>
  <si>
    <t>Įvykdytų ir visų planuotų vykdyti programos priemonių santykis</t>
  </si>
  <si>
    <t>Mokymuose korupcijos prevencijos srityje dalyvavusių asmenų skaičius</t>
  </si>
  <si>
    <t>Pasirašytų tarptautinio bendradarbaivimo sutarčių skaičius</t>
  </si>
  <si>
    <t>R-01-02-03</t>
  </si>
  <si>
    <t>Darbuotojų, kėlusių savo kvalifikaciją, skaičius</t>
  </si>
  <si>
    <t>02.02. Uždavinys. Gerinti visuomenei teikiamų paslaugų kokybę, didinant jų atitiktį visuomenės poreikiams</t>
  </si>
  <si>
    <t xml:space="preserve">Įvykdytų (įgyvendinamų) ir planuotų vykdyti administracinės naštos mažinimo plano priemonių santykis </t>
  </si>
  <si>
    <t>Savivaldybės veiklos viešinimo veiklų (vietinės televizijos laidų, informacinių leidinių) skaičius:</t>
  </si>
  <si>
    <t>* tiesioginių televizijos laidų skaičius</t>
  </si>
  <si>
    <t>* interneto svetainių, kuriose skelbiama informacija apie savivaldybės veiklą, skaičius</t>
  </si>
  <si>
    <t>* leidinio „V každyj dom“ numerių skaičius (per metus)</t>
  </si>
  <si>
    <t>Gyventojų, dalyvaujančių sporto ir sveikatingumo renginiuose, dalis nuo savivavaldybės gyventojų skaičiaus</t>
  </si>
  <si>
    <t>mažiau nei 1230</t>
  </si>
  <si>
    <t>Mokinių, sėkmingai išlaikiusių mokyklinius ir valstybinius brandos egzaminus, dalis nuo bendro laikiusiųjų mokyklinius ir valstybinius brandos egzaminus mokinių skaičiaus</t>
  </si>
  <si>
    <t>- suteikta eksperto kvalifikacinė klasė</t>
  </si>
  <si>
    <t>Mokinių, dalyvavusių socializacijos projektuose, dalis nuo bendro mokinių skaičiaus</t>
  </si>
  <si>
    <t>Įgyvendintų socializacijos projektų skaičius</t>
  </si>
  <si>
    <t>Savivaldybėje organizuotų sporto renginių skaičius</t>
  </si>
  <si>
    <t>Bendrakomandinė prizinė vieta tarp savivaldybių</t>
  </si>
  <si>
    <t>Organizuotų sporto renginių neįgaliesiems skaičius</t>
  </si>
  <si>
    <t>Dalyvavusių sporto renginiuose neįgaliems skaičius</t>
  </si>
  <si>
    <t>Klientų, besinaudojančių mokamomis Visagino rekreacijos paslaugų centro paslaugomis, skaičius</t>
  </si>
  <si>
    <t>Įstaigose organizuotų kultūros renginių skaičius</t>
  </si>
  <si>
    <t>Registruotų vartotojų skaičius (VVB)</t>
  </si>
  <si>
    <t>Mėgėjų meno kolektyvų, studijų dalyvių skaičius (VKC)</t>
  </si>
  <si>
    <t>02 tikslas. Įgyvendinti valstybinę kultūros politiką per kultūrinius renginius, valstybei, tautai, savivaldybei reikšmingų sukakčių ir datų minėjimus, įtraukiant į jos vyksmą kuo platesnę bendruomenės dalį</t>
  </si>
  <si>
    <t>VKC ir VVB organizuotų profesionalaus meno parodų skačius</t>
  </si>
  <si>
    <t>01 tikslas. Įgyvendinti bendruomenės iniciatyvas, užtikrinti gyvenamosios vietovės bendruomenės išrinktų atstovų – seniūnaičių efektyvų darbą</t>
  </si>
  <si>
    <t>Organizuotų mokymų jaunimo organizacijų ir mokinių tarybų nariams ir dalyvių skaičius</t>
  </si>
  <si>
    <t>Mokymuose (seminaruose), kt. priemonėse dalyvavusių jaunimo tarybos narių skaičius</t>
  </si>
  <si>
    <t>Gavusių paramą ūkio subjektų dalis nuo visų besikreipiančių paramos dėl daugiabučių namų savininkų (bendrijų) rėmimo</t>
  </si>
  <si>
    <t>Įsteigtų naujų bendrijų skaičius</t>
  </si>
  <si>
    <t>Organizuota renginių gyventojų švietimo priešgaisrinės saugos klausimais</t>
  </si>
  <si>
    <t>P-05-03-01-03</t>
  </si>
  <si>
    <t>03.02. Uždavinys. Remti daugiabučių namų savininkus (bendrijas)</t>
  </si>
  <si>
    <t>Įgyvendintų energiją taupančių priemonių, namų techninių defektų, kurie kelia grėsmę namo ar atskirų jo konstrukcijų stabilumui ir (ar) žmonių saugumui, pašalinimo (remonto) darbų, skaičius</t>
  </si>
  <si>
    <t>Rizikos šeimų vaikų, gaunančių socialines paslaugas, skaičius</t>
  </si>
  <si>
    <t>Vaikų, gaunančių vienkartines ir pastovias išmokas, skaičius</t>
  </si>
  <si>
    <t>Asmenų, gavusių socialines pašalpas, skaičius</t>
  </si>
  <si>
    <t>Neįgaliesiems pritaikytų būstų dalis nuo esamo poreikio (paraiškų)</t>
  </si>
  <si>
    <t>Globojančių vaikus šeimų, gavusių paramą, skaičius</t>
  </si>
  <si>
    <t>Socialinių būstų, kuriuose atliktas remontas, skaičius</t>
  </si>
  <si>
    <t>Bendrabučio tipo pastato, esančios Kosmoso g. 28, Visagine, patalpos pritaikytos socialinam būstui įrengti (naujai įrengtų socialinių būstų skaičius)</t>
  </si>
  <si>
    <t>Įkurtų Savarankiško gyvenimo namų Visagine skaičius</t>
  </si>
  <si>
    <t>Vaiko teisių pažeidimų prevencijos įgyvendinimo priemonių skaičius</t>
  </si>
  <si>
    <t>Įsteigtas Visagino savivaldybės visuomenės sveikatos biuras</t>
  </si>
  <si>
    <t>Organizuotų įvairių visuomenės sveikatingumo stiprinimo skatinimo renginių skaičius</t>
  </si>
  <si>
    <t>Suteiktų konsultacijų skaičius (teikia visuomenės sveikatos biuras)</t>
  </si>
  <si>
    <t>Mokinių iki 18 metų, pateikusių profilaktinio sveikatos patikrinimo pažymą, dalis</t>
  </si>
  <si>
    <t>Įgyvendinta projektų vaikų sveikos gyvensenos skatinimo srityje</t>
  </si>
  <si>
    <t>P-07-01-02-06</t>
  </si>
  <si>
    <t>Asmenų, dalyvaujančių darbo saugos mokymose, skaičius</t>
  </si>
  <si>
    <t>Organizuotas privalamasis darbuotojų sveikatos tikrinimas (Visagino savivaldybės administracijoje), darbuotojų skaičius</t>
  </si>
  <si>
    <t>Darbo vietų, kurioms atliktas rizikos vertinimas, skaičius</t>
  </si>
  <si>
    <t>ne daugiau kaip 550 tonų (ne daugiau kaip 28 kg vienam gyventojui)</t>
  </si>
  <si>
    <t>Kelių eismo įvykių skaičiaus mažėjimas, palyginti su ankstesniais metais</t>
  </si>
  <si>
    <t>Įgyvendintų/įgyvendinamų investicinių projektų, finansuojamų iš ES ir kitų fondų paramos, skaičius</t>
  </si>
  <si>
    <t>Išduotų leidimų kirsti, pertvarkyti ar genėti skaičius</t>
  </si>
  <si>
    <t>Panaudotos lėšos už paviršinių nuotekų nuotakyno sistemos tvarkymą</t>
  </si>
  <si>
    <t>Verslumo lygis (veikiančių SVV įmonių skaičius, tenkantis 1000 gyventojų)</t>
  </si>
  <si>
    <t xml:space="preserve">Gavusių paramą ūkio subjektų dalis nuo visų besikreipiančių paramos iš SVV plėtros skatinimo priemonės </t>
  </si>
  <si>
    <t>Priimtų naujai inkubuojamų įmonių skaičius (VšĮ Ignalinos atominės elektrinės regiono verslo ir turizmo informacijos centras)</t>
  </si>
  <si>
    <t>01.01. Uždavinys. Sudaryti kuo palankesnes sąlygas pradėti ir plėtoti verslą, skatinti jaunimo verslumą bei didinti gyventojų užimtumą</t>
  </si>
  <si>
    <t>Suteiktų konsultacijų (VšĮ Ignalinos atominės elektrinės regiono verslo ir turizmo informacijos centras) valandų skaičius</t>
  </si>
  <si>
    <t>Organizuotų renginių jaunimo verslumui skatinti skaičius</t>
  </si>
  <si>
    <t>Įgyvendintų gyventojų užimtumo programų skaičius</t>
  </si>
  <si>
    <t>Materialinės investicijos, tenkančios vienam gyventojui</t>
  </si>
  <si>
    <t>Materialinės investicijos to meto kainomis, tenkančios Visagino savivaldybei</t>
  </si>
  <si>
    <t>Parengtų investicinių projektų ir kitų būtinų dokumentų projektų finansavimui gauti skaičius</t>
  </si>
  <si>
    <t>02.02. Uždavinys. Kurti aplinką, kuri sąlygotų investicijų pritraukimą</t>
  </si>
  <si>
    <t>Parengtų žemės sklypų planų ir/ar kadastrinių matavimų skaičius</t>
  </si>
  <si>
    <t>Investuotojų poreikiams pritaikytų programų santykis proc. nuo visų vykdomų programų (Visagino technologijos ir verslo profesinio mokymo centras)</t>
  </si>
  <si>
    <t>02.03. Uždavinys. Sudaryti sąlygas sukurti darbo vietas aukštos pridėtinės vertės (inovatyviai) pramonei ir verslui vystyti Visagine, plėtojant jį kaip šalies Energetikos kompetencijų centrą</t>
  </si>
  <si>
    <t>Dalyvauta turizmui vystyti skirtuose renginiuose, skaičius</t>
  </si>
  <si>
    <t>Pateiktų paraiškų susisiekimo infrastruktūros rekonstrukcijos finansavimui gauti skaičius</t>
  </si>
  <si>
    <t>Vietinio reguliaraus susisiekimo maršrutuose transporto lengvatomis pasinaudojusių keleivių skaičius</t>
  </si>
  <si>
    <t>Mokinių, kuriems padengtos kelionės (bilietų) išlaidos į (iš) mokyklas(os), skaičius</t>
  </si>
  <si>
    <t>Visagino miesto pravažiuojamųjų kelių paprastojo remonto darbai (KD)</t>
  </si>
  <si>
    <t>Rekonstruotos paviršinių (lietaus) nuotekų nuotakyno dalies (kolektoriaus) ilgis (724 m), Visagino g. atkarpos rekonstrukcija</t>
  </si>
  <si>
    <t>Įrengtų elektromobilių greitojo įkrovimo prieigų skaičius</t>
  </si>
  <si>
    <t>Visagino miesto centralizuoto šildymo sistema pertvarkyta į uždarąją</t>
  </si>
  <si>
    <t>Panaudotos Valstybės investicijų programos vykdomų projektų lėšos (10 programoje)</t>
  </si>
  <si>
    <t>Įgyvendintų darnaus judumo Visagino mieste plano priemonių skaičius</t>
  </si>
  <si>
    <t>Vykdomų Valstybės investicijų programos projektų skaičius (10 programoje)</t>
  </si>
  <si>
    <t>02.04. Uždavinys. Renovuoti ir įrengti dviračių ir pėsčiųjų takus, automobilių stovėjimo, sporto ir laisvalaikio aikšteles</t>
  </si>
  <si>
    <t>02.06. Uždavinys. Vykdyti Visagino miesto energinio efektyvumo didinimo daugiabučiuose namuose programą „Visagino enervizija“</t>
  </si>
  <si>
    <t>Pėsčiųjų perėjų, kuriose įrengtas kryptinis apšvietimas, skaičius</t>
  </si>
  <si>
    <t>Naujų objektų, sukurtų projektų įgyvendinimo metu, prijungtų prie AB ESO elektros skirstomųjų tinklų, skaičius</t>
  </si>
  <si>
    <t>P-10-03-01-05</t>
  </si>
  <si>
    <t>01.01. Uždavinys.  Sudaryti sąlygas ugdyti vaikus ikimokyklinėse, bendrojo lavinimo ir neformalaus švietimo įstaigose pagal patvirtintas ugdymo programas, teikti pedagoginę, psichologinę, metodinę, aprūpinimo transportu ir kitą pagalbą mokiniams, mokytojams ir mokykloms</t>
  </si>
  <si>
    <t>VISAGINO SAVIVALDYBĖS 2019-2021 M. STRATEGINIO VEIKLOS PLANO VERTINIMO KRITERIJŲ SUVESTINĖ</t>
  </si>
  <si>
    <t xml:space="preserve">2021 m. </t>
  </si>
  <si>
    <t>Informuoti visuomenę apie savivaldybės veiklą ir formuoti teigiamą savivaldybės įvaizdį, plėtoti dalykinius santykius ir ryšius su tarptautinėmis ir vietinėmis institucijomis ir organizacijomis</t>
  </si>
  <si>
    <t>Strateginio planavimo proceso savivaldybėje organizavimas</t>
  </si>
  <si>
    <t>Savivaldybės erdvinių duomenų rinkinio tvarkymo funkcijos atlikimas</t>
  </si>
  <si>
    <t>Viešojo aukciono būdu parduodamų objektų dokumentų parengimo išlaidos</t>
  </si>
  <si>
    <t xml:space="preserve">Korupcijos prevencijos darbams bei antikorupciniam visuomenės švietimui </t>
  </si>
  <si>
    <t>Automobilių stovėjimo aikštelių viešosiose teritorijose įrengimas</t>
  </si>
  <si>
    <t>Nekilnojamojo turto kadastriniams matavimams, turto vertinimui bei teisinei registracijai atlikti</t>
  </si>
  <si>
    <t>Duomenų teikimas Suteiktos valstybės pagalbos ir nereikšmingos pagalbos registrui</t>
  </si>
  <si>
    <t>Gyvenamosios vietos deklaravimo duomenų ir gyvenamosios vietos nedeklaravusių asmenų apskaitos duomenų tvarkymas</t>
  </si>
  <si>
    <t>Socialinėms paslaugoms (socialinei globai asmenims su sunkia negalia) administruoti</t>
  </si>
  <si>
    <t>Koordinuotai teikiamų paslaugų vaikams nuo gimimo iki 18 metų (turintiems didelių ir labai didelių specialiųjų ugdymosi poreikių – iki 21 metų) ir vaiko atstovams koordinavimas</t>
  </si>
  <si>
    <t>Savivaldybės nekilnojamojo turto išlaikymas ir administravimas</t>
  </si>
  <si>
    <t>Planuoti ir grąžinti dotaciją, skirtą savivaldybės biudžetui</t>
  </si>
  <si>
    <t>KT</t>
  </si>
  <si>
    <t>Asmens duomenų apsaugos, civilinės atsakomybės funkcijų vykdymas</t>
  </si>
  <si>
    <t>Paskolų grąžinimas, palūkanų ir banko paslaugų mokėjimas</t>
  </si>
  <si>
    <t>Dalyvauti rengiant ir vykdant mobilizaciją, demobilizaciją, priimančiosios šalies paramą</t>
  </si>
  <si>
    <t>II SKYRIUS</t>
  </si>
  <si>
    <t>SSPP tikslai ir uždaviniai</t>
  </si>
  <si>
    <t>Stebėsenos rodiklis (matavimo vnt.)</t>
  </si>
  <si>
    <t>Siektinos stebėsenos rodiklio reikšmės</t>
  </si>
  <si>
    <t>Eil. Nr.</t>
  </si>
  <si>
    <t>Programos kodas ir pavadinimas</t>
  </si>
  <si>
    <t>1. Savivaldybės biudžetas (įskaitant skolintas lėšas)</t>
  </si>
  <si>
    <t>Iš jo:</t>
  </si>
  <si>
    <t>1.2. Lietuvos Respublikos valstybės biudžeto dotacijos</t>
  </si>
  <si>
    <t>1.3. Pajamų įmokos ir kitos pajamos</t>
  </si>
  <si>
    <t>1.5. Skolintos lėšos</t>
  </si>
  <si>
    <t>1.6. Ankstesnių metų likučiai</t>
  </si>
  <si>
    <t>2. Kiti šaltiniai (Europos Sąjungos finansinė parama projektams įgyvendinti ir kitos teisėtai gautos lėšos, nurodant atskirus šaltinius)</t>
  </si>
  <si>
    <t>Asignavimų ir kitų lėšų pokytis, palyginti su ankstesnių metų patvirtintų asignavimų ir kitų lėšų planu</t>
  </si>
  <si>
    <t>Programos uždavinio, priemonės kodas ir požymis</t>
  </si>
  <si>
    <t>Stebėsenos rodiklio kodas</t>
  </si>
  <si>
    <t>Siektinos stebėsenos rodiklių reikšmės</t>
  </si>
  <si>
    <t>Savivaldybės strateginio plėtros plano rodiklis</t>
  </si>
  <si>
    <t>Rodiklio pavadinimas, matavimo vnt.</t>
  </si>
  <si>
    <t>Planuojamos rodiklių reikšmės</t>
  </si>
  <si>
    <t>1.</t>
  </si>
  <si>
    <t>Ugdytinių skaičius</t>
  </si>
  <si>
    <t>Priemonių įgyvendinimas pagal planuotus terminus, proc.</t>
  </si>
  <si>
    <t>Patvirtinta startegija</t>
  </si>
  <si>
    <t>2023 m. priemonės įgyvendintos 100 proc.</t>
  </si>
  <si>
    <t>Sporto šakų skaičius</t>
  </si>
  <si>
    <t>Finansuotų ir įgyvendintų programų skaičius</t>
  </si>
  <si>
    <t>Finansuotų ir įgyvendintų projektų (VB, ES fondų, programų lėšomis) skaičius</t>
  </si>
  <si>
    <t>Pritrauktų lėšų procentinis santykis su SB skiriamais asignavimais</t>
  </si>
  <si>
    <t>7 proc.</t>
  </si>
  <si>
    <t>8 proc.</t>
  </si>
  <si>
    <t>9 proc.</t>
  </si>
  <si>
    <t>Už teikiamas paslaugas gautų lėšų procentinis santykis su SB skiriamais asignavimais</t>
  </si>
  <si>
    <t>5 proc.</t>
  </si>
  <si>
    <t>Pradėtų teikti naujų mokamų paslaugų skaičius</t>
  </si>
  <si>
    <t>Sukurtos svetainės struktūra ir turinys atitinka reikalavimus proc.</t>
  </si>
  <si>
    <t>90 proc.</t>
  </si>
  <si>
    <t>100 proc.</t>
  </si>
  <si>
    <t>Parengtų ir paskelbtų informacinių pranešimų, straipsnių interneto svetainėje skaičius</t>
  </si>
  <si>
    <t>Renginių skaičius</t>
  </si>
  <si>
    <t>Įgyvendintų iniciatyvų skaičius</t>
  </si>
  <si>
    <t xml:space="preserve">0 proc. </t>
  </si>
  <si>
    <t xml:space="preserve">5 proc. </t>
  </si>
  <si>
    <t xml:space="preserve">15 proc. </t>
  </si>
  <si>
    <t xml:space="preserve">22 proc. </t>
  </si>
  <si>
    <t xml:space="preserve">100 proc. </t>
  </si>
  <si>
    <t>Komandų skaičius</t>
  </si>
  <si>
    <t>≥50</t>
  </si>
  <si>
    <t>Patvirtinta strategija</t>
  </si>
  <si>
    <t>Pateiktų projektų (VB, ES fondų, programų lėšomis) skaičius</t>
  </si>
  <si>
    <t xml:space="preserve">20 proc. </t>
  </si>
  <si>
    <t>3 proc.</t>
  </si>
  <si>
    <t>0,5 proc.</t>
  </si>
  <si>
    <t>1 proc.</t>
  </si>
  <si>
    <t>VšĮ Visagino ekonomikos plėtros agentūra</t>
  </si>
  <si>
    <t>1.1.</t>
  </si>
  <si>
    <t>1.2.</t>
  </si>
  <si>
    <t>10000 Eur</t>
  </si>
  <si>
    <t>Naujų gydytojų pritraukimas ir įdarbinimas ne mažiau nei 1 gydytoją per metus</t>
  </si>
  <si>
    <t>2024 metai</t>
  </si>
  <si>
    <t>2025 metai</t>
  </si>
  <si>
    <t>Šilumos tiekimo tinklų rekonstravimas, tinklų ilgis km</t>
  </si>
  <si>
    <t>Biokuro vandens šildymo katilo kuro padavimo transporterio remontas, vnt.</t>
  </si>
  <si>
    <t>Geriamojo vandens tiekimo tinklų rekonstravimas, tinklų ilgis km</t>
  </si>
  <si>
    <t>Įrangos ir įrankių įsigijimas Vandenvietės ir valymo įrangos baro veiklai užtikrinti, kompl.</t>
  </si>
  <si>
    <t>Nuotekų surinkimo tinklų rekonstravimas, tinklų ilgis km</t>
  </si>
  <si>
    <t>Nuotekų ir paviršinio vandens tyrimų laboratorijos akreditavimas, vnt.</t>
  </si>
  <si>
    <t>Apskaitos prietaisų su nuotoliniu duomenų nuskaitymu sistemų įrengimas, daugiabučių namų skaičius (vnt.)</t>
  </si>
  <si>
    <t>Dalyvavusių mokymuose darbuotojų skaičius, asm.</t>
  </si>
  <si>
    <t>2.</t>
  </si>
  <si>
    <t>3.</t>
  </si>
  <si>
    <t>5.</t>
  </si>
  <si>
    <t>6.</t>
  </si>
  <si>
    <t>7.</t>
  </si>
  <si>
    <t>8.</t>
  </si>
  <si>
    <t>Priemonė</t>
  </si>
  <si>
    <t>Įvykdymo terminas</t>
  </si>
  <si>
    <t>Vidaus administravimo ir informacinių technologijų skyrius</t>
  </si>
  <si>
    <t xml:space="preserve">Įdiegta informacinė kapinių skaitmeninimo sistema </t>
  </si>
  <si>
    <t>Skatinti asmenis ar ūkio subjektus naudotis el. paslaugomis savivaldybės interneto svetainėje</t>
  </si>
  <si>
    <t xml:space="preserve">Kartą per ketvirtį  </t>
  </si>
  <si>
    <t xml:space="preserve">Savivaldybės administracijos skyriai </t>
  </si>
  <si>
    <t>Paskelbta informacija svetainėje, FB paskyroje</t>
  </si>
  <si>
    <t>Teisės aktai peržiūrimi pagal poreikį (arba pasikeitus teisiniam reglamentavimui)</t>
  </si>
  <si>
    <t>Kartą per pusmetį teikti informaciją apie Administracinės naštos mažinimo plano priemonių įgyvendinimą Centralizuotam savivaldybės vidaus audito skyriui</t>
  </si>
  <si>
    <t>Visi savivaldybės administracijos skyriai ir į padalinius neįeinantys valstybės tarnautojai</t>
  </si>
  <si>
    <t>Kartą per pusmetį, atlikus Administracinės naštos mažinimo priemonių plano vykdymo vertinimą</t>
  </si>
  <si>
    <t>Centralizuotas vidaus audito skyrius</t>
  </si>
  <si>
    <t>Savivaldybės interneto svetainėje paskelbti informaciją apie administracinės naštos mažinimo priemonių vykdymą.</t>
  </si>
  <si>
    <t>Paskelbta informacija svetainėje</t>
  </si>
  <si>
    <t>Nurodyti ir įvertinti praėjusio ataskaitinio laikotarpio administracinės naštos mažinimo priemonių vykdymo rezultatus tarybos veiklos ataskaitoje</t>
  </si>
  <si>
    <t xml:space="preserve">Visagino savivaldybės taryba </t>
  </si>
  <si>
    <t xml:space="preserve">
Sėkmingai plėtoti ir įgyvendinti savivaldos teisę, užtikrinti subalansuotą plėtrą bei kokybiškai vykdyti viešojo administravimo ir viešųjų paslaugų teikimo funkcijas, tenkinant Visagino savivaldybės bendruomenės viešuosius poreikius ir interesus</t>
  </si>
  <si>
    <t>2026 metai</t>
  </si>
  <si>
    <t xml:space="preserve">                             SAVIVALDYBĖS PLĖTROS TIKSLAI, UŽDAVINIAI IR JŲ STEBĖSENOS RODIKLIAI</t>
  </si>
  <si>
    <t>E-1.1-1 Dirbančiųjų skaičius (tūkst. asm.)</t>
  </si>
  <si>
    <t>Siekiama stebėsenos rodiklio reikšmė (2030)</t>
  </si>
  <si>
    <t>Faktinė stebėsenos rodiklio reikšmė (2023)</t>
  </si>
  <si>
    <t>Materialinės investicijos, tenkančios 1-am gyventojui (Eur)</t>
  </si>
  <si>
    <t>Pritraukta naujų tiesioginių užsienio investicijų, tenkančių 1-am gyventojui (Eur)</t>
  </si>
  <si>
    <t>1116 Eur (2020)</t>
  </si>
  <si>
    <t>571 Eur  (2020)</t>
  </si>
  <si>
    <t>Ne mažiau kaip 1200 Eur (2030 )</t>
  </si>
  <si>
    <t>800 Eur (2030 m)</t>
  </si>
  <si>
    <t>Verslumo lygis (veikiančių SVV įmonių skaičius, tenkantis 1000 gyv., koef.)</t>
  </si>
  <si>
    <t>Gyventojų aktyvumas, vykdant individualią veiklą (gyventojų, besiverčiančių veikla pagal individualios veiklos pažymą ir verslo liudijimus, skaičius, tenkantis 1000-iui gyv., koef.)</t>
  </si>
  <si>
    <t>Sukurti ir įgyvendinti verslumo skatinimo programą</t>
  </si>
  <si>
    <t>Bendradarbystės centro „Spiečius“ narių skaičius</t>
  </si>
  <si>
    <t>Ne mažiau kaip 20 (2030)</t>
  </si>
  <si>
    <t>Ne mažiau kaip 5 (2030)</t>
  </si>
  <si>
    <t>1 (2024)</t>
  </si>
  <si>
    <t>100 (2030)</t>
  </si>
  <si>
    <t xml:space="preserve">15,5 (2022) </t>
  </si>
  <si>
    <t>1,52 (2022)</t>
  </si>
  <si>
    <t>0 (2022)</t>
  </si>
  <si>
    <t>15 (2022)</t>
  </si>
  <si>
    <t>Strateginėse verslo kryptyse veikiančių verslo subjektų skaičius</t>
  </si>
  <si>
    <t>1.1.-1</t>
  </si>
  <si>
    <t>8 (2030)</t>
  </si>
  <si>
    <t xml:space="preserve">0 (2022) </t>
  </si>
  <si>
    <t>5 (2030)</t>
  </si>
  <si>
    <t>1.1.-3</t>
  </si>
  <si>
    <t xml:space="preserve">Sukurti tinkamas sąlygas strateginėms verslo kryptims plėtotis Visagino savivaldybėje </t>
  </si>
  <si>
    <t>2 (2022)</t>
  </si>
  <si>
    <t>4 (2030)</t>
  </si>
  <si>
    <t>Nakvynių skaičius apgyvendinimo įstaigose, vnt.</t>
  </si>
  <si>
    <t>506 (2022)</t>
  </si>
  <si>
    <t>700 (2030)</t>
  </si>
  <si>
    <t>1.2.-1</t>
  </si>
  <si>
    <t>Turistų, apsilankiusių VTPC, dalis sezono metu (gegužės–rugpjūčio mėn.), palyginti su bendruoju metiniu turistų skaičiumi (proc.)</t>
  </si>
  <si>
    <t>72 (2022)</t>
  </si>
  <si>
    <t>50 (2030)</t>
  </si>
  <si>
    <t>10 (2030)</t>
  </si>
  <si>
    <t>3 (2030)</t>
  </si>
  <si>
    <t>Suformuotų turistų traukos objektų skaičius (vnt.)</t>
  </si>
  <si>
    <t>1.2.-3</t>
  </si>
  <si>
    <t>Asmenų, dalyvavusių perduodant Visagino daugiataučio kultūros paveldo ir tradicijų per turizmo ir edukacines veiklas, skaičius</t>
  </si>
  <si>
    <t>Visagino savivaldybės bendrojo ugdymo mokyklų tinklo pertvarkos 2022–2026 metų bendrojo plano kokybinių pokyčių / priemonių  įgyvendinimas, proc.</t>
  </si>
  <si>
    <t>2.1.-1</t>
  </si>
  <si>
    <t>Padidinti ugdymo paslaugų prieinamumą ir įtrauktį kuriant naujas ikimokyklinio ugdymo vietas ir efektyviai veikiančių mokyklų infrastruktūrą pritaikant vaikams su negalia bei bendriesiems ugdymo poreikiams gerinti</t>
  </si>
  <si>
    <t>Ikimokyklinio ugdymo įstaigų talpumas (vietų skaičius), vnt.</t>
  </si>
  <si>
    <t>895 (2022)</t>
  </si>
  <si>
    <t>983 (2027)</t>
  </si>
  <si>
    <t>Mokyklų, kuriose buvo įdiegtos universalaus dizaino ir kitos inžinerinės priemonės, aplinką pritaikant asmenims, turintiems negalią, dalis nuo visų mokyklų</t>
  </si>
  <si>
    <t>40 (2023)</t>
  </si>
  <si>
    <t>2.1.-2</t>
  </si>
  <si>
    <t>Plėtoti įvairialypį švietimą vykdant visos dienos mokyklų veiklą</t>
  </si>
  <si>
    <t>Neformaliojo vaikų švietimo galimybėmis pasinaudojusių mokinių dalis (išskyrus ikimokykliniame ir priešmokykliniame ugdyme dalyvaujančius vaikus) (proc.)</t>
  </si>
  <si>
    <t>Stiprinti mokyklas įgalinant dirbti su įvairių galių ir gebėjimų mokiniais, kurie mokyklų pedagogų, mokymosi aplinkos padedami ir motyvuojami įveikia barjerus ir pasiekia maksimalų savo individualių galimybių mokymosi rezultatą</t>
  </si>
  <si>
    <t>3  (2030)</t>
  </si>
  <si>
    <t>2.1.-4</t>
  </si>
  <si>
    <t>Skatinti mokinių domėjimąsi gamtos mokslais, matematika, technologijomis ir kt. veiklomis, išbandant save įvairiose praktinėse-tiriamosiose veiklose</t>
  </si>
  <si>
    <t>Pasirašytų bendradarbiavimo sutarčių su verslo atstovais skaičius</t>
  </si>
  <si>
    <t>2.1.-5</t>
  </si>
  <si>
    <t>Skatinti kokybinę kaitą bei lyderystės raišką švietimo įstaigose išbandant / taikant inovatyvius mokymo(si) modelius, aktyviai dalyvaujant projektinėje veikloje</t>
  </si>
  <si>
    <t>1(2022)</t>
  </si>
  <si>
    <t>6 (2030)</t>
  </si>
  <si>
    <t>90 (2030)</t>
  </si>
  <si>
    <t>2.1.-6</t>
  </si>
  <si>
    <t>Siekti, kad visi turėtų lanksčių kvalifikacijos kėlimo ir persikvalifikavimo galimybių, atsižvelgiant į verslumo ir skaitmeninius įgūdžius, geriau numatyti pokyčius ir naujų įgūdžių reikalavimus, grindžiamus darbo rinkos poreikiais, sudaryti palankesnes sąlygas keisti profesinę veiklą ir skatinti profesinį judumą</t>
  </si>
  <si>
    <t>Asmenų, kurie dalyvavę mokymuose įgijo kompetenciją, dalis proc. nuo visų besimokančiųjų VTVPMC</t>
  </si>
  <si>
    <t>98 (2030)</t>
  </si>
  <si>
    <t>80 (2030)</t>
  </si>
  <si>
    <t>30 (2030)</t>
  </si>
  <si>
    <t>Sudaryti sąlygas visų amžiaus grupių ir galimybių visaginiečiams jų sveikai gyvensenai, fiziniam aktyvumui, sportavimui bei siekti, kad tai taptų savivaldybės bendruomenės gyvensenos dalimi</t>
  </si>
  <si>
    <t>Veikiančių atvirų sporto erdvių  skaičius (vnt.)</t>
  </si>
  <si>
    <t>10 (2022)</t>
  </si>
  <si>
    <t>21 (2030)</t>
  </si>
  <si>
    <t>2.2-1</t>
  </si>
  <si>
    <t>Didinti fizinio aktyvumo lygį visose savivaldybės gyventojų amžiaus grupėse, plėsti galimybes bendruomenės fiziniam aktyvumui ir sveikatinimo veikloms</t>
  </si>
  <si>
    <t>Sporto varžybose ir sveikatingumo renginiuose dalyvavusių asmenų  skaičius, vnt. per metus</t>
  </si>
  <si>
    <t>2466 (2021)</t>
  </si>
  <si>
    <t>2.2-2</t>
  </si>
  <si>
    <t>Vykdyti talentingų sportininkų atranką, sudaryti jiems tinkamas sąlygas meistriškumui didinti</t>
  </si>
  <si>
    <t>20 (2022)</t>
  </si>
  <si>
    <t>40 (2030)</t>
  </si>
  <si>
    <t>2.2-3</t>
  </si>
  <si>
    <t>Gerinti sporto ir fizinio aktyvumo specialistų kvalifikaciją ir pritraukti naujus specialistus, kurių kompetencijos reikalingos bendruomenės poreikiams tenkinti, sporto ir fizinio aktyvumo paslaugų plėtrai ir kokybės užtikrinimui</t>
  </si>
  <si>
    <t>Kvalifikaciją patobulinusių sportinio ugdymo specialistų, dirbančių Visagino savivaldybės įstaigose, skaičius (proc.)</t>
  </si>
  <si>
    <t>2.2-4</t>
  </si>
  <si>
    <t>Didinti visuomenės informuotumą apie fizinio aktyvumo naudą ir vykdyti sporto informacijos sklaidą</t>
  </si>
  <si>
    <t>Informacinėmis priemonėmis pasiektų asmenų dalis proc. nuo visų gyventojų</t>
  </si>
  <si>
    <t>2.2-5</t>
  </si>
  <si>
    <t>Plėtoti ir atnaujinti sporto infrastruktūrą, aprūpinti poreikius atitinkančia įranga ir inventoriumi sudarant tinkamas sąlygas bendruomenės fiziniam aktyvumui, aukšto meistriškumo sportininkų rengimui bei varžybų nuo savivaldybės lygmens iki tarptautinių vykdymui</t>
  </si>
  <si>
    <t>Įgyvendinti valstybinę kultūros politiką ir formuoti regioninį identitetą, stiprinti pilietiškumą ir bendruomenės į(si)traukimą į kūrybines, kultūrines veiklas</t>
  </si>
  <si>
    <t>Gyventojų, bent kartą per mėnesį besilankančių viešuose kultūros renginiuose, dalis proc. nuo bendro gyventojų skaičiaus</t>
  </si>
  <si>
    <t>70 (2030)</t>
  </si>
  <si>
    <t>2.3.-1</t>
  </si>
  <si>
    <t>Formuoti Visagino, kaip daugiakultūrio miesto, atviro kultūrinėms inovacijoms ir patrauklaus profesionalaus meno sklaidai, laukiančio svečių, reputaciją</t>
  </si>
  <si>
    <t>Kultūros renginiuose apsilankiusių asmenų skaičius proc. nuo bendro gyventojų skaičiaus</t>
  </si>
  <si>
    <t>0  (2022)</t>
  </si>
  <si>
    <t>80  (2030)</t>
  </si>
  <si>
    <t>2.3.-2</t>
  </si>
  <si>
    <t>Visagino savivaldybėje sukurti palankiausiais regione sąlygas menininkų kūrybai ir kūrybiniams verslams vystytis</t>
  </si>
  <si>
    <t xml:space="preserve">Naujai susikūrusių kūrybinių verslų skaičius </t>
  </si>
  <si>
    <t>2.3.-3</t>
  </si>
  <si>
    <t>Plėtoti / tobulinti pagal kintančius bendruomenės poreikius kultūros infrastruktūrą bei užtikrinti kultūros, laisvalaikio, kūrybos erdvių prieinamumą bendruomenei ir kūrėjams</t>
  </si>
  <si>
    <t xml:space="preserve">Naujai įkurtų erdvių, kuriose skatinamos meniškos ir meninės veiklos, skaičius </t>
  </si>
  <si>
    <t>2.3.-4</t>
  </si>
  <si>
    <t>Sudaryti palaikančias ir motyvuojančias sąlygas etninės kultūros sklaidai, Dainų švenčių tradicijos tęstinumui, senųjų tradicijų, papročių populiarinimui, jų gyvybingumo puoselėjimui</t>
  </si>
  <si>
    <t>Asmenų, dalyvavusių etninės kultūros renginiuose, dalis proc. nuo visų savivaldybės gyventojų</t>
  </si>
  <si>
    <t>2.3.-5</t>
  </si>
  <si>
    <t>Stiprinti įstaigų partnerystę / tinklaveiką, plėtoti projektinę veiklą</t>
  </si>
  <si>
    <t>Asmenų, dalyvavusių kultūros ir švietimo bendradarbiavimo  veiklose, dalis proc. nuo visų savivaldybės gyventojų</t>
  </si>
  <si>
    <t>2.3.-6</t>
  </si>
  <si>
    <t>Ugdyti įvairiakalbę, kritiškai mąstančią Visagino bendruomenę, kurią jungia valstybinė kalba ir pagarba valstybei</t>
  </si>
  <si>
    <t>Gyventojų, dalyvavusių pilietinio ugdymo veiklose, dalis proc. nuo visų savivaldybės gyventojų</t>
  </si>
  <si>
    <t>Stiprinti ir puoselėti gyventojų sveikatą</t>
  </si>
  <si>
    <t>Vidutinė tikėtina gyvenimo trukmė (metais)</t>
  </si>
  <si>
    <t xml:space="preserve">76  (2020 m.)  </t>
  </si>
  <si>
    <t>78,3 (2030)</t>
  </si>
  <si>
    <t>2.4.-1</t>
  </si>
  <si>
    <t>Užtikrinti prieinamas aukštos kokybės sveikatos priežiūros paslaugas</t>
  </si>
  <si>
    <t>187,5 (2021)</t>
  </si>
  <si>
    <t>Mažėjantis</t>
  </si>
  <si>
    <t>2.4.-2</t>
  </si>
  <si>
    <t>Išplėsti su visuomenės sveikatos stiprinimu susijusias paslaugas</t>
  </si>
  <si>
    <t>Ikimokyklinio ir mokyklinio amžiaus vaikai (0–18 m.)</t>
  </si>
  <si>
    <t>50 (2021)</t>
  </si>
  <si>
    <t>12 (2021)</t>
  </si>
  <si>
    <t>0 (2030)</t>
  </si>
  <si>
    <t>Socialines paslaugas gavusių asmenų skaičius proc. nuo bendro gyventojų skaičiaus</t>
  </si>
  <si>
    <t>8 ( 2022)</t>
  </si>
  <si>
    <t>Ne mažiau  kaip  12 (2030)</t>
  </si>
  <si>
    <t>2.5-1</t>
  </si>
  <si>
    <t>Pagerinti  ir plėsti socialinių paslaugų kokybę ir prieinamumą bei sukurti jų plėtrai reikalingą  infrastruktūrą</t>
  </si>
  <si>
    <t>21 proc. (2021)</t>
  </si>
  <si>
    <t>Sudaryti galimybes jaunimui atvykti, dirbti ir gyventi Visagino savivaldybėje</t>
  </si>
  <si>
    <t xml:space="preserve">Jaunimo (14–29 metų amžiaus) dalis nuo bendro Visagino savivaldybės gyventojų skaičiaus (proc.) </t>
  </si>
  <si>
    <t xml:space="preserve">12,94 (2021)  </t>
  </si>
  <si>
    <t>13,5 (2030)</t>
  </si>
  <si>
    <t>2.6-1</t>
  </si>
  <si>
    <t>Pritaikyti viešąsias erdves jaunimo poreikiams</t>
  </si>
  <si>
    <t>Jaunimo poreikiams pritaikytų jaunimo erdvių skaičius (vnt.)</t>
  </si>
  <si>
    <t>2.6-2</t>
  </si>
  <si>
    <t>Sudaryti sąlygas jaunimo savirealizacijai</t>
  </si>
  <si>
    <t>Jaunuolių, turinčių Jaunimo savanoriškos tarnybos (JST) pažymėjimą, skaičius (per metus)</t>
  </si>
  <si>
    <t>4 (2022)</t>
  </si>
  <si>
    <t>Ne mažiau kaip 30 (2030)</t>
  </si>
  <si>
    <t>80 (2022)</t>
  </si>
  <si>
    <t xml:space="preserve">Gyventojų socialinio, pilietinio aktyvumo, dalyvavimo savanoriškoje, visuomeninėje veikloje, tarpusavio pasitikėjimo, bendruomenės socialinės atsakomybės ir įsitraukimo didinimas  </t>
  </si>
  <si>
    <t>2.7.-1</t>
  </si>
  <si>
    <t>Stiprinti nevyriausybines ir bendruomenines organizacijas, gerinti aplinką jų veiklai, remti pilietines iniciatyvas</t>
  </si>
  <si>
    <t xml:space="preserve">Veikiančių nevyriausybinių ir bendruomeninių organizacijų skaičius </t>
  </si>
  <si>
    <t>2.7.-2</t>
  </si>
  <si>
    <t>Įtraukti nevyriausybinį sektorių į viešųjų paslaugų teikimą, tinkamai pasinaudoti iš bendruomenės kylančiomis iniciatyvomis vietos plėtrai</t>
  </si>
  <si>
    <t>Savivaldybės viešųjų paslaugų, kurias teikia nevyriausybinės ir bendruomeninės organizacijos, dalis proc. nuo visų teikiamų paslaugų</t>
  </si>
  <si>
    <t>2.7.-3</t>
  </si>
  <si>
    <t>Sudaryti galimybes bendruomenei įsitraukti ir aktyviai dalyvauti sprendžiant jai aktualius klausimus</t>
  </si>
  <si>
    <t>Tobulinti viešojo valdymo sistemą, didinti jos efektyvumą ir atvirumą</t>
  </si>
  <si>
    <t>Ne mažiau kaip 55 (2030)</t>
  </si>
  <si>
    <t>2.8.-1</t>
  </si>
  <si>
    <t>Gerinti viešojo valdymo institucijų teikiamų paslaugų kokybę, didinti jų prieinamumą ir patrauklumą</t>
  </si>
  <si>
    <t>Gyventojų, per paskutinius 12 mėnesių dalyvavusių sprendžiant viešuosius vietos reikalus, dalis proc.</t>
  </si>
  <si>
    <t>30 (2022)</t>
  </si>
  <si>
    <t>Ne mažiau kaip 70 (2030)</t>
  </si>
  <si>
    <t>2.8.-2</t>
  </si>
  <si>
    <t>Kurti ir plėtoti saugią aplinką Visagino savivaldybėje</t>
  </si>
  <si>
    <t>Parengta ir įgyvendinta  Kompleksinės saugumo stiprinimo ir saugios savivaldybės plėtros programa, vnt.</t>
  </si>
  <si>
    <t xml:space="preserve">1/1 (2030) </t>
  </si>
  <si>
    <t xml:space="preserve">2.8.-3 </t>
  </si>
  <si>
    <t>Sustiprinti teigiamą Visagino savivaldybės  įvaizdį ir komunikaciją</t>
  </si>
  <si>
    <t>Savivaldybės išorinės komunikacijos lygis, auditorijos dydis (medijų paskyrų sekėjai, interneto svetainės naudotojai, naujienlaiškių prenumeratoriai ir kt.)</t>
  </si>
  <si>
    <t>„Facebook“ 3 486 tūkst. (2022)</t>
  </si>
  <si>
    <t>140 t (2022)</t>
  </si>
  <si>
    <t>3.1-1</t>
  </si>
  <si>
    <t>~8000 (2022)</t>
  </si>
  <si>
    <t>~19000 (2030)</t>
  </si>
  <si>
    <t>3.1-2</t>
  </si>
  <si>
    <t>10 (2021)</t>
  </si>
  <si>
    <t>3.1-3</t>
  </si>
  <si>
    <t>Pagerinti viešojo transporto paslaugų teikimą gyventojams</t>
  </si>
  <si>
    <t>Ne mažesnis kaip 2 proc. (2030)</t>
  </si>
  <si>
    <t>Skatinti tvarų miesto teritorijos vystymą</t>
  </si>
  <si>
    <t>Gyventojų skaičiaus metinis pokytis (pagal vidutinį metinį gyventojų skaičių) (proc.)</t>
  </si>
  <si>
    <t>19 707 (2022)</t>
  </si>
  <si>
    <t>Teigiamas, ne mažesnis kaip 1 proc. per metus</t>
  </si>
  <si>
    <t>3.2-1</t>
  </si>
  <si>
    <t>Plėsti, prižiūrėti ir modernizuoti teritorijas, įrengiant reikalingą infrastruktūrą</t>
  </si>
  <si>
    <t>Sutvarkyta / įrengta / atnaujinta teritorijų, ha</t>
  </si>
  <si>
    <t>3.2-2</t>
  </si>
  <si>
    <t xml:space="preserve">Skatinti kokybišką urbanistinį ir teritorijų planavimą  </t>
  </si>
  <si>
    <t>Pagal bendrojo plano sprendinius parengtų žemesnio lygio teritorijų planavimo dokumentų skaičius</t>
  </si>
  <si>
    <t xml:space="preserve">4 (2022) </t>
  </si>
  <si>
    <t>3.2-3</t>
  </si>
  <si>
    <t>Užtikrinti  kultūros paveldo objektų priežiūrą</t>
  </si>
  <si>
    <t xml:space="preserve">Visuomenei atvertų kultūros paveldo objektų skaičius </t>
  </si>
  <si>
    <t>Skatinti žaliąją savivaldybės plėtrą</t>
  </si>
  <si>
    <t>Teršalų, išmestų į aplinkos orą iš stacionarių taršos šaltinių,  tonos</t>
  </si>
  <si>
    <t>606,88 (2021)</t>
  </si>
  <si>
    <t>500 (2030)</t>
  </si>
  <si>
    <t>3.3.-1</t>
  </si>
  <si>
    <t>Užtikrinti tvarų kraštovaizdžio vystymą(si), išsaugant ekosistemas ir prisitaikant prie klimato kaitos</t>
  </si>
  <si>
    <t>21 (2022)</t>
  </si>
  <si>
    <t>Nemažėjantis (2030)</t>
  </si>
  <si>
    <t>3.3.-2</t>
  </si>
  <si>
    <t>Skatinti energijos taupymą, atsinaujinančių ir alternatyvių energijos išteklių naudojimą</t>
  </si>
  <si>
    <t>Atsinaujinančio kuro dalis centrinio šildymo sistemoje (proc.)</t>
  </si>
  <si>
    <t>84 (2022)</t>
  </si>
  <si>
    <t>Savivaldybės įstaigų ir įmonių, įdiegusių atsinaujinančių ir alternatyvių energijos išteklių priemones savo pastatuose, dalis (proc.)</t>
  </si>
  <si>
    <t>Atnaujinta (modernizuota) daugiabučių namų nuo bendro nerenovuotų daugiabučių namų skaičiaus dalis proc.</t>
  </si>
  <si>
    <t>3.3-3</t>
  </si>
  <si>
    <t>Modernizuoti miesto inžinerinę infrastruktūrą laikantis inovatyvumo ir ekologiškumo principų</t>
  </si>
  <si>
    <t>0,279 (2022)</t>
  </si>
  <si>
    <t>Ne mažiau kaip 2,390 (2030)</t>
  </si>
  <si>
    <t>Atnaujinti geriamojo vandens tiekimo tinklai, km</t>
  </si>
  <si>
    <t>0,978 (2022)</t>
  </si>
  <si>
    <t>Ne mažiau kaip 6,353 (2030)</t>
  </si>
  <si>
    <t>Atnaujinti nuotekų surinkimo tinklai, km</t>
  </si>
  <si>
    <t>Ne mažiau kaip 0,230 (2030)</t>
  </si>
  <si>
    <t>Ne mažiau kaip 4 (2030)</t>
  </si>
  <si>
    <t>3.3-4</t>
  </si>
  <si>
    <t>Sąvartynuose šalinamų atliekų dalis, palyginti su bendru komunalinių atliekų srautu (proc.)</t>
  </si>
  <si>
    <t>19,9  (2021)</t>
  </si>
  <si>
    <t>Perdirbta, pakartotinai ar kitaip panaudota (pvz., energijai gauti) dalis, palyginti su visomis surinktomis ir susidariusiomis atliekomis (proc.)</t>
  </si>
  <si>
    <t>62,2 (2021)</t>
  </si>
  <si>
    <t>77,0 (2030)</t>
  </si>
  <si>
    <t>3.3-5</t>
  </si>
  <si>
    <t>Stebimų aplinkos monitoringo objektų (pvz., oras, paviršinis vanduo, maudyklos, dirvožemis, triukšmas ir kt.) skaičius, vnt.</t>
  </si>
  <si>
    <t xml:space="preserve">2.1.-3 </t>
  </si>
  <si>
    <t xml:space="preserve">2.2. </t>
  </si>
  <si>
    <t xml:space="preserve">2.3. </t>
  </si>
  <si>
    <t xml:space="preserve">2.4. </t>
  </si>
  <si>
    <t>2.5.</t>
  </si>
  <si>
    <t xml:space="preserve">2.6. </t>
  </si>
  <si>
    <t>Pilietinės visuomenės ir privačiojo sektoriaus
subjektai, dalyvavę rengiant ir (ar) įgyvendinant miestui svarbių klausimų sprendimus, vnt.</t>
  </si>
  <si>
    <t>2.8.</t>
  </si>
  <si>
    <t xml:space="preserve">3.1. </t>
  </si>
  <si>
    <t>Šiltnamio efektą 
sukeliančių dujų kiekis (tonomis), tenkantis Visagino savivaldybės gyventojams</t>
  </si>
  <si>
    <t xml:space="preserve">Naujo arba modernizuoto 
viešojo transporto naudotojų skaičius per metus </t>
  </si>
  <si>
    <t>Didinti eismo saugumą ir 
gyventojų sąmoningumą darnaus judumo srityje</t>
  </si>
  <si>
    <t xml:space="preserve">3.2. </t>
  </si>
  <si>
    <t>3.3</t>
  </si>
  <si>
    <t xml:space="preserve">Atnaujinti šilumos tinklai, km
</t>
  </si>
  <si>
    <t>Įdiegti žiedinės 
ekonomikos procesus</t>
  </si>
  <si>
    <t>Užtikrinti visapusišką 
aplinkos būklės stebėseną ir taršą ribojančių priemonių taikymą</t>
  </si>
  <si>
    <t>SSPP tikslų
 ir uždavinių 
kodas</t>
  </si>
  <si>
    <t xml:space="preserve"> Pagerinti investicijų pritraukimo ir verslo plėtros sąlygas</t>
  </si>
  <si>
    <t xml:space="preserve">1.1.-2 </t>
  </si>
  <si>
    <t xml:space="preserve"> Skatinti gyventojų verslumą ir ekonominį mobilumą</t>
  </si>
  <si>
    <t xml:space="preserve"> Didinti turistinį savivaldybės patrauklumą, teikiant viešąsias paslaugas bei plėtojant viešąją turizmo infrastruktūrą</t>
  </si>
  <si>
    <t xml:space="preserve"> Skatinti turizmo konkurencingumą, teikiant viešąsias ir verslo paslaugas bei vykdant aktyvią paslaugų rinkodarą</t>
  </si>
  <si>
    <t>1.2.-2</t>
  </si>
  <si>
    <t xml:space="preserve"> Visagino turizmo, gamtos ir kultūros objektų pritaikymas lankymui, modernizuojant viešąją turizmo infrastruktūrą</t>
  </si>
  <si>
    <t>2.1</t>
  </si>
  <si>
    <t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t>
  </si>
  <si>
    <t>Interneto svetainės naudotojai 253,7 tūkst./ metus (2020)</t>
  </si>
  <si>
    <t>Interneto svetainės naudotojai 500 tūkst. / metus (2030)</t>
  </si>
  <si>
    <t xml:space="preserve">Pradinė stebėsenos rodiklio reikšmė (2022) </t>
  </si>
  <si>
    <t>2.7.</t>
  </si>
  <si>
    <t>Asignavimų valdytojo kodas</t>
  </si>
  <si>
    <t>Finansavimo šaltinis</t>
  </si>
  <si>
    <t>SB(ĮP)</t>
  </si>
  <si>
    <t>Iš viso:</t>
  </si>
  <si>
    <t xml:space="preserve">Savivaldybės tarybos darbo organizavimas </t>
  </si>
  <si>
    <t xml:space="preserve">Savivaldybės administracijos veiklos organizavimas </t>
  </si>
  <si>
    <t>SB (ĮP)</t>
  </si>
  <si>
    <t>Įstaigos</t>
  </si>
  <si>
    <t>SB (D)</t>
  </si>
  <si>
    <t>Visagino „Verdenės“ gimnazija (Valstybinės kalbos testavimas)</t>
  </si>
  <si>
    <t>Duomenų atvėrimo priemonių įgyvendinimas</t>
  </si>
  <si>
    <t xml:space="preserve">Lopšelis-darželis „Gintarėlis“ </t>
  </si>
  <si>
    <t>Draugystės progimnazija</t>
  </si>
  <si>
    <t>Gyventojų informavimas (taryba)</t>
  </si>
  <si>
    <t>Administracija</t>
  </si>
  <si>
    <t>2024  m. išlaidų projektas (lėšų poreikis), tūkst. Eur</t>
  </si>
  <si>
    <t>2024  m.asignavimų  planas, tūkst. Eur</t>
  </si>
  <si>
    <t xml:space="preserve">2023 m. asignavimų planas </t>
  </si>
  <si>
    <t>IŠ VISO programai finansuoti pagal finansavimo šaltinius (1 ir 2 punktai)</t>
  </si>
  <si>
    <t>Stebėsenos rodiklio pavadinimas
(matavimo vnt.)</t>
  </si>
  <si>
    <t>R-01-01-01-01</t>
  </si>
  <si>
    <t>R-01-01-01-02</t>
  </si>
  <si>
    <t>R-01-01-01-03</t>
  </si>
  <si>
    <t>R-01-01-02-01</t>
  </si>
  <si>
    <t>Jaunimo reikalų koordinatoriams savivaldybėse rekomenduotų atlikti užduočių įgyvendinimas (ne mažiau, kaip), procentai</t>
  </si>
  <si>
    <t>Gyvenamosios vietos deklaracijų, asmenų pateiktų elektroniniu būdu, dalies didėjimas per metus, ne mažiau kaip 1,5 proc</t>
  </si>
  <si>
    <t>P-01-01-02-14</t>
  </si>
  <si>
    <t>Įregistruotų nekilnojamojo turto objektų savivaldybėje skaičius</t>
  </si>
  <si>
    <t>Mero  rezervas</t>
  </si>
  <si>
    <t>Savivaldybės finansinių įsipareigojimų vykdymas po projektų įgyvendinimo (draudimų ir kt.)</t>
  </si>
  <si>
    <t>Atvertų duomenų rinkinių kiekis</t>
  </si>
  <si>
    <t>Projekte „Smart city – Visaginas“ numatytų įgyvendinti priemonių skaičius</t>
  </si>
  <si>
    <t>Informacinių leidinių, kuriuose skelbiama informacija apie savivaldybės veiklą, skaičius</t>
  </si>
  <si>
    <t>LSA nario mokesčiui numatytų lėšų panaudojimas</t>
  </si>
  <si>
    <t>E-01-01-01</t>
  </si>
  <si>
    <t>85</t>
  </si>
  <si>
    <t>E-01-01-02</t>
  </si>
  <si>
    <t>R-01-01-02-02</t>
  </si>
  <si>
    <t>Švietimo įstaigų veiklos organizavimas</t>
  </si>
  <si>
    <t xml:space="preserve">Vaikų lopšelio-darželio „Auksinis gaidelis“ </t>
  </si>
  <si>
    <t xml:space="preserve">Vaikų lopšelio-darželio „Auksinis raktelis“ </t>
  </si>
  <si>
    <t>Vaikų lopšelio-darželio „Ąžuoliukas“</t>
  </si>
  <si>
    <t xml:space="preserve">Vaikų lopšelio-darželio „Kūlverstukas“ </t>
  </si>
  <si>
    <t>Draugystės progimnazijos</t>
  </si>
  <si>
    <t>"Verdenės" gimnazijos</t>
  </si>
  <si>
    <t>Visagino kūrybos ir menų akademijos</t>
  </si>
  <si>
    <t>Iš viso</t>
  </si>
  <si>
    <t>SD</t>
  </si>
  <si>
    <t>Savivaldybės įstaigų ugdymo proceso užtikrinimas</t>
  </si>
  <si>
    <t>SB (MK)</t>
  </si>
  <si>
    <t xml:space="preserve">SD </t>
  </si>
  <si>
    <t>Kt.</t>
  </si>
  <si>
    <t>Švietimo pagalbos tarnyba</t>
  </si>
  <si>
    <t>Besimokančiųjų iniciatyvų skatinimas, pažinimo, lavinimosi, saviraiškos galimybių užtikrinimas ir konkursų, olimpiadų organizavimas</t>
  </si>
  <si>
    <t>Edukacinių programų, projektų įgyvendinimas tobulinant švietimo darbuotojų kvalifikaciją, skatinant jų iniciatyvas</t>
  </si>
  <si>
    <t>Dalyvavimas nacionaliniu ir tarptautiniu lygiu įgyvendinamuose projektuose</t>
  </si>
  <si>
    <t>Neformaliojo vaikų švietimo programų įgyvendinimas</t>
  </si>
  <si>
    <t>Visagino savivaldybės bendrojo ugdymo mokyklų tinklo pertvarkos plano priemonių įgyvendinimas pagal mokyklų parengtus ir suderintus priemonių planus</t>
  </si>
  <si>
    <t>Vienai sąlyginei mokytojo pareigybei tenkančių mokinių skaičius bendrojo ugdymo mokyklose</t>
  </si>
  <si>
    <t>Lėšų, skirtų besimokančiųjų iniciatyvų skatinimui, pažinimui, saviraiškos galimybių užtikrinimui ir konkursų, olimpiadų organizavimui, panaudojimas</t>
  </si>
  <si>
    <t>R-02-01-02-01</t>
  </si>
  <si>
    <t>R-02-01-02-02</t>
  </si>
  <si>
    <t>Švietimo srityje  įgyvendinamų projektų, finansuojamų iš nacionalinių arba tarptautinių fondų, skaičius</t>
  </si>
  <si>
    <t xml:space="preserve">Paskatintų asmenų skaičius </t>
  </si>
  <si>
    <t>P-02-01-03-05</t>
  </si>
  <si>
    <t>Mokinių besinaudojančių sukurta visos dienos mokyklos infrastruktūra skaičius</t>
  </si>
  <si>
    <t xml:space="preserve">Vaikų lopšelio-darželio „Gintarėlis“ </t>
  </si>
  <si>
    <t>"Atgimimo" gimnazijos</t>
  </si>
  <si>
    <t>"Gerosios vilties" progimnazijos</t>
  </si>
  <si>
    <t>"Žiburio" pagrindinės mokyklos</t>
  </si>
  <si>
    <t>Švietimo pagalbos tarnybos</t>
  </si>
  <si>
    <t>Atgimimo gimnazijos</t>
  </si>
  <si>
    <t>EGADP</t>
  </si>
  <si>
    <t>R-02-01-02-03</t>
  </si>
  <si>
    <t>R-02-01-02-04</t>
  </si>
  <si>
    <t>R-01-01-02-03</t>
  </si>
  <si>
    <t>R-01-01-02-04</t>
  </si>
  <si>
    <t>Įgyvendinant šią priemonę, finansuojami įvairūs savivaldybės 
prisiimti įsipareigojimai po projektų įgyvendinimo (nekilnojamojo turto draudimas ir kita).</t>
  </si>
  <si>
    <t>R-01-01-02-05</t>
  </si>
  <si>
    <t>R-01-01-02-06</t>
  </si>
  <si>
    <t>R-01-01-02-07</t>
  </si>
  <si>
    <t>R-01-01-02-08</t>
  </si>
  <si>
    <t>R-01-01-02-10</t>
  </si>
  <si>
    <t>R-01-01-02-11</t>
  </si>
  <si>
    <t>R-01-01-02-12</t>
  </si>
  <si>
    <t>R-01-01-02-13</t>
  </si>
  <si>
    <t>R-01-01-02-15</t>
  </si>
  <si>
    <t>R-01-01-02-16</t>
  </si>
  <si>
    <t>R-01-01-02-17</t>
  </si>
  <si>
    <t>R-01-01-02-18</t>
  </si>
  <si>
    <t>R-01-01-02-19</t>
  </si>
  <si>
    <t>R-01-01-02-20</t>
  </si>
  <si>
    <t>R-01-01-03-01</t>
  </si>
  <si>
    <t>R-01-01-03-03</t>
  </si>
  <si>
    <t>R-01-01-03-05</t>
  </si>
  <si>
    <t>R-01-01-04-01</t>
  </si>
  <si>
    <t>R-01-01-04-02</t>
  </si>
  <si>
    <t>R-01-01-04-03</t>
  </si>
  <si>
    <t>R-01-01-04-04</t>
  </si>
  <si>
    <t>R-01-01-05-01</t>
  </si>
  <si>
    <t>R-01-02-02-01</t>
  </si>
  <si>
    <t>R-01-02-02-02</t>
  </si>
  <si>
    <t>R-01-02-02-05</t>
  </si>
  <si>
    <t>R-01-02-02-07</t>
  </si>
  <si>
    <t>R-01-02-02-08</t>
  </si>
  <si>
    <t>R-01-02-03-01</t>
  </si>
  <si>
    <t>R-01-02-04-02</t>
  </si>
  <si>
    <t>R-01-02-04-03</t>
  </si>
  <si>
    <t>R-01-02-04-04</t>
  </si>
  <si>
    <t xml:space="preserve">Asignavimų pasikeitimas </t>
  </si>
  <si>
    <t>Užtikrinti efektyvią  įstaigų, veikiančių sporto srityje, veiklą</t>
  </si>
  <si>
    <t>Sportinio ugdymo programų ir sportininkų rengimo veiklos organizavimas ir paslaugų kokybės užtikrinimas</t>
  </si>
  <si>
    <t>Sporto projektų  įgyvendinimo Visagino savivaldybėje užtikrinimas</t>
  </si>
  <si>
    <t xml:space="preserve">Vaikų mokymo plaukti programos įgyvendinimas </t>
  </si>
  <si>
    <t>Kultūros įstaigų veiklos organizavimas</t>
  </si>
  <si>
    <t>Muziejinės veiklos Visagino savivaldybėje užtikrinimas</t>
  </si>
  <si>
    <t>Rengimasis dalyvauti Dainų šventėse</t>
  </si>
  <si>
    <t>Etninės kultūros sklaida, senųjų tradicijų, papročių populiarinimas, gyvybingumo puoselėjimas</t>
  </si>
  <si>
    <t>Kalendorinių švenčių organizavimas</t>
  </si>
  <si>
    <t>Nematerialaus kultūros paveldo apsaugos administravimas ir sklaida</t>
  </si>
  <si>
    <t xml:space="preserve">Dalyvavimas nacionaliniu ir tarptautiniu lygmeniu įgyvendinamuose projektuose </t>
  </si>
  <si>
    <t>Profesionalaus meno sklaida savivaldybėje</t>
  </si>
  <si>
    <t>Visagino bendruomenėms svarbių datų, sukakčių, profesinių švenčių paminėjimas</t>
  </si>
  <si>
    <t>Tradicinių Visagino savivaldybės festivalių, formuojančių Visagino ir regiono kultūrinį savitumą, organizavimas</t>
  </si>
  <si>
    <t>Valstybės švenčių, sukakčių, įvykių minėjimas, visuomenės pilietiškumo, patriotiškumo ir nacionalinės savivertės stiprinimas</t>
  </si>
  <si>
    <t>Valstybinių švenčių, atmintinų datų paminėjimas</t>
  </si>
  <si>
    <t>Lietuvos Respublikos  Seimo sprendimais minėtinų svarbių datų, įvykių ir asmenybių sukakčių paminėjimas</t>
  </si>
  <si>
    <t>Sociokultūrinių bendruomenės poreikių tenkinimas, laisvalaikio, neformaliojo švietimo programų, kultūrinių edukacijų, ugdančių gyventojų kultūrines kompetencijas ir kūrybiškumą, organizavimas įtraukiant skirtingo amžiaus, pomėgių ir poreikių visuomenės grupes</t>
  </si>
  <si>
    <t>Sociokultūrinių bendruomenės poreikių tenkinimas, laisvalaikio organizavimas</t>
  </si>
  <si>
    <t>Naujamečio laikotarpio priemonių įgyvendinimas</t>
  </si>
  <si>
    <t>Visagino miesto šventės organizavimas</t>
  </si>
  <si>
    <t>188711925</t>
  </si>
  <si>
    <t xml:space="preserve">Visagino viešosios bibliotekos veiklos užtikrinimas </t>
  </si>
  <si>
    <t>Visagino kultūros centro veiklos užtikrinimas</t>
  </si>
  <si>
    <t>Skatinti vietos bendruomenių iniciatyvas</t>
  </si>
  <si>
    <t>Tradicinių religinių bendrijų ir bendruomenių veiklos ir kultūrinių iniciatyvų skatinimas</t>
  </si>
  <si>
    <t>Vietos iniciatyvų projektų savivaldybėje įgyvendinimo skatinimas</t>
  </si>
  <si>
    <t>Dalyvaujamojo biudžeto priemonių įgyvendinimo užtikrinimas</t>
  </si>
  <si>
    <t>Jaunimo politikos įgyvendinimas</t>
  </si>
  <si>
    <t>Atvirą darbą su jaunimu vykdančių organizacijų programų finansavimas</t>
  </si>
  <si>
    <t xml:space="preserve">Jaunimo vasaros užimtumo programos įgyvendinimas </t>
  </si>
  <si>
    <t>Visagino savivaldybės nusikaltimų prevencijos ir kontrolės programos įgyvendinimas</t>
  </si>
  <si>
    <t>Gaisrų prevencijos programos Visagino savivaldybėje įgyvendinimas</t>
  </si>
  <si>
    <t>Užtikrinti efektyvią savivaldybės biudžetinių socialinių paslaugų įstaigų veiklą</t>
  </si>
  <si>
    <t>Socialinių įstaigų veiklos organizavimas</t>
  </si>
  <si>
    <t>Visagino socialinių paslaugų centro veiklos užtikrinimas</t>
  </si>
  <si>
    <t>Visagino šeimos ir vaiko gerovės centro veiklos užtikrinimas</t>
  </si>
  <si>
    <t>Užtikrinti socialinių išmokų ir kompensacijų mokėjimą</t>
  </si>
  <si>
    <t>Išmokų vaikams skyrimas ir administravimas (SADM)</t>
  </si>
  <si>
    <t>Tikslinių kompensacijų mokėjimas ir administravimas</t>
  </si>
  <si>
    <t>Mokesčių už socialiai jautrioms grupėms suteiktas paslaugas kompensavimas</t>
  </si>
  <si>
    <t xml:space="preserve">Socialinės paramos mokiniams išlaidoms už įsigytus produktus skyrimas </t>
  </si>
  <si>
    <t xml:space="preserve">Socialinės paramos mokinio reikmenims įsigyti skyrimas </t>
  </si>
  <si>
    <t xml:space="preserve">Socialinių paslaugų asmenims su sunkia negalia užtikrinimas </t>
  </si>
  <si>
    <t>Gyvenamosios aplinkos pritaikymas neįgaliesiems</t>
  </si>
  <si>
    <t>Vienkartinių, tikslinių, periodinių ir sąlyginių pašalpų gyventojams  teikimas</t>
  </si>
  <si>
    <t>Socialiai pažeidžiamų gyventojų grupių užimtumas, tarpžinybinio bendradarbiavimo skatinimas</t>
  </si>
  <si>
    <t xml:space="preserve">Transporto paslaugų organizavimas </t>
  </si>
  <si>
    <t>Socialinės rizikos židinių formavimosi  mažinimas,  sukuriant saugesnę  ir patogesnę aplinką   asmenims,  gyvenantiems  bendrabučiuose</t>
  </si>
  <si>
    <t xml:space="preserve">Senyvo amžiaus žmonių gyvenimo kokybės stiprinimas </t>
  </si>
  <si>
    <t xml:space="preserve">Pagalba šeimoms, globojančioms vaikus </t>
  </si>
  <si>
    <t>Vienkartinė parama įsteigus šeimyną</t>
  </si>
  <si>
    <t>Lengvatų suteikimas vietinės rinkliavos už komunalinių atliekų surinkimą iš atliekų turėtojų ir atliekų tvarkymą</t>
  </si>
  <si>
    <t>Asmens palaikų, kurių laidojimu privalo rūpintis savivaldybė, pervežimo ir laidojimo kompensavimas</t>
  </si>
  <si>
    <t xml:space="preserve">Būsto nuomos ar išperkamosios būsto nuomos mokesčių dalies kompensacijoms </t>
  </si>
  <si>
    <t>Skatinti socialinių paslaugų plėtrą bendruomenėje</t>
  </si>
  <si>
    <t>Visagino garbės piliečių nuostatuose numatytų teisių įgyvendinimas</t>
  </si>
  <si>
    <t>Asmeninės pagalbos teikimo užtikrinimas</t>
  </si>
  <si>
    <t>Socialinės reabilitacijos paslaugų neįgaliesiems paslaugų teikimo organizavimas</t>
  </si>
  <si>
    <t xml:space="preserve">Vaikų dienos centrų veiklos užtikrinimas </t>
  </si>
  <si>
    <t>Stiprinti ir plėtoti visuomenės sveikatinimo veiklą</t>
  </si>
  <si>
    <t>Savivaldybės visuomenės sveikatos priežiūros rėmimo specialiųjų programų vykdymas</t>
  </si>
  <si>
    <t xml:space="preserve">Dalyvavimas programose, skirtose sveikatai stiprinti </t>
  </si>
  <si>
    <t>Narkotikų, alkoholio ir tabako vartojimo prevencijos ir kontrolės stiprinimas</t>
  </si>
  <si>
    <t>Psichikos sveikatos stiprinimo, psichosocialinės pagalbos ir savižudybių prevencijos intervencijų plėtra</t>
  </si>
  <si>
    <t>Trūkstamų specialybių gydytojų skatinimo dirbti Visagino savivaldybės viešosiose asmens sveikatos priežiūros įstaigose programos įgyvendinimas</t>
  </si>
  <si>
    <t>Remti sveikatos priežiūros paslaugų teikimą nustatytų kategorijų žmonėms</t>
  </si>
  <si>
    <t>Projekto „Rokiškio rajono, Kupiškio rajono ir Visagino savivaldybių mokyklų sveikatos kabinetų atnaujinimas“ įgyvendinimas</t>
  </si>
  <si>
    <t>Užtikrinti Savivaldybės darbuotojų saugą darbe</t>
  </si>
  <si>
    <t>Savivaldybės darbuotojų saugos darbe užtikrinimo programa</t>
  </si>
  <si>
    <t>Mažinti aplinkos užterštumą ir gerinti vandens telkinių, bendro naudojimo ir kitų teritorijų būklę</t>
  </si>
  <si>
    <t>Vietinės rinkliavos už komunalinių atliekų surinkimą administravimas</t>
  </si>
  <si>
    <t>Užterštų teritorijų valymas</t>
  </si>
  <si>
    <t xml:space="preserve">Atliekų tvarkymas ir atliekų tvarkymo infrastruktūros plėtra </t>
  </si>
  <si>
    <t>Želdynų ir želdinių apsaugos tvarkymo, būklės stebėsenos, želdinių kūrimo, veisimo, inventorizacijos priemonių įgyvendinimas</t>
  </si>
  <si>
    <t xml:space="preserve">Tekstilės atliekų surinkimas </t>
  </si>
  <si>
    <t xml:space="preserve">Visuomenės švietimas ir mokymas aplinkosaugos klausimais </t>
  </si>
  <si>
    <t>Atsinaujinančių energijos šaltinių panaudojimo skatinimas, aplinkai palankių technologijų diegimas</t>
  </si>
  <si>
    <t>Aplinkos kokybės gerinimas  ir apsauga</t>
  </si>
  <si>
    <t>Mokestis už paviršinių nuotekų nuotakyno sistemos tvarkymą</t>
  </si>
  <si>
    <t>Triukšmo prevencijos programos įgyvendinimas</t>
  </si>
  <si>
    <t>Išsaugoti, formuoti etalonines kraštovaizdžio teritorijas, gerinti ekologinę būklę gamtinio karkaso teritorijose</t>
  </si>
  <si>
    <t>Projekto  "Dalies kanalizuoto Gulbinės upelio Visagino mieste išlaisvinimas ir žaliosios infrastruktūros elementų kūrimas" įgyvendinimas</t>
  </si>
  <si>
    <t>Bendradarbiavimas su VšĮ „Euroregiono Ežerų kraštas direktorato biuras“</t>
  </si>
  <si>
    <t>Investicijoms pritaikytos verslo ir gamybos pastatų bei žemės infrastruktūros, skatinant apleistų/nenaudojamų/neefektyviai naudojamų teritorijų ir pastatų konversiją ir pritaikymą ekonominei veiklai, sukūrimas</t>
  </si>
  <si>
    <t>Verslo skatinimas ir investicijų pritraukimas</t>
  </si>
  <si>
    <t>Visagino savivaldybės užimtumo didinimo programos įgyvendinimas</t>
  </si>
  <si>
    <t>Pritraukti ES ir kitų fondų lėšas miesto plėtros projektams įgyvendinti</t>
  </si>
  <si>
    <t>Paraiškų parengimas ES struktūrinių fondų paramai gauti ir būtinosios (privalomosios) dokumentacijos prie projektų parengimas</t>
  </si>
  <si>
    <t>Dalyvavimas Utenos regiono plėtros tarybos veikloje</t>
  </si>
  <si>
    <t>Bendradarbiavimo su Visagino technologijų ir verslo profesinio mokymo centru, siekiant pritraukti investuotojus į regioną, užtikrinimas</t>
  </si>
  <si>
    <t>Teritorijų planavimo dokumentų rengimas</t>
  </si>
  <si>
    <t>Žemės sklypų planų (kadastrinių matavimų) rengimas</t>
  </si>
  <si>
    <t>Inovacijų, paremtų technologijų panaudojimu, viešajame ir privačiame sektoriuose skatinimas.</t>
  </si>
  <si>
    <t>Skaitmeninės įmonių plėtros ir neutralios klimatui ekonomikos skatinimas</t>
  </si>
  <si>
    <t>Daugiataučio kultūros paveldo perdavimo per vietos verslo paslaugas rėmimas</t>
  </si>
  <si>
    <t xml:space="preserve">Vandens transporto priemonių nuleidimo vietų įrengimas </t>
  </si>
  <si>
    <t>Miesto kraštovaizdžio formavimas ir įprasminimas</t>
  </si>
  <si>
    <t>Tematinių renginių organizavimas, išnaudojant miesto viešąją infrastruktūrą daugiataučio, kūrybiško, energetikos miesto įvaizdžiui viešinti</t>
  </si>
  <si>
    <t>Ekonomikos ir investicijų augimo skatinimas savivaldybėje, vystant turizmo plėtrą</t>
  </si>
  <si>
    <t>Projekto "Rytų Aukštaitijos miestai ir miesteliai – informavimo apie lankytinas vietas stiprinimas ženklinimo priemonėmis" įgyvendinimas</t>
  </si>
  <si>
    <t xml:space="preserve">Savivaldybės lankomų turistinių objektų priežiūra ir remontas </t>
  </si>
  <si>
    <t xml:space="preserve">Kompensacijų mokėjimas už lengvatinį keleivių vežimą </t>
  </si>
  <si>
    <t>Mokinių pavėžėjimas</t>
  </si>
  <si>
    <t xml:space="preserve">Kelių priežiūros ir plėtros programos priemonių įgyvendinimas </t>
  </si>
  <si>
    <t xml:space="preserve">Elektromobilių įkrovimo prieigų tinklo Visagino mieste   plėtra ir esamo išlaikymas </t>
  </si>
  <si>
    <t>Miesto šaligatvių paprastasis remontas</t>
  </si>
  <si>
    <t>Atnaujinti (rekonstruoti) Visagino viešuosius, ūkinius pastatus</t>
  </si>
  <si>
    <t>Renovuoti ir įrengti automobilių stovėjimo, dviračių ir pėsčiųjų takus, sporto ir laisvalaikio aikšteles</t>
  </si>
  <si>
    <t>Renovuoti ir įrengti dviračių ir pėsčiųjų takus</t>
  </si>
  <si>
    <t>Projektavimo darbų paslaugos ir projektų ekspertizė</t>
  </si>
  <si>
    <t>Prižiūrėti, remontuoti ir įrengti vaikų žaidimų aikšteles savivaldybėje</t>
  </si>
  <si>
    <t>Projekto "Sedulinos alėjos atkarpos nuo Parko g. iki Visagino g. rekonstrukcija" įgyvendinimas</t>
  </si>
  <si>
    <t>Projekto "Jungties nuo geležinkelio stoties iki Visagino miesto centro įrengimas, kartu su etno kultūrų parku įrengimas" įgyvendinimas</t>
  </si>
  <si>
    <t>Remontuoti ir prižiūrėti savivaldybės turtą</t>
  </si>
  <si>
    <t>Pastatų konstrukcijų ir inžinerinių tinklų remontas, avariniai darbai</t>
  </si>
  <si>
    <t>Vykdyti Visagino savivaldybės daugiabučių namų atnaujinimo (modernizavimo) programą</t>
  </si>
  <si>
    <t>Įgyvendinti savivaldybės infrastruktūros plėtros įstatymo nuostatas</t>
  </si>
  <si>
    <t>Visagino savivaldybės infrastruktūros plėtros priemonių plane numatytų priemonių įgyvendinimas</t>
  </si>
  <si>
    <t>Tvarkyti gyvenamąją aplinką, administruoti gatvių apšvietimo paslaugas</t>
  </si>
  <si>
    <t>Visagino miesto teritorijos ribų pažymėjimas, gatvių pavadinimų ir objektų (pastatų) numeracijos ženklinimo darbai</t>
  </si>
  <si>
    <t>Apšvietimo sistemos avarinės būklės ruožų keitimo ir naujų kabelinių linijų nutiesimo darbai</t>
  </si>
  <si>
    <t>Projekto Visagino gatvių apšvietimo sistemos modernizavimas" įgyvendinimas</t>
  </si>
  <si>
    <t>Elektros linijų ir elektros spintų, apskaitos skydų montavimas</t>
  </si>
  <si>
    <t>Pastatų šilumos sistemos ir šilumos mazgų priežiūra ir remontas</t>
  </si>
  <si>
    <t>Požeminių tinklų topografinių planų atnaujinimas Visagino miesto ir savivaldybės teritorijoje</t>
  </si>
  <si>
    <t>Vykdyti kapinių priežiūros darbus</t>
  </si>
  <si>
    <t>Visų kapinių, esančių Visagino savivaldybės teritorijoje,  priežiūros darbai</t>
  </si>
  <si>
    <t>Savivaldybės kaimiškųjų vietovių infrastruktūros tvarkymas</t>
  </si>
  <si>
    <t xml:space="preserve">Plaukti išmokusių  mokinių skaičius, nuo visų Programos dalyvių proc. </t>
  </si>
  <si>
    <t>4</t>
  </si>
  <si>
    <t>35</t>
  </si>
  <si>
    <t>40</t>
  </si>
  <si>
    <t>Metinio renginių plano įgyvendinimas</t>
  </si>
  <si>
    <t>Plėtoti ir tobulinti sporto varžybas ir sporto sveikatingumo renginius siekiant įtraukti vaikus, jaunimą ir kitas gyventojų grupes į sportinę veiklą, rengti sporto specialistus</t>
  </si>
  <si>
    <t>E-03-01-01</t>
  </si>
  <si>
    <t>R-03-01-01-01</t>
  </si>
  <si>
    <t>E-03-01-02</t>
  </si>
  <si>
    <t>R-03-01-02-01</t>
  </si>
  <si>
    <t>R-03-01-02-02</t>
  </si>
  <si>
    <t>R-03-01-02-03</t>
  </si>
  <si>
    <t>6</t>
  </si>
  <si>
    <t>R-03-01-02-04</t>
  </si>
  <si>
    <t>R-03-01-02-06</t>
  </si>
  <si>
    <t>R-03-01-02-08</t>
  </si>
  <si>
    <t>R-04-01-01-01</t>
  </si>
  <si>
    <t>E-04-01-01</t>
  </si>
  <si>
    <t>E-04-02-01</t>
  </si>
  <si>
    <t>R-04-02-01-02</t>
  </si>
  <si>
    <t>R-04-02-01-03</t>
  </si>
  <si>
    <t>R-04-02-01-04</t>
  </si>
  <si>
    <t>E-04-02-02</t>
  </si>
  <si>
    <t>R-04-02-02-01</t>
  </si>
  <si>
    <t>Finansuotų kultūros srityje veikiančių 
įstaigų skaičius</t>
  </si>
  <si>
    <t>Užtikrinti efektyvią kultūros įstaigų veiklą</t>
  </si>
  <si>
    <t>0,2</t>
  </si>
  <si>
    <t>V-04-01-01-02</t>
  </si>
  <si>
    <t>Organizuotų renginių  skaičius</t>
  </si>
  <si>
    <t>8</t>
  </si>
  <si>
    <t>Profesionalaus meno sklaidos renginių skaičius Visagino kultūros centre: - koncertų (klasikinės, džiazo muzikos), - spektaklių, - parodų</t>
  </si>
  <si>
    <t>Organizuota festivalių, formuojančių Visagino ir regiono kultūrinį savitumą</t>
  </si>
  <si>
    <t>Finansuotų/įgyvendintų projektų skaičius</t>
  </si>
  <si>
    <t>Organizuota valstybinių švenčių, svarbių Lietuvai datų minėjimų skaičius</t>
  </si>
  <si>
    <t>R-04-02-01-01</t>
  </si>
  <si>
    <t>R-04-02-02-02</t>
  </si>
  <si>
    <t>R-04-02-02-03</t>
  </si>
  <si>
    <t>R-04-02-02-04</t>
  </si>
  <si>
    <t>R-04-02-02-05</t>
  </si>
  <si>
    <t>R-04-02-03-01</t>
  </si>
  <si>
    <t>R-04-02-03-02</t>
  </si>
  <si>
    <t>R-04-02-04-01</t>
  </si>
  <si>
    <t>R-04-02-04-02</t>
  </si>
  <si>
    <t>R-04-02-04-03</t>
  </si>
  <si>
    <t>300141349</t>
  </si>
  <si>
    <t>300509331</t>
  </si>
  <si>
    <t>Visagino viešosios bibliotekos  ir Visagino kultūros centro veiklos užtikrinimas</t>
  </si>
  <si>
    <t>Įgyvendinant šią priemonę Visagino kultūros centre bus vykdoma profesionalaus meno sklaida, organizuojamos menininkų rezidencijos, organizuojamos parodos.</t>
  </si>
  <si>
    <t>Įgyvendinant šią priemonę bus organizuojami Laisvės gynėjų dienos, Valstybės atkūrimo dienos, Lietuvos nepriklausomybės atkūrimo dienos, Valstybės dienos paminėjimo renginiai.</t>
  </si>
  <si>
    <t>Kt</t>
  </si>
  <si>
    <t>ĮP</t>
  </si>
  <si>
    <t>Savivaldybės administracija</t>
  </si>
  <si>
    <t>Visagino kultūros centras</t>
  </si>
  <si>
    <t>Visagino viešoji biblioteka</t>
  </si>
  <si>
    <t>Visagino kūrybos menų akademija</t>
  </si>
  <si>
    <t>P</t>
  </si>
  <si>
    <t>Užimtumo tarnyboje prie Lietuvos Respublikos socialinės apsaugos ir darbo ministerijos bedarbio statusu registruotų ukrainiečių skaičius</t>
  </si>
  <si>
    <t>0–3 metų vaikai</t>
  </si>
  <si>
    <t>4–6 metų amžiaus vaikai</t>
  </si>
  <si>
    <t>70+ amžiaus asmenys</t>
  </si>
  <si>
    <t>Bendrojo ugdymo įstaigose registruoti mokiniai</t>
  </si>
  <si>
    <t>Bendras asmenų skaičius</t>
  </si>
  <si>
    <t>68</t>
  </si>
  <si>
    <t>25</t>
  </si>
  <si>
    <t>42</t>
  </si>
  <si>
    <t>44</t>
  </si>
  <si>
    <t>82</t>
  </si>
  <si>
    <t>261</t>
  </si>
  <si>
    <t>Paremtų tradicinių religinių bendrijų ir bendruomenių veiklos ir kultūrinių iniciatyvų vietos projektų skaičius</t>
  </si>
  <si>
    <t>3</t>
  </si>
  <si>
    <t>Įgyvendintų dalyvaujamojo biudžeto priemonių skaičius</t>
  </si>
  <si>
    <t>Jaunimo politikos įgyvendinimo srityje organizuotų renginių skaičius</t>
  </si>
  <si>
    <t>Jaunimo vasaros užimtumo programoje dalyvavusių jaunuolių skaičius</t>
  </si>
  <si>
    <t xml:space="preserve">Įgyvendintų priemonių skaičius </t>
  </si>
  <si>
    <t>Iš bendruomenės gautų skundų, susijusių su Lietuvos Respublikos Konstitucijos 29 straipsnio nuostatomis, skaičius</t>
  </si>
  <si>
    <t>R-05-01-01-01</t>
  </si>
  <si>
    <t>R-05-01-01-02</t>
  </si>
  <si>
    <t>R-05-01-01-03</t>
  </si>
  <si>
    <t>R-05-01-01-04</t>
  </si>
  <si>
    <t>R-05-01-01-05</t>
  </si>
  <si>
    <t>E-05-01-01</t>
  </si>
  <si>
    <t>E-05-02-01</t>
  </si>
  <si>
    <t>R-05-02-01-01</t>
  </si>
  <si>
    <t>R-05-02-01-02</t>
  </si>
  <si>
    <t>R-05-02-01-03</t>
  </si>
  <si>
    <t>R-05-02-01-04</t>
  </si>
  <si>
    <t>E-05-03-01</t>
  </si>
  <si>
    <t>R-05-03-01-02</t>
  </si>
  <si>
    <t>R-05-03-01-01</t>
  </si>
  <si>
    <t>R-05-03-01-03</t>
  </si>
  <si>
    <t>R-05-03-01-04</t>
  </si>
  <si>
    <t>E-05-04-01</t>
  </si>
  <si>
    <t>R-05-04-01-01</t>
  </si>
  <si>
    <t>R-05-04-01-02</t>
  </si>
  <si>
    <t>300079075</t>
  </si>
  <si>
    <t>190230824</t>
  </si>
  <si>
    <t>Visagino Atgimimo gimnazija</t>
  </si>
  <si>
    <t>Visagino Draugystės progimnazija</t>
  </si>
  <si>
    <t>Visagino Gerosios vilties progimnazija</t>
  </si>
  <si>
    <t>Visagino Verdenės gimnazija</t>
  </si>
  <si>
    <t>Visagino "Žiburio" pagrindinė mokykla</t>
  </si>
  <si>
    <t>Visagino vaikų l-d Auksinis raktelis</t>
  </si>
  <si>
    <t>Visagino vaikų lopšelis-darželis Kūlverstukas</t>
  </si>
  <si>
    <t>Visagino vaikų l-d Gintarėlis</t>
  </si>
  <si>
    <t>Visagino vaikų l-d "Ąžuoliukas"</t>
  </si>
  <si>
    <t>Visagino L-d Auksinis gaidelis (Vaikystės pedagogikos centras)</t>
  </si>
  <si>
    <t>Šeimos ir vaiko gerovės centras</t>
  </si>
  <si>
    <t>D</t>
  </si>
  <si>
    <t>Iš jų: dotacija iš valstybės biudžeto lėšų, skirtų iš Lietuvos Respublikos Socialinės apsaugos ir darbo ministerijos, skirtų būstų nuomai iš fizinių ir juridinių asmenų apmokėti</t>
  </si>
  <si>
    <t xml:space="preserve">Socialinių paslaugų centras </t>
  </si>
  <si>
    <t>Įgyvendinant šią priemonę gali būti kompensuojama Būsto nuomos ar išperkamosios būsto nuomos mokesčių dalis.</t>
  </si>
  <si>
    <t>Išmokų nedarbingiems neįgaliesiems, auginantiems vaikus iki 18 metų, gavėjų skaičius</t>
  </si>
  <si>
    <t>Socialinių darbuotojų, teikiančių socialinę priežiūrą šeimoms, pareigybių skaičius, vienetai</t>
  </si>
  <si>
    <t>Mokinių, gaunančių nemokamą maitinimą, vidutinis skaičius per mėnesį</t>
  </si>
  <si>
    <t>Mokinių, gaunančių paramą mokinio reikmenims įsigyti, skaičius</t>
  </si>
  <si>
    <t>540</t>
  </si>
  <si>
    <t>Asmenų su sunkia negalia, gaunančių socialinę globą, skaičius</t>
  </si>
  <si>
    <t>7</t>
  </si>
  <si>
    <t>80</t>
  </si>
  <si>
    <t>Neįgaliųjų, kuriems kompensuota dalis mokesčio už komunalines paslaugas, skaičius</t>
  </si>
  <si>
    <t>110</t>
  </si>
  <si>
    <t>Kitą socialinę paramą gavusių asmenų skaičius</t>
  </si>
  <si>
    <t>200</t>
  </si>
  <si>
    <t>Asmenų, gavusių transporto paslaugas, skaičius</t>
  </si>
  <si>
    <t>60</t>
  </si>
  <si>
    <t xml:space="preserve">Suremontuotų bendrabučių patalpų skaičius </t>
  </si>
  <si>
    <t>Paslaugas gavusių senyvo amžiaus žmonių skaičius</t>
  </si>
  <si>
    <t>45</t>
  </si>
  <si>
    <t>170</t>
  </si>
  <si>
    <t>120</t>
  </si>
  <si>
    <t>Asmenų, kurių pervežimu ir palaidojimu pasirūpino savivaldybė, skaičius</t>
  </si>
  <si>
    <t>Asmenų (šeimų), gavusių būsto nuomos mokesčio dalies kompensaciją, skaičius, vienetai</t>
  </si>
  <si>
    <t>Fizinių ar juridinių asmenų, perdavusių savo būstą ar patalpas neatlygintinai naudotis panaudos pagrindais dėl karinių veiksmų iš Ukrainos pasitraukusiems gyventojams skaičius</t>
  </si>
  <si>
    <t>Šeimos gerovę užtikrinančių priemonių skaičius</t>
  </si>
  <si>
    <t>Asmenų, kuriems suteiktas Garbės piliečių vardas, skaičius</t>
  </si>
  <si>
    <t>Asmenų, kuriems suteikta individuali pagalba namuose ir viešojoje aplinkoje, skaičius</t>
  </si>
  <si>
    <t>Integralios pagalbos namuose gavėjų skaičius</t>
  </si>
  <si>
    <t>Veikiančių savarankiško gyvenimo namų  Visagine skaičius</t>
  </si>
  <si>
    <t xml:space="preserve">Įgyvendintų projektų skaičius </t>
  </si>
  <si>
    <t>Globėjų (rūpintojų), kuriems teikiama pagalba, skaičius</t>
  </si>
  <si>
    <t>E-06-01-01</t>
  </si>
  <si>
    <t>R-06-01-01-01</t>
  </si>
  <si>
    <t>R-06-01-02-01</t>
  </si>
  <si>
    <t>R-06-01-02-02</t>
  </si>
  <si>
    <t>R-06-01-02-03</t>
  </si>
  <si>
    <t>R-06-01-02-04</t>
  </si>
  <si>
    <t>R-06-01-02-06</t>
  </si>
  <si>
    <t>R-06-01-02-07</t>
  </si>
  <si>
    <t>R-06-01-02-08</t>
  </si>
  <si>
    <t>R-06-01-02-09</t>
  </si>
  <si>
    <t>R-06-01-02-10</t>
  </si>
  <si>
    <t>R-06-01-02-11</t>
  </si>
  <si>
    <t>R-06-01-03-01</t>
  </si>
  <si>
    <t>R-06-01-03-02</t>
  </si>
  <si>
    <t>R-06-01-03-03</t>
  </si>
  <si>
    <t>R-06-01-03-04</t>
  </si>
  <si>
    <t>R-06-01-03-05</t>
  </si>
  <si>
    <t>R-06-01-03-06</t>
  </si>
  <si>
    <t>R-06-01-03-07</t>
  </si>
  <si>
    <t>R-06-01-03-08</t>
  </si>
  <si>
    <t>R-06-01-03-09</t>
  </si>
  <si>
    <t>R-06-01-03-10</t>
  </si>
  <si>
    <t>R-06-01-03-11</t>
  </si>
  <si>
    <t>R-06-01-03-12</t>
  </si>
  <si>
    <t>R-06-01-03-13</t>
  </si>
  <si>
    <t>R-06-01-03-14</t>
  </si>
  <si>
    <t>R-06-01-03-15</t>
  </si>
  <si>
    <t>R-06-01-03-16</t>
  </si>
  <si>
    <t>R-06-01-03-17</t>
  </si>
  <si>
    <t>R-06-01-03-18</t>
  </si>
  <si>
    <t>R-06-02-01-01</t>
  </si>
  <si>
    <t>R-06-02-01-02</t>
  </si>
  <si>
    <t>R-06-02-01-03</t>
  </si>
  <si>
    <t>R-06-02-01-04</t>
  </si>
  <si>
    <t>R-06-02-01-05</t>
  </si>
  <si>
    <t>R-06-02-01-06</t>
  </si>
  <si>
    <t>R-06-02-01-07</t>
  </si>
  <si>
    <t>R-06-02-01-08</t>
  </si>
  <si>
    <t>R-06-02-01-09</t>
  </si>
  <si>
    <t>R-06-02-01-10</t>
  </si>
  <si>
    <t>R-06-02-01-11</t>
  </si>
  <si>
    <t>R-06-02-01-12</t>
  </si>
  <si>
    <t>R-06-02-01-13</t>
  </si>
  <si>
    <t>R-06-02-01-14</t>
  </si>
  <si>
    <t>AA</t>
  </si>
  <si>
    <t>E-07-01-01</t>
  </si>
  <si>
    <t>R-07-01-01-01</t>
  </si>
  <si>
    <t>R-07-01-01-02</t>
  </si>
  <si>
    <t>R-07-01-01-03</t>
  </si>
  <si>
    <t>R-07-01-01-04</t>
  </si>
  <si>
    <t>R-07-01-01-05</t>
  </si>
  <si>
    <t>R-07-01-01-06</t>
  </si>
  <si>
    <t>R-07-01-01-07</t>
  </si>
  <si>
    <t>R-07-01-01-08</t>
  </si>
  <si>
    <t>R-07-01-01-09</t>
  </si>
  <si>
    <t>R-07-01-01-10</t>
  </si>
  <si>
    <t>R-07-01-01-11</t>
  </si>
  <si>
    <t>R-07-01-02-03</t>
  </si>
  <si>
    <t>R-07-01-02-04</t>
  </si>
  <si>
    <t>E-07-02-03</t>
  </si>
  <si>
    <t>R-07-01-03-01</t>
  </si>
  <si>
    <t>Vykdomų visuomenės sveikatos rėmimo programos priemonių skaičius</t>
  </si>
  <si>
    <t>Įstaigų, dalyvaujančių programose, skirtose sveikatai stiprinti, skaičius</t>
  </si>
  <si>
    <t xml:space="preserve">Suaugusiųjų, kurie savo dabartinę sveikatos būklę vertina kaip gerą arba labai gerą, dalis </t>
  </si>
  <si>
    <t>70,06</t>
  </si>
  <si>
    <t>65</t>
  </si>
  <si>
    <t>14,3</t>
  </si>
  <si>
    <t xml:space="preserve">Atvykusių dirbti gydytojų ar studentų, kuriems apmokėtos studijos, skaičius </t>
  </si>
  <si>
    <t>Atnaujintų savivaldybių mokyklų sveikatos kabinetų skaičius</t>
  </si>
  <si>
    <t>Privalomajame darbuotojų sveikatos tikrinime dalyvavusių Visagino savivaldybės administracijos darbuotojų dalis</t>
  </si>
  <si>
    <t>Sudaryta nepriklausoma Visagino savivaldybės neveiksnių asmenų būklės peržiūrėjimo komisija, kuri peržiūri neveiksnaus asmens būklę, jeigu per vienus metus nuo teismo sprendimo pripažinti asmenį neveiksniu tam tikroje srityje įsiteisėjimo dienos Lietuvos Respublikos civilinio kodekso 2.10 straipsnio 4 dalyje nurodyti asmenys arba neveiksniu tam tikroje srityje pripažintas asmuo nesikreipia dėl teismo priimto sprendimo pripažinti asmenį neveiksniu tam tikroje srityje panaikinimo. Taip pat ši komisija kreipiasi į sprendimą pripažinti asmenį neveiksniu tam tikroje srityje priėmusį teismą dėl teismo sprendimo, kuriuo asmuo pripažintas neveiksniu tam tikroje srityje, peržiūrėjimo.</t>
  </si>
  <si>
    <t>Psichikos sveikatos stiprinimas – vienas iš šios Vyriausybės prioritetų, kuriems skiriamas ypatingas dėmesys, ypač siekiant sumažinti savižudybių skaičių. Visose savivaldybėse teikiamos nemokamos tęstinės psichologinės ir/ar psichoterapinės konsultacijas žmonėms su savižalos rizika. Siekiama, kad bent 10 proc. visų savivaldos gyventojų galėtų gauti ne mažiau kaip 3 nemokamas konsultacijas per metus, o per metus iš viso būtų suteikiama apie 100 tūkst. individualių ir / ar grupinių konsultacijų. Be to, numatyta iš Privalomojo sveikatos draudimo fondo lėšų apmokėti iki 5 tūkstančių asmenų su aukšta savižalos rizika vadybos atvejų kasmet.</t>
  </si>
  <si>
    <t>Ją vykdo Visagino savivaldybės administracija, programos uždaviniai:
•	darbuotojų instruktavimas;
•	darbuotojų medicininė apžiūra;
•	darbuotojų skiepijimas;
•	darbuotojų mokymas;
•	socialinėje srityje dirbančių darbuotojų draudimas.</t>
  </si>
  <si>
    <t>Atliekų, kurių turėtojo nustatyti neįmanoma arba kuris nebeegzistuoja, tvarkymas</t>
  </si>
  <si>
    <t>"Atgimimo gimnazija"</t>
  </si>
  <si>
    <t>"Verdenės" gimnazija</t>
  </si>
  <si>
    <t>"Gerosios vilties" progimnazija</t>
  </si>
  <si>
    <t>"Žiburio" pagrindinė mokykla</t>
  </si>
  <si>
    <t>Lopšelis darželis "Auksinis gaidelis"</t>
  </si>
  <si>
    <t>Lopšelis darželis "Auksinis raktelis"</t>
  </si>
  <si>
    <t>Lopšelis darželis "Ąžuoliukas"</t>
  </si>
  <si>
    <t>Lopšelis-darželis "Gintarėlis"</t>
  </si>
  <si>
    <t>Lopšelis-darželis "Kūlverstukas"</t>
  </si>
  <si>
    <t>Visagino kūrybos ir menų akademija</t>
  </si>
  <si>
    <t>Projektą planuojama įgyvendinti 2021-2027 m. Europos Sąjungos investicijų programos lėšomis. Planuojama, kad šalia Gulbinės upelio bus kuriamas naujas mažaaukštės statybos gyvenamųjų namų kvartalas Visagino mieste, todėl įgyvendinus šį projektą bus sutvarkyta natūrali gamtinė aplinka, sumažintas CO2 kiekis, dėl puvimo proceso užpelkėjusiame slėnyje, mažesnis teritorijos šiukšlinimas, atsiras rekreacinės erdvės. Įgyvendinus projektą savivaldybė išsaugos Visagine mieste esančias natūralias ir pusiau natūralias teritorijas, susistiprins gamtinio karkaso teritorijų ekologinį potencialą, išsaugos  biologinę įvairovę, sumažins ekosistemos degradavimą. 2023-2024 m. planuojamas projektinių dokumentų rengimas</t>
  </si>
  <si>
    <t>R-08-01-01-01</t>
  </si>
  <si>
    <t>E-08-01-01</t>
  </si>
  <si>
    <t>R-08-01-01-02</t>
  </si>
  <si>
    <t>R-08-01-01-03</t>
  </si>
  <si>
    <t>R-08-01-01-04</t>
  </si>
  <si>
    <t>R-08-01-01-05</t>
  </si>
  <si>
    <t>R-08-01-01-06</t>
  </si>
  <si>
    <t>R-08-01-01-07</t>
  </si>
  <si>
    <t>R-08-01-01-08</t>
  </si>
  <si>
    <t>R-08-01-01-09</t>
  </si>
  <si>
    <t>R-08-01-01-10</t>
  </si>
  <si>
    <t>R-08-01-01-11</t>
  </si>
  <si>
    <t>R-08-01-01-12</t>
  </si>
  <si>
    <t>R-08-01-01-13</t>
  </si>
  <si>
    <t>Suteikta finansinė parama miško sklypų savininkams, valdytojams ir naudotojams</t>
  </si>
  <si>
    <t>Įgyvendintų projektų, atsinaujinančių išteklių energijos naudojimo, srityje skaičius</t>
  </si>
  <si>
    <t>R-08-01-01-14</t>
  </si>
  <si>
    <t>E-08-01-02</t>
  </si>
  <si>
    <t>Lėšų už paviršinių nuotekų nuotakyno sistemos tvarkymą panaudojimas</t>
  </si>
  <si>
    <t>R-08-01-02-01</t>
  </si>
  <si>
    <t>99</t>
  </si>
  <si>
    <t>E-08-01-03</t>
  </si>
  <si>
    <t>R-08-01-03-01</t>
  </si>
  <si>
    <t>Programos lėšomis įgyvendintų priemonių, skirtų gyvūnų globai, saugojimui ir populiacijos kontrolei, skaičius</t>
  </si>
  <si>
    <t>E-08-01-04</t>
  </si>
  <si>
    <t>R-08-01-04-01</t>
  </si>
  <si>
    <t>E-08-01-05</t>
  </si>
  <si>
    <t>R-08-01-05-01</t>
  </si>
  <si>
    <t>Projektas "Europe direct Visagino savivaldybėje" apivartynėms lėšoms</t>
  </si>
  <si>
    <t>E-09-01-01</t>
  </si>
  <si>
    <t>R-09-01-01-02</t>
  </si>
  <si>
    <t>R-09-01-01-03</t>
  </si>
  <si>
    <t>R-09-01-01-04</t>
  </si>
  <si>
    <t>R-09-01-01-05</t>
  </si>
  <si>
    <t>R-09-01-01-06</t>
  </si>
  <si>
    <t>R-09-01-01-08</t>
  </si>
  <si>
    <t>R-09-01-01-09</t>
  </si>
  <si>
    <t>E-09-02-01</t>
  </si>
  <si>
    <t>R-09-02-01-01</t>
  </si>
  <si>
    <t>R-09-02-01-02</t>
  </si>
  <si>
    <t>R-09-02-01-03</t>
  </si>
  <si>
    <t>Įsteigtų pramonės parkų (laisvųjų ekonominių zonų) Visagino savivaldybėje skaičius</t>
  </si>
  <si>
    <t>E-09-02-02</t>
  </si>
  <si>
    <t>R-09-02-02-01</t>
  </si>
  <si>
    <t>R-09-02-02-02</t>
  </si>
  <si>
    <t>R-09-02-02-03</t>
  </si>
  <si>
    <t>R-09-02-02-04</t>
  </si>
  <si>
    <t>Parengtų teritorijų planavimo dokumentų skaičius</t>
  </si>
  <si>
    <t>Parengtų žemės sklypų planų (kadastrinių matavimų) skaičius</t>
  </si>
  <si>
    <t xml:space="preserve">Visagino rekreacijos paslaugų centras </t>
  </si>
  <si>
    <t>Renovuoti ir įrengti sporto bei laisvalaikio aikšteles</t>
  </si>
  <si>
    <t>Pastatyta autobusų stotis su turizmo informacijos centru Visagino savivaldybėje</t>
  </si>
  <si>
    <t>Modernizuotų viešųjų pastatų skaičius</t>
  </si>
  <si>
    <t>Įrengtų ir atnaujintų vaikų žaidimų, sporto bei laisvalaikio aikštelių skaičius Visagino savivaldybėje</t>
  </si>
  <si>
    <t>Rekonstruotų pėsčiųjų  alėjų  skaičius</t>
  </si>
  <si>
    <t>Atnaujintų namų skaičius  nuo bendro nerenovuotų daugiabučių namų skaičiaus procentais</t>
  </si>
  <si>
    <t xml:space="preserve">Įrengta gatvių žymėjimo lentelių </t>
  </si>
  <si>
    <t>Įgyvendintų projektų apšvietimo srityje skaičius</t>
  </si>
  <si>
    <t>Sumontuotų elektros linijų ir elektros spintų, apskaitos skydų skaičius</t>
  </si>
  <si>
    <t>Pasirašyta pastatų šilumos sistemos ir šilumos mazgų priežiūros ir remonto sutarčių skaičius</t>
  </si>
  <si>
    <t>Atnaujintų požeminių tinklų topografinių planų skaičius</t>
  </si>
  <si>
    <t xml:space="preserve">Prižiūrimų kapinių skaičius </t>
  </si>
  <si>
    <t>Diegti automatizuotą gyventojų priėmimo viename langelyje prašymų formą</t>
  </si>
  <si>
    <t xml:space="preserve">Įdiegta sistema </t>
  </si>
  <si>
    <t xml:space="preserve">Administracinės naštos mažinimo priemonių planas (1 programos priedas, 01.02.02.02. priemonė) </t>
  </si>
  <si>
    <t xml:space="preserve">Aplinkos tvarkymo skyrius
Viešųjų pirkimų skyrius
Vidaus administravimo ir informacinių technologijų skyrius
</t>
  </si>
  <si>
    <t>Kartą per pusmetį</t>
  </si>
  <si>
    <t>Iki 2024-12-31</t>
  </si>
  <si>
    <t>Iki 2024 m. gegužės 15 d.</t>
  </si>
  <si>
    <t>Ataskaitoje pateikta informacija apie administracinės naštos mažinimo priemonių įgyvendinimą</t>
  </si>
  <si>
    <t>Centralizuotas vidaus audito skyrius 
Vidaus administravimo ir informacinių technologijų skyrius</t>
  </si>
  <si>
    <t>Pateikta informacija</t>
  </si>
  <si>
    <t>Vertinti administracinės naštos mažinimo priemonių plano vykdymą ir pateikti vidaus audito ataskaitą administracijos direktoriui</t>
  </si>
  <si>
    <t>Parengta ataskaita</t>
  </si>
  <si>
    <t>2024-2026 m.</t>
  </si>
  <si>
    <t>R-02-01-01-01</t>
  </si>
  <si>
    <t>R-02-01-01-02</t>
  </si>
  <si>
    <t>R-02-01-02-05</t>
  </si>
  <si>
    <t>R-02-01-02-08</t>
  </si>
  <si>
    <t>R-02-01-02-10</t>
  </si>
  <si>
    <t>E-02-01-03</t>
  </si>
  <si>
    <t>R-02-01-03-01</t>
  </si>
  <si>
    <t>R-02-01-03-02</t>
  </si>
  <si>
    <t>R-02-01-03-04</t>
  </si>
  <si>
    <t>E-02-02-01</t>
  </si>
  <si>
    <t>R-02-02-01-01</t>
  </si>
  <si>
    <t>190230641</t>
  </si>
  <si>
    <t>190230443</t>
  </si>
  <si>
    <t>190231730</t>
  </si>
  <si>
    <t>190231011</t>
  </si>
  <si>
    <t>190230258</t>
  </si>
  <si>
    <t>190243280</t>
  </si>
  <si>
    <t>300135691</t>
  </si>
  <si>
    <t>190243095</t>
  </si>
  <si>
    <t>190243519</t>
  </si>
  <si>
    <t>193170510</t>
  </si>
  <si>
    <t>305632124</t>
  </si>
  <si>
    <t>300665693</t>
  </si>
  <si>
    <t>E-10-01-01</t>
  </si>
  <si>
    <t>R-10-01-01-01</t>
  </si>
  <si>
    <t>R-10-01-01-02</t>
  </si>
  <si>
    <t>R-10-01-01-03</t>
  </si>
  <si>
    <t>R-10-01-01-04</t>
  </si>
  <si>
    <t>R-10-01-02-01</t>
  </si>
  <si>
    <t>R-10-01-02-04</t>
  </si>
  <si>
    <t>R-10-01-02-06</t>
  </si>
  <si>
    <t>R-10-01-02-08</t>
  </si>
  <si>
    <t>R-10-01-02-09</t>
  </si>
  <si>
    <t>R-10-01-02-10</t>
  </si>
  <si>
    <t>R-10-01-02-11</t>
  </si>
  <si>
    <t>R-10-01-02-14</t>
  </si>
  <si>
    <t>E-10-02-03</t>
  </si>
  <si>
    <t>R-10-02-03-01</t>
  </si>
  <si>
    <t>R-10-02-03-03</t>
  </si>
  <si>
    <t>R-10-02-03-09</t>
  </si>
  <si>
    <t>R-10-02-03-11</t>
  </si>
  <si>
    <t>R-10-02-04-01</t>
  </si>
  <si>
    <t>R-10-02-04-02</t>
  </si>
  <si>
    <t>R-10-02-04-03</t>
  </si>
  <si>
    <t>R-10-02-04-04</t>
  </si>
  <si>
    <t>R-10-02-04-06</t>
  </si>
  <si>
    <t>R-10-02-04-07</t>
  </si>
  <si>
    <t>R-10-02-04-08</t>
  </si>
  <si>
    <t>E-10-02-05</t>
  </si>
  <si>
    <t>R-10-02-05-01</t>
  </si>
  <si>
    <t>R-10-02-06-01</t>
  </si>
  <si>
    <t>E-10-02-06</t>
  </si>
  <si>
    <t>E-10-02-07</t>
  </si>
  <si>
    <t>R-10-02-07-01</t>
  </si>
  <si>
    <t>E-10-03-01</t>
  </si>
  <si>
    <t>R-10-03-01-01</t>
  </si>
  <si>
    <t>R-10-03-01-03</t>
  </si>
  <si>
    <t>R-10-03-01-04</t>
  </si>
  <si>
    <t>R-10-03-01-05</t>
  </si>
  <si>
    <t>R-10-03-01-06</t>
  </si>
  <si>
    <t>R-10-03-01-07</t>
  </si>
  <si>
    <t>R-10-03-01-09</t>
  </si>
  <si>
    <t>R-10-03-01-10</t>
  </si>
  <si>
    <t>E-10-03-02</t>
  </si>
  <si>
    <t>R-10-03-02-03</t>
  </si>
  <si>
    <t>R-10-03-02-04</t>
  </si>
  <si>
    <t>E-10-03-03</t>
  </si>
  <si>
    <t>R-10-03-03-01</t>
  </si>
  <si>
    <t>E-10-03-04</t>
  </si>
  <si>
    <t>R-10-03-04-01</t>
  </si>
  <si>
    <t>E-10-03-05</t>
  </si>
  <si>
    <t>R-10-03-05-01</t>
  </si>
  <si>
    <t>2024 m. priemonės įgyvendintos 100 proc.</t>
  </si>
  <si>
    <t>Savivaldybės valdomos įmonės ar 
viešosios įstaigos pavadinimas</t>
  </si>
  <si>
    <t>Viešųjų įstaigų planuojami pasiekti pagrindiniai veiklos rodikliai ir jų reikšmės</t>
  </si>
  <si>
    <t>VšĮ Visagino graikų-romėnų imtynių centro</t>
  </si>
  <si>
    <t>Savivaldybės valdomų įmonių planuojami pasiekti pagrindiniai veiklos rodikliai ir jų reikšmės</t>
  </si>
  <si>
    <t>Įgyvendintų priemonių skaičius</t>
  </si>
  <si>
    <t>95</t>
  </si>
  <si>
    <t>Vietinės rinkliavos už komunalinių atliekų surinkimo dalis nuo apskaičiuotos, proc.</t>
  </si>
  <si>
    <t>2000</t>
  </si>
  <si>
    <t>3000</t>
  </si>
  <si>
    <t xml:space="preserve">Taip </t>
  </si>
  <si>
    <t>Taip</t>
  </si>
  <si>
    <t>Įgyvendintos Lietuvos Respublikos geriamojo vandens tiekimo ir nuotekų tvarkymo įstatymo nuostatos</t>
  </si>
  <si>
    <t>Įgyvendintos Lietuvos Respublikos triukšmo valdymo įstatymo nuostatos</t>
  </si>
  <si>
    <t xml:space="preserve">Įgyvendintos  Lietuvos Respublikos gyvūnų gerovės ir apsaugos įstatymo nuostatos </t>
  </si>
  <si>
    <t xml:space="preserve">Sutvarkytų teritorijų skaičius, ha </t>
  </si>
  <si>
    <t>Įgyvendinti Lietuvos Respublikos triukšmo valdymo įstatymo nuostatas</t>
  </si>
  <si>
    <t>Įgyvendinti Lietuvos Respublikos geriamojo vandens tiekimo ir nuotekų tvarkymo įstatymo nuostatas</t>
  </si>
  <si>
    <t xml:space="preserve">Įgyvendinti Lietuvos Respublikos jaunimo politikos pagrindų įstatymo nuostatas </t>
  </si>
  <si>
    <t>Veikiančių jaunimo atvirų erdvių, jaunimo centrų skaičius (vnt.)</t>
  </si>
  <si>
    <t>Teikti institucinę paramą įstaigoms, vykdančioms atvirąjį darbą su jaunimu, siekiant skatinti atviro darbo su jaunimu formų ir įvairovės plėtrą, ypatingą dėmesį skiriant iš švietimo sistemos iškritusiam, nedirbančiam ir perkvalifikavimo programose nedalyvaujančiam jaunimui. Projektų konkursų  finansavimo sąlygų aprašas tvirtinamas teisės aktų nustatyta tvarka.</t>
  </si>
  <si>
    <t xml:space="preserve">Įgyvendintų įvairių formų viešosios komunikacijos priemonių skaičius </t>
  </si>
  <si>
    <t>1328</t>
  </si>
  <si>
    <t>4.</t>
  </si>
  <si>
    <t>Valdymo tobulinimo 
programa (01)</t>
  </si>
  <si>
    <t xml:space="preserve">Patenkintų paraiškų proc. nuo visų gautų paraiškų </t>
  </si>
  <si>
    <t>97</t>
  </si>
  <si>
    <t>52</t>
  </si>
  <si>
    <t>Veikiančių elektromobilių greitojo įkrovimo prieigų skaičius</t>
  </si>
  <si>
    <t>Įrengta automobilių stovėjimo aikštelė</t>
  </si>
  <si>
    <t>Visagino savivaldybės administracijos valdomų pastatų šilumos sistemų ir šilumos punktų priežiūra bei remontas  pagal Šilumos tinklų ir šilumos vartojimo įrenginių priežiūros (eksploatavimo) taisyklių reikalavimus</t>
  </si>
  <si>
    <t>E-10-01-02</t>
  </si>
  <si>
    <t>9</t>
  </si>
  <si>
    <t xml:space="preserve">Profesionalaus meno sklaidos renginiuose  dalyvavusių asmenų skaičius </t>
  </si>
  <si>
    <t xml:space="preserve">Antikorupcinio švietimo renginiuose dalyvavusių asmenų skaičius </t>
  </si>
  <si>
    <t>3600</t>
  </si>
  <si>
    <t>3500</t>
  </si>
  <si>
    <t>580</t>
  </si>
  <si>
    <t>Nepasiturintiems savivaldybės gyventojams vadovaujantis Lietuvos Respublikos piniginės socialinės paramos nepasiturintiems gyventojams įstatymu – skiriama ir mokama socialinė pašalpa, kai suaugę asmenys yra išnaudoję visas kitų pajamų gavimo galimybes bei kompensuojamos būsto šildymo, geriamojo vandens ir karšto vandens išlaidos.
Vadovaujantis Lietuvos Respublikos paramos mirties atveju įstatymu mirus asmeniui mokama  laidojimo pašalpa bei parama palaikams parvežti, kuris yra lygi faktinėms palaikų parvežimo į Lietuvos Respubliką išlaidoms, bet neturi viršyti nustatyto dydžio.</t>
  </si>
  <si>
    <t>Socialinę priežiūrą šeimoms  teikia atvejo vadybininkai, socialiniai darbuotojai ir  individualios priežiūros darbuotojai.</t>
  </si>
  <si>
    <t>Vadovaujantis Lietuvos Respublikos socialinės paramos mokiniams įstatymu, mokiniams, kurių vidutinės bendrai gyvenančių asmenų pajamos vienam asmeniui per mėnesį mažesnės kaip 1,5 VRP, išimties atvejais mažesnės kaip 2 arba 2,5 VRP, skiriama 2 BSI dydžio parama mokinio reikmenims įsigyti.</t>
  </si>
  <si>
    <t>107</t>
  </si>
  <si>
    <t>Visagino savivaldybės taryba 2017 m. gegužės 31 d. sprendimu Nr. TS-96 patvirtino Asmens palaikų laidojimo iš Visagino savivaldybės biudžeto lėšų tvarkos aprašą ir 2019 m. gruodžio 19 d. sprendimu Nr. TS-297 Žmogaus palaikų gabenimo, saugojimo ir nenustatytos tapatybės žmogaus palaikų laidojimo organizavimo Visagino savivaldybėje tvarkos aprašą. Vadovaujantis šių aprašų nuostatomis Visagino savivaldybės administracija organizuoja ir apmoka mirusiųjų vežimą į  teismo medicinos ekspertizę bei atskirais atvejais ir už palaikų laidojimą.</t>
  </si>
  <si>
    <t>Ši priemonė įgyvendinama vadovaujantis Lietuvos Respublikos socialinės integracijos įstatymo 25 (1) straipsnio 4 punktu, kuris numato, kad „už asmeninės pagalbos teikimo organizavimą ir jos kokybės užtikrinimą atsako savivaldybių institucijos“.Įgyvendinant šią priemonę, asmenims, kuriems Lietuvos Respublikos neįgaliųjų socialinės integracijos įstatymo nustatyta tvarka nustatytas neįgalumo lygis arba 55 procentų ir mažesnis darbingumo lygis, arba specialiųjų poreikių lygis, teisės aktų nustatyta tvarka nustačius asmeninės pagalbos poreikį, teikiama individuali pagalba namuose ir viešojoje aplinkoje (palydint ir komunikuojant), kuri padės jam gyventi savarankiškai ir veikti visose gyvenimo srityse.</t>
  </si>
  <si>
    <t>Užtikrinant vaikams, augantiems socialinę riziką patiriančiose šeimose, socialinių paslaugų teikimą teikiamos socialinės priežiūros paslaugos vaikų dienos centruose. Visagino savivaldybėje veikia 3 vaikų dienos centrai, kuriuose įsteigta po 25 vietas.</t>
  </si>
  <si>
    <t>6000</t>
  </si>
  <si>
    <t>5500</t>
  </si>
  <si>
    <t>5000</t>
  </si>
  <si>
    <t xml:space="preserve">Mažas pajamas turinčių šeimų, gaunančių būsto šildymo išlaidų ir išlaidų karštam vandeniui kompensacijas, skaičius   </t>
  </si>
  <si>
    <t>Socialinių išmokų ir kompensacijų skyrimas, mokėjimas ir administravimas</t>
  </si>
  <si>
    <t>90</t>
  </si>
  <si>
    <t>Vaikų skaičius (VSPC)</t>
  </si>
  <si>
    <t xml:space="preserve">Klientų skaičius </t>
  </si>
  <si>
    <t>26</t>
  </si>
  <si>
    <t>Teikiamų socialinių paslaugų rūšių (bendrųjų socialinių paslaugų, socialinės priežiūros paslaugų, socialinės globos paslaugų ir kt. ) skaičius (vnt.)</t>
  </si>
  <si>
    <t>Socialinės paramos gyventojams teikimo laiku užtikrinimas</t>
  </si>
  <si>
    <t>E-06-02-01</t>
  </si>
  <si>
    <t>suagusių neįgalijų</t>
  </si>
  <si>
    <t>baseinas</t>
  </si>
  <si>
    <t>NVŠ</t>
  </si>
  <si>
    <t xml:space="preserve">Paslaugų intelekto ir (ar) psichikos negalią turintiems asmenims vietų skaičius naujoje ar modernizuotoje infrastruktūroje, skaičius </t>
  </si>
  <si>
    <t>46</t>
  </si>
  <si>
    <t>Naujų arba modernizuotų socialinių būstų talpumas, asmenys</t>
  </si>
  <si>
    <t>75</t>
  </si>
  <si>
    <t xml:space="preserve">Naujų arba modernizuotų socialinių būstų naudotojų skaičius per metus, asmenys </t>
  </si>
  <si>
    <t>R-10-02-05-02</t>
  </si>
  <si>
    <t>Surinktos atskirai išrūšiuotos atliekos, tonos per metus</t>
  </si>
  <si>
    <t>Įgyvendintos viešinimo kampanijos atliekų prevencijos ir tvarkymo temomis, skaičius</t>
  </si>
  <si>
    <t>R-08-01-01-15</t>
  </si>
  <si>
    <t>MK</t>
  </si>
  <si>
    <t xml:space="preserve">Švietimo pagalbos tarnyba </t>
  </si>
  <si>
    <t>E-02-01-01</t>
  </si>
  <si>
    <t>Formaliojo ir neformaliojo švietimo paslaugų teikėjų (įstaigų, organizacijų, fizinių asmenų) skaičius</t>
  </si>
  <si>
    <t>Mokinių skaičius bendrojo ugdymo (toliau – BU) mokyklose</t>
  </si>
  <si>
    <t>Mokinių skaičius ikimokyklinio ugdymo įstaigose</t>
  </si>
  <si>
    <t>Mokinių skaičius neformaliojo švietimo įstaigose</t>
  </si>
  <si>
    <t>Ikimokykliniame ir priešmokykliniame ugdyme dalyvaujančių 3–5 metų vaikų dalis</t>
  </si>
  <si>
    <t>Savivaldybės mokyklose ugdomų 3–5 metų vaikų, kurių deklaruota gyvenamoji vieta kitoje savivaldybėje, dalis</t>
  </si>
  <si>
    <t>Neformaliojo švietimo programų teikėjų skaičius savivaldybėje</t>
  </si>
  <si>
    <t>Vienai sąlyginei mokytojo pareigybei tenkančių mokinių skaičius BU mokyklose</t>
  </si>
  <si>
    <t>Bendrojo ugdymo mokyklų 1–8 klasių komplektų, kurie yra jungtiniai, dalis (neįskaičiuojant specialiųjų klasių / grupių)</t>
  </si>
  <si>
    <t>Bendrojo ugdymo mokyklų klasių komplektų, kuriuose yra mažiau kaip 8 mokiniai, dalis (neįskaičiuojant specialiųjų klasių / grupių)</t>
  </si>
  <si>
    <t>Naujai komplektuojamų priešmokyklinio ugdymo grupių, kuriose yra ne daugiau kaip 20 mokinių, dalis (neįskaičiuojant specialiųjų klasių / grupių)</t>
  </si>
  <si>
    <t>Naujai komplektuojamų bendrojo ugdymo mokyklų bendrosios paskirties 1 klasių komplektų, kuriuose yra ne daugiau kaip 24 mokiniai, dalis (neįskaičiuojant specialiųjų klasių / grupių) nuo bendro visų klasių / grupių skaičiaus</t>
  </si>
  <si>
    <t>bendrojo ugdymo mokyklose</t>
  </si>
  <si>
    <t>ikimokyklinio ugdymo įstaigose</t>
  </si>
  <si>
    <t>neformalaus švietimo įstaigose</t>
  </si>
  <si>
    <t>Rodiklio pavadinimas</t>
  </si>
  <si>
    <t>Duomenų teikimo data</t>
  </si>
  <si>
    <t>Duomenų šaltinis</t>
  </si>
  <si>
    <t>Demografiniai rodikliai</t>
  </si>
  <si>
    <t>Gimimų skaičius Visagino savivaldybėje (skaičiuojant tik gimusius Lietuvoje)</t>
  </si>
  <si>
    <t>Sausio 1 d.</t>
  </si>
  <si>
    <t>Skaičius</t>
  </si>
  <si>
    <t>Socialiniai rodikliai</t>
  </si>
  <si>
    <t>2.1.</t>
  </si>
  <si>
    <t>Socialinės rizikos šeimų, auginančių vaikus, skaičius</t>
  </si>
  <si>
    <t>Spalio 1 d.</t>
  </si>
  <si>
    <t>Socialinės paramos skyrius</t>
  </si>
  <si>
    <t>2.2.</t>
  </si>
  <si>
    <t>Vaikų, augančių socialinės rizikos šeimose, skaičius</t>
  </si>
  <si>
    <t>2.3.</t>
  </si>
  <si>
    <t>Vaikų, gaunančių nemokamą maitinimą, skaičius</t>
  </si>
  <si>
    <t>2.4.</t>
  </si>
  <si>
    <t>Pavežamų bendrojo ugdymo mokyklų mokinių skaičius</t>
  </si>
  <si>
    <t>Vietinio ūkio valdymo ir statybos skyrius</t>
  </si>
  <si>
    <t>Švietimo aplinkos rodikliai</t>
  </si>
  <si>
    <t>3.1.</t>
  </si>
  <si>
    <t>Rugsėjo 1 d.</t>
  </si>
  <si>
    <t>Švietimo ir mokslo institucijų registras (toliau – ŠMIR)</t>
  </si>
  <si>
    <t>3.2.</t>
  </si>
  <si>
    <t>ŠMIR</t>
  </si>
  <si>
    <t>3.3.</t>
  </si>
  <si>
    <t>Švietimo valdymo informacinė sistema (toliau – ŠVIS)</t>
  </si>
  <si>
    <t>3.4.</t>
  </si>
  <si>
    <t>ŠVIS</t>
  </si>
  <si>
    <t>3.5.</t>
  </si>
  <si>
    <t>ŠVIS, Mokinių registras (toliau – MR)</t>
  </si>
  <si>
    <t>3.6.</t>
  </si>
  <si>
    <t>ŠVIS, Pedagogų registras (toliau – PR)</t>
  </si>
  <si>
    <t>3.7.</t>
  </si>
  <si>
    <t>Procentai</t>
  </si>
  <si>
    <t>3.8.</t>
  </si>
  <si>
    <t>3.9.</t>
  </si>
  <si>
    <t>3.10.</t>
  </si>
  <si>
    <t>Personalo rodikliai</t>
  </si>
  <si>
    <t>4.1.</t>
  </si>
  <si>
    <t>Pedagogų registras, ŠVIS</t>
  </si>
  <si>
    <t>4.1.1.</t>
  </si>
  <si>
    <t>4.1.2.</t>
  </si>
  <si>
    <t>4.1.3.</t>
  </si>
  <si>
    <t>4.2.</t>
  </si>
  <si>
    <t>Daugiau kaip 2 metų pedagoginio darbo stažą turinčių darbuotojų dalis</t>
  </si>
  <si>
    <t>4.2.1.</t>
  </si>
  <si>
    <t>4.2.2.</t>
  </si>
  <si>
    <t>4.2.3.</t>
  </si>
  <si>
    <t>4.3.</t>
  </si>
  <si>
    <t>Švietimo įstaigų, kuriose nėra nuolatinio vadovo daugiau kaip 12 mėnesių, dalis nuo bendro švietimo įstaigų skaičiaus</t>
  </si>
  <si>
    <t>4.4.</t>
  </si>
  <si>
    <t>PR, Finansų ir biudžeto skyrius</t>
  </si>
  <si>
    <t>Ikimokyklinio ugdymo rodikliai</t>
  </si>
  <si>
    <t>5.1.</t>
  </si>
  <si>
    <t>5.2.</t>
  </si>
  <si>
    <t>5.3.</t>
  </si>
  <si>
    <t>Pagalbos mokiniui teikimo rodikliai</t>
  </si>
  <si>
    <t>6.1.</t>
  </si>
  <si>
    <t>6.2.</t>
  </si>
  <si>
    <t>6.3.</t>
  </si>
  <si>
    <t>Mokinių registras</t>
  </si>
  <si>
    <t>6.4.</t>
  </si>
  <si>
    <t>Mokinių, turinčių specialiųjų ugdymosi poreikių,  ugdomų integruotai bendrosios paskirties mokyklose, dalis</t>
  </si>
  <si>
    <t>6.5.</t>
  </si>
  <si>
    <t>Negalią turinčių mokinių dalis nuo mokinių, turinčių specialiųjų ugdymosi poreikių, ugdomų integruotai bendrosios paskirties mokyklose</t>
  </si>
  <si>
    <t>Neformalaus švietimo ir vaikų vasaros užimtumo rodikliai</t>
  </si>
  <si>
    <t>7.1.</t>
  </si>
  <si>
    <t>Neformaliojo švietimo veikloje dalyvaujančių mokinių dalis</t>
  </si>
  <si>
    <t>Mokinių registras; ŠVIS</t>
  </si>
  <si>
    <t>7.2.</t>
  </si>
  <si>
    <t>Bent vienoje neformalaus švietimo programoje dalyvaujančių bendrojo ugdymo mokyklų mokinių skaičius</t>
  </si>
  <si>
    <t>7.3.</t>
  </si>
  <si>
    <t>Bent vienoje NVŠ tikslinio finansavimo (valstybės biudžeto lėšų) programoje dalyvaujančių BU mokyklų mokinių skaičius</t>
  </si>
  <si>
    <t>Mokinių registras NVŠ finansavimo sritis</t>
  </si>
  <si>
    <t>7.4.</t>
  </si>
  <si>
    <t>Programų, įgyvendintų organizuojant vaikų vasaros poilsį, skaičius</t>
  </si>
  <si>
    <t>Administracijos direktoriaus įsakymu patvirtintas programų sąrašas; Mokinių registras; programų vykdytojų ataskaitos</t>
  </si>
  <si>
    <t>7.5.</t>
  </si>
  <si>
    <t>Mokinių, dalyvavusių vaikų vasaros poilsio programose, skaičius</t>
  </si>
  <si>
    <t>Švietimo rezultatų rodikliai</t>
  </si>
  <si>
    <t>8.1.</t>
  </si>
  <si>
    <t>Pagrindinio ugdymo pasiekimų patikrinimo metu bent pagrindinį mokymosi pasiekimų lygį pasiekusių mokinių dalis (lietuvių kalba, matematika)</t>
  </si>
  <si>
    <t>Švietimo duomenų perdavimo sistema (toliau – KELTAS)</t>
  </si>
  <si>
    <t>8.2.</t>
  </si>
  <si>
    <t>Tris ir daugiau valstybinių brandos egzaminų išlaikiusių abiturientų dalis</t>
  </si>
  <si>
    <t>KELTAS</t>
  </si>
  <si>
    <t>Švietimo pagalbos specialistų, tenkančių 100-ui bendrojo ugdymo mokyklų mokinių</t>
  </si>
  <si>
    <t>E-02-01-02</t>
  </si>
  <si>
    <t>P-02-01-03-03</t>
  </si>
  <si>
    <t>Naujos arba modernizuotos švietimo infrastruktūros mokymo klasių talpumas, asmenys</t>
  </si>
  <si>
    <t>Naujos arba modernizuotos švietimo infrastruktūros naudotojų skaičius per metus</t>
  </si>
  <si>
    <t>Naujos arba modernizuotos švietimo infrastruktūros mokymo klasių talpumas, skaičius</t>
  </si>
  <si>
    <t xml:space="preserve">Rinkinių, eksponatų skaičiaus muziejaus fonde didėjimas, lyginant su praėjusiais metais, proc. </t>
  </si>
  <si>
    <t xml:space="preserve">Liaudies dainų kolektyvų koncertas, vainikų pynimo edukacija. Tradicijų išlaikimas ir informavimas, skirta šeimoms (T) </t>
  </si>
  <si>
    <t>Velykinių kompozicijų kūrimas, dirbtuvių organizavimas suaugusiems (T), Tarptautinė vaikų gynimo diena, kūribinės dirbtuvės šeimoms (T)</t>
  </si>
  <si>
    <t>Įgyvendinant šią priemonę administruojamas Visagino savivaldybės  nematerialaus kultūros paveldo vertybių sisteminis sąrašas su surinktais ir nuolat atnaujinamais dabarties ir praeities duomenimis: aprašymais, vaizdo ir garso medžiaga. Organizuojama nematerialaus kultūros paveldo sklaida, inicijuojami projektai, bendradarbiavimas.</t>
  </si>
  <si>
    <t>Įgyvendinant šią priemonę bus organizuojami Gatvės muzikos dienos renginiai, susitikimai su vaikų rašytojais, Poezijos šventė, Kultūros nakties renginiai, kiti renginiai pagal poreikį.</t>
  </si>
  <si>
    <t>Fizinio aktyvumo ir sporto 
plėtros programa (03)</t>
  </si>
  <si>
    <t>Gyventojų kultūrinio aktyvumo skatinimo ir identiteto stiprinimo programa (04)</t>
  </si>
  <si>
    <t>Bendruomeniškumo 
skatinimo programa (05)</t>
  </si>
  <si>
    <t>Socialinės paramos programa (06)</t>
  </si>
  <si>
    <t>Sveikatos apsaugos paslaugų kokybės gerinimo programa (07)</t>
  </si>
  <si>
    <t>Aplinkos apsaugos programa (08)</t>
  </si>
  <si>
    <t>Ekonominės plėtros programa (09)</t>
  </si>
  <si>
    <t>Viešosios infrastruktūros 
programa (10)</t>
  </si>
  <si>
    <t>Gerinti  teikiamų paslaugų kokybę, didinti jų prieinamumą ir patrauklumą, tinkamai organizuojant savivaldybės administravimo subjektams  priskirtų funkcijų įgyvendinimą</t>
  </si>
  <si>
    <t>31</t>
  </si>
  <si>
    <t>32</t>
  </si>
  <si>
    <t>66</t>
  </si>
  <si>
    <t>627</t>
  </si>
  <si>
    <t>628</t>
  </si>
  <si>
    <t>4,7</t>
  </si>
  <si>
    <t>4,6</t>
  </si>
  <si>
    <t>4,5</t>
  </si>
  <si>
    <t>Panaudota dotacijos dalis nuo visų savivaldybei priskirtų archyvinių dokumentų tvarkymo funkcijai atlikti skirtų asignavimų dalies (procentai)</t>
  </si>
  <si>
    <t>Panaudota dotacijos dalis, nuo visų socialinių išmokų ir kompensacijų administravimui numatytų lėšų, procentai</t>
  </si>
  <si>
    <t>Pateikta duomenų Suteiktos valstybės
pagalbos registrui (proc. registre
įregistruotos valstybės ir nereikšmingos pagalbos nuo visos suteiktos valstybės ir nereikšmingos pagalbos)</t>
  </si>
  <si>
    <t>Panaudota dotacijos dalis, nuo visų socialinės paramos mokiniams administravimui numatytų lėšų procentais</t>
  </si>
  <si>
    <t>Panaudota dotacijos dalis, nuo visų socialinės paramos administravimui (socialinei globai asmenims su sunkia negalia) numatytų lėšų procentais</t>
  </si>
  <si>
    <t>Panaudota dotacijos dalis, nuo visų būsto nuomos ir išperkamosios būsto nuomos mokesčių dalies kompensacijų administravimui numatytų lėšų procentais</t>
  </si>
  <si>
    <t>86</t>
  </si>
  <si>
    <t>87</t>
  </si>
  <si>
    <t>Panaudota dotacijos dalis, nuo visų Visagino savivaldybės užimtumo didinimo programos administravimui numatytų lėšų, procentai</t>
  </si>
  <si>
    <t>Suderintų į savivaldybės erdvinių duomenų rinkinį integruotų planų skaičius, vnt.</t>
  </si>
  <si>
    <t>Perduota Aplinkos ministerijai</t>
  </si>
  <si>
    <t>Finansuotų tarpinstitucinio bendradarbiavimo
koordinatorių pareigybių skaičius savivaldybėse (vienetai)</t>
  </si>
  <si>
    <t>Savivaldybės pasirengimo reaguoti į ekstremalias situacijas lygis, ne žemesnis kaip, proc.</t>
  </si>
  <si>
    <t>Panaudotos mero rezervo lėšos esant poreikiui, nuo planuotų panaudoti, procentai</t>
  </si>
  <si>
    <t xml:space="preserve">Užtikrintas </t>
  </si>
  <si>
    <t>Užtikrintas</t>
  </si>
  <si>
    <t>E-01-01-05</t>
  </si>
  <si>
    <t>Savivaldybės administracinių paslaugų, 
teikiamų elektroniniu būdu ne žemesniu kaip 4 brandos lygiu, dalis nuo visų savivaldybės teikiamų administracinių paslaugų (proc.)</t>
  </si>
  <si>
    <t>Parengtų ir viešinamų strateginių dokumentų  skaičius</t>
  </si>
  <si>
    <t>Įgyvendinant šią priemonę  numatoma reprezentuoti savivaldybę įvairiuose renginiuose bei parodose, įvairių renginių metu.</t>
  </si>
  <si>
    <t xml:space="preserve">9 programa </t>
  </si>
  <si>
    <t>Programos uždavinio, 
priemonės kodas ir požymis</t>
  </si>
  <si>
    <t>Uždavinio, priemonės pavadinimas, finansavimo šaltiniai</t>
  </si>
  <si>
    <t>01.01.01. (T)</t>
  </si>
  <si>
    <t>01.01.01.01 (TP)</t>
  </si>
  <si>
    <t>01.01.01.02 (TP)</t>
  </si>
  <si>
    <t>01.01.01.03 (TP)</t>
  </si>
  <si>
    <t>01.01.01.04 (TP)</t>
  </si>
  <si>
    <t>01.01.02.01 (TP)</t>
  </si>
  <si>
    <t>01.01.02 (T)</t>
  </si>
  <si>
    <t>01.01.03 (T)</t>
  </si>
  <si>
    <t>01.01.04. (T)</t>
  </si>
  <si>
    <t>01.01.05. (T)</t>
  </si>
  <si>
    <t>01.02.02. (T)</t>
  </si>
  <si>
    <t>01.02.03. (T)</t>
  </si>
  <si>
    <t>01.02.04. (T)</t>
  </si>
  <si>
    <t>Iš jo:
1.1. savivaldybės biudžeto lėšos (nuosavos, be ankstesnių metų likučio)</t>
  </si>
  <si>
    <t>Iš jų: regioninių pažangos priemonių lėšos</t>
  </si>
  <si>
    <t>2025 m. asignavimai ir kitos lėšos, tūkst. Eur</t>
  </si>
  <si>
    <t>2024  m.asignavimai ir kitos lėšos, tūkst. Eur</t>
  </si>
  <si>
    <t>2026 m.asignavimai ir kitos lėšos, tūkst. Eur</t>
  </si>
  <si>
    <t>Savivaldybės strateginio plėtros plano priemonės kodas</t>
  </si>
  <si>
    <t>Užtikrinti efektyvų savivaldybei nuosavybės teise priklausančio nekilnojamojo  turto naudojimą, įmonių bei įstaigų valdymą</t>
  </si>
  <si>
    <t xml:space="preserve">Priimtų teisės aktų skaičius </t>
  </si>
  <si>
    <t>360</t>
  </si>
  <si>
    <t>Įdiegtų arba atnaujintų informacinių technologijų sistemų skaičius</t>
  </si>
  <si>
    <t>Pasirašytų naujų  tarptautinio bendradarbiavimo sutarčių skaičius</t>
  </si>
  <si>
    <t>02.01.01.01. (TP)</t>
  </si>
  <si>
    <t>02.01.01.02. (TP)</t>
  </si>
  <si>
    <t>02.01.02.01. (TP)</t>
  </si>
  <si>
    <t>02.01.02.02. (TP)</t>
  </si>
  <si>
    <t>02.01.02.03. (TP)</t>
  </si>
  <si>
    <t>02.01.02.04. (TP)</t>
  </si>
  <si>
    <t>02.01.02.05. (TP)</t>
  </si>
  <si>
    <t>02.01.02.08. (TP)</t>
  </si>
  <si>
    <t>02.01.02.09. (TP)</t>
  </si>
  <si>
    <t>02.01.03.03 (PP)</t>
  </si>
  <si>
    <t>02.01.03.04 (PP)</t>
  </si>
  <si>
    <t>02.01.03.05 (PP)</t>
  </si>
  <si>
    <t>02.02.01.01. (TP)</t>
  </si>
  <si>
    <t>Savivaldybės strateginio
 plėtros plano priemonės kodas</t>
  </si>
  <si>
    <t>Sukurti įtraukias, tinklaveiką ir 
socialines inovacijas skatinančias, kiekvieno mokinio geresnius pasiekimus lemiančias ir šiuolaikiškas kokybiško ugdymo(si) sąlygas</t>
  </si>
  <si>
    <t>02.01.01. (T)</t>
  </si>
  <si>
    <t>02.01.02. (T)</t>
  </si>
  <si>
    <t>02.02.01. (T)</t>
  </si>
  <si>
    <t>03.01.01. (T)</t>
  </si>
  <si>
    <t>03.01.01.01. (TP)</t>
  </si>
  <si>
    <t>03.01.02. (T)</t>
  </si>
  <si>
    <t>03.01.02.02. (TP)</t>
  </si>
  <si>
    <t>03.01.02.03. (TP)</t>
  </si>
  <si>
    <t>03.01.02.04. (TP)</t>
  </si>
  <si>
    <t>03.01.02.06 (TP)</t>
  </si>
  <si>
    <t>03.01.02.08. (TP)</t>
  </si>
  <si>
    <t>04.01.01. (T)</t>
  </si>
  <si>
    <t>04.01.01.01. (TP)</t>
  </si>
  <si>
    <t>04.01.01.02. (TP)</t>
  </si>
  <si>
    <t>04.02.01. (T)</t>
  </si>
  <si>
    <t>Sąlygų Dainų švenčių tradicijos tęstinumui Visagino savivaldybėje sudarymas, mėgėjų meno kolektyvų pasirengimo ir dalyvavimo Dainų šventėse,  vietiniuose, regioniniuose, respublikiniuose ir tarptautiniuose renginiuose užtikrinimas, mėgėjų meną populiarinančių renginių organizavimas, tautinių mažumų kultūrų įvairovės pristatymas</t>
  </si>
  <si>
    <t>04.02.01.01. (TP)</t>
  </si>
  <si>
    <t>04.02.01.02. (TP)</t>
  </si>
  <si>
    <t>04.02.01.03. (TP)</t>
  </si>
  <si>
    <t>04.02.01.04. (TP)</t>
  </si>
  <si>
    <t>04.02.02.01. (TP)</t>
  </si>
  <si>
    <t>04.02.02.02. (TP)</t>
  </si>
  <si>
    <t>04.02.02.03. (TP)</t>
  </si>
  <si>
    <t>04.02.02.04. (TP)</t>
  </si>
  <si>
    <t>04.02.02.05. (TP)</t>
  </si>
  <si>
    <t>04.02.03.01. (TP)</t>
  </si>
  <si>
    <t>04.02.03.02. (TP)</t>
  </si>
  <si>
    <t>04.02.04. (T)</t>
  </si>
  <si>
    <t>04.02.04.01. (TP)</t>
  </si>
  <si>
    <t>04.02.04.02. (TP)</t>
  </si>
  <si>
    <t>04.02.04.03. (TP)</t>
  </si>
  <si>
    <t>2026 m. asignavimai ir kitos lėšos, tūkst. Eur</t>
  </si>
  <si>
    <t>05.01.01.01 (TP)</t>
  </si>
  <si>
    <t>05.01.01.02. (TP)</t>
  </si>
  <si>
    <t>05.01.01.03. (TP)</t>
  </si>
  <si>
    <t>05.01.01.04. (TP)</t>
  </si>
  <si>
    <t>05.01.01.05. (TP)</t>
  </si>
  <si>
    <t>05.01.01. (T)</t>
  </si>
  <si>
    <t>05.02.01. (T)</t>
  </si>
  <si>
    <t>05.02.01.01. (TP)</t>
  </si>
  <si>
    <t>05.02.01.02. (TP)</t>
  </si>
  <si>
    <t>05.02.01.03. (TP)</t>
  </si>
  <si>
    <t>05.02.01.04. (TP)</t>
  </si>
  <si>
    <t>05.03.01. (T)</t>
  </si>
  <si>
    <t>Kurti ir plėtoti saugią aplinką 
Visagino savivaldybėje</t>
  </si>
  <si>
    <t>05.03.01.01. (TP)</t>
  </si>
  <si>
    <t>05.03.01.02. (TP)</t>
  </si>
  <si>
    <t>05.03.01.03. (TP)</t>
  </si>
  <si>
    <t>05.03.01.04. (TP)</t>
  </si>
  <si>
    <t>05.04.01. (T)</t>
  </si>
  <si>
    <t>Skatinti bendruomenę 
dalyvauti prevencinėse ir šviečiamosiose veiklose</t>
  </si>
  <si>
    <t>05.04.01.01. (TP)</t>
  </si>
  <si>
    <t>05.05.01. (T)</t>
  </si>
  <si>
    <t>06.01.01.01.  (TP)</t>
  </si>
  <si>
    <t>06.01.01 (T)</t>
  </si>
  <si>
    <t>06.01.02. (T)</t>
  </si>
  <si>
    <t>06.01.02.01. (TP)</t>
  </si>
  <si>
    <t>06.01.02.02. (TP)</t>
  </si>
  <si>
    <t>06.01.02.03. (TP)</t>
  </si>
  <si>
    <t>06.01.02.04. (TP)</t>
  </si>
  <si>
    <t>06.01.02.06. (TP)</t>
  </si>
  <si>
    <t>06.01.02.07.  (TP)</t>
  </si>
  <si>
    <t>06.01.02.08. (TP)</t>
  </si>
  <si>
    <t>06.01.02.09. (TP)</t>
  </si>
  <si>
    <t>06.01.02.10. (TP)</t>
  </si>
  <si>
    <t>06.01.02.11. (TP)</t>
  </si>
  <si>
    <t>06.01.03. (T)</t>
  </si>
  <si>
    <t>06.01.03.01. (TP)</t>
  </si>
  <si>
    <t>06.01.03.02. (TP)</t>
  </si>
  <si>
    <t>06.01.03.03. (TP)</t>
  </si>
  <si>
    <t>06.01.03.04. (TP)</t>
  </si>
  <si>
    <t>06.01.03.05. (TP)</t>
  </si>
  <si>
    <t>06.01.03.06. (TP)</t>
  </si>
  <si>
    <t>06.01.03.07. (TP)</t>
  </si>
  <si>
    <t>06.01.03.08. (TP)</t>
  </si>
  <si>
    <t>06.01.03.09. (TP)</t>
  </si>
  <si>
    <t>06.01.03.10. (TP)</t>
  </si>
  <si>
    <t>06.01.03.11. (TP)</t>
  </si>
  <si>
    <t>06.01.03.13. (TP)</t>
  </si>
  <si>
    <t>06.01.03.15. (TP)</t>
  </si>
  <si>
    <t>06.01.03.16. (TP)</t>
  </si>
  <si>
    <t>06.01.03.17. (TP)</t>
  </si>
  <si>
    <t>06.01.03.18. (TP)</t>
  </si>
  <si>
    <t>06.02.01. (T)</t>
  </si>
  <si>
    <t>06.02.01.01. (TP)</t>
  </si>
  <si>
    <t>06.02.01.03. (TP)</t>
  </si>
  <si>
    <t>06.02.01.04. (TP)</t>
  </si>
  <si>
    <t>06.02.01.06. (TP)</t>
  </si>
  <si>
    <t>06.02.01.07. (TP)</t>
  </si>
  <si>
    <t>06.02.01.08. (TP)</t>
  </si>
  <si>
    <t>06.02.01.10. (TP)</t>
  </si>
  <si>
    <t>07.01.01.01. (TP)</t>
  </si>
  <si>
    <t>07.01.01.02. (TP)</t>
  </si>
  <si>
    <t>07.01.01.03. (TP)</t>
  </si>
  <si>
    <t>07.01.01.04. (TP)</t>
  </si>
  <si>
    <t>07.01.01.06. (TP)</t>
  </si>
  <si>
    <t>07.01.01.08. (TP)</t>
  </si>
  <si>
    <t>07.01.01.09. (TP)</t>
  </si>
  <si>
    <t>07.01.02.04 (TP)</t>
  </si>
  <si>
    <t>07.01.03.01 (TP)</t>
  </si>
  <si>
    <t>07.01.01. (T)</t>
  </si>
  <si>
    <t>07.01.02. (T)</t>
  </si>
  <si>
    <t>07.01.03. (T)</t>
  </si>
  <si>
    <t>2024  m. asignavimai ir kitos lėšos, tūkst. Eur</t>
  </si>
  <si>
    <t>08.01.01.(T)</t>
  </si>
  <si>
    <t>08.01.01.01. (TP)</t>
  </si>
  <si>
    <t>08.01.01.02. (TP)</t>
  </si>
  <si>
    <t>08.01.01.03. (TP)</t>
  </si>
  <si>
    <t>08.01.01.04. (TP)</t>
  </si>
  <si>
    <t>08.01.01.05. (TP)</t>
  </si>
  <si>
    <t>08.01.01.06. (TP)</t>
  </si>
  <si>
    <t>08.01.01.07. (PP)</t>
  </si>
  <si>
    <t>08.01.01.08. (TP)</t>
  </si>
  <si>
    <t>08.01.01.10. (TP)</t>
  </si>
  <si>
    <t>08.01.01.11. (TP)</t>
  </si>
  <si>
    <t>08.01.01.12. (TP)</t>
  </si>
  <si>
    <t>08.01.01.13. (TP)</t>
  </si>
  <si>
    <t>08.01.01.14. (PP)</t>
  </si>
  <si>
    <t>08.01.02. (T)</t>
  </si>
  <si>
    <t>08.01.02.01. (TP)</t>
  </si>
  <si>
    <t>08.01.03. (T)</t>
  </si>
  <si>
    <t>08.01.04. (T)</t>
  </si>
  <si>
    <t>08.01.05. (T)</t>
  </si>
  <si>
    <t xml:space="preserve">08.01.03.01. (TP) </t>
  </si>
  <si>
    <t>08.01.04.01. (TP)</t>
  </si>
  <si>
    <t>09.01.01. (T)</t>
  </si>
  <si>
    <t>09.01.01.03. (TP)</t>
  </si>
  <si>
    <t>09.01.01.04. (TP)</t>
  </si>
  <si>
    <t>09.01.01.05. (TP)</t>
  </si>
  <si>
    <t>09.01.01.06. (TP)</t>
  </si>
  <si>
    <t>09.01.01.08. (TP)</t>
  </si>
  <si>
    <t>09.01.01.09. (TP)</t>
  </si>
  <si>
    <t>09.02.01.01. (TP)</t>
  </si>
  <si>
    <t>09.02.01.02. (TP)</t>
  </si>
  <si>
    <t>09.02.01.03. (TP)</t>
  </si>
  <si>
    <t>09.02.02.01. (TP)</t>
  </si>
  <si>
    <t>09.02.02.02. (TP)</t>
  </si>
  <si>
    <t>09.02.02.03. (TP)</t>
  </si>
  <si>
    <t>09.02.02.04. (TP)</t>
  </si>
  <si>
    <t>09.02.01.(T)</t>
  </si>
  <si>
    <t>09.02.02. (T)</t>
  </si>
  <si>
    <t>Kurti aplinką, kuri sąlygotų investicijų 
pritraukimą</t>
  </si>
  <si>
    <t>Plėsti turizmo, rekreacijos, 
poilsio ir paslaugų infrastruktūrą</t>
  </si>
  <si>
    <t xml:space="preserve">Ekonominės plėtros programa  (09) </t>
  </si>
  <si>
    <t xml:space="preserve"> Valdymo tobulinimo programa  (01)</t>
  </si>
  <si>
    <t xml:space="preserve">Švietimo paslaugų plėtros programa (02) </t>
  </si>
  <si>
    <t>10.01.01.01. (TP)</t>
  </si>
  <si>
    <t>10.01.01.02. (TP)</t>
  </si>
  <si>
    <t>10.01.01.03. (TP)</t>
  </si>
  <si>
    <t>10.01.01.04. (TP)</t>
  </si>
  <si>
    <t>10.01.01 (T)</t>
  </si>
  <si>
    <t>10.01.02.04. (TP)</t>
  </si>
  <si>
    <t>10.01.02.06. (TP)</t>
  </si>
  <si>
    <t>10.01.02.08. (TP)</t>
  </si>
  <si>
    <t>10.01.02.09. (TP)</t>
  </si>
  <si>
    <t>10.01.02.10. (TP)</t>
  </si>
  <si>
    <t>10.01.02.11. (TP)</t>
  </si>
  <si>
    <t>10.01.02.14. (TP)</t>
  </si>
  <si>
    <t>10.02.03.01. (TP)</t>
  </si>
  <si>
    <t>10.02.03.03. (TP)</t>
  </si>
  <si>
    <t>10.02.03.09. (TP)</t>
  </si>
  <si>
    <t>10.02.03.11. (TP)</t>
  </si>
  <si>
    <t>10.02.04.02. (TP)</t>
  </si>
  <si>
    <t>10.02.04.03. (TP)</t>
  </si>
  <si>
    <t>10.02.04.04. (TP)</t>
  </si>
  <si>
    <t>10.02.04.06. (TP)</t>
  </si>
  <si>
    <t>10.02.04.07. (TP)</t>
  </si>
  <si>
    <t>10.02.05.01. (TP)</t>
  </si>
  <si>
    <t>10.02.05.02. (TP)</t>
  </si>
  <si>
    <t>10.02.06.01. (TP)</t>
  </si>
  <si>
    <t>10.02.07.01. (TP)</t>
  </si>
  <si>
    <t>10.03.01.01. (TP)</t>
  </si>
  <si>
    <t>10.03.01.02. (TP)</t>
  </si>
  <si>
    <t>10.03.01.03. (TP)</t>
  </si>
  <si>
    <t>10.03.01.04. (TP)</t>
  </si>
  <si>
    <t>10.03.01.05. (TP)</t>
  </si>
  <si>
    <t>10.03.01.06. (TP)</t>
  </si>
  <si>
    <t>10.03.01.07. (TP)</t>
  </si>
  <si>
    <t>10.03.01.09. (TP)</t>
  </si>
  <si>
    <t>10.03.01.10. (TP)</t>
  </si>
  <si>
    <t>10.03.02.03. (TP)</t>
  </si>
  <si>
    <t>10.03.02.04. (TP)</t>
  </si>
  <si>
    <t>10.03.03.01. (TP)</t>
  </si>
  <si>
    <t>10.03.04.01. (TP)</t>
  </si>
  <si>
    <t>10.03.05.01. (TP)</t>
  </si>
  <si>
    <t>10.03.05. (T)</t>
  </si>
  <si>
    <t>10.03.04.(T)</t>
  </si>
  <si>
    <t>Tvarkyti (likviduoti) turtą, 
Visagino savivaldybės tarybos  pripažintą netinkamu naudoti dėl fizinio ir funkcinio (technologinio) nusidėvėjimo</t>
  </si>
  <si>
    <t>10.03.03. (T)</t>
  </si>
  <si>
    <t>10.03.02. (T)</t>
  </si>
  <si>
    <t>10.03.01. (T)</t>
  </si>
  <si>
    <t>10.02.06. (T)</t>
  </si>
  <si>
    <t>10.02.07. (T)</t>
  </si>
  <si>
    <t>10.02.05.(T)</t>
  </si>
  <si>
    <t>10.02.04.(T)</t>
  </si>
  <si>
    <t>10.02.03.(T)</t>
  </si>
  <si>
    <t>10.01.02.(T)</t>
  </si>
  <si>
    <t xml:space="preserve">Viešosios infrastruktūros programa  (10) </t>
  </si>
  <si>
    <t xml:space="preserve">Fizinio aktyvumo ir sporto plėtros programa  (03) </t>
  </si>
  <si>
    <t xml:space="preserve">Visagino savivaldybės bendruomeniškumo skatinimo programa (05) </t>
  </si>
  <si>
    <t xml:space="preserve">Visagino savivaldybės sveikatos apsaugos paslaugų kokybės gerinimo programa (07) </t>
  </si>
  <si>
    <t xml:space="preserve">Aplinkos apsaugos programa (08) </t>
  </si>
  <si>
    <t>2.8.-1-1</t>
  </si>
  <si>
    <t>2.7.-3-1</t>
  </si>
  <si>
    <t>Veikiančių savivaldos institucijų skaičius</t>
  </si>
  <si>
    <t>2.1.-5-3</t>
  </si>
  <si>
    <t>Įgyvendintų priemonių skaičius proc., nuo visų suplanuotų įgyvendinti</t>
  </si>
  <si>
    <t>2.6-2-1</t>
  </si>
  <si>
    <t>Archyvinių civilinės būklės aktų įrašų, gautų iš civilinės metrikacijos įstaigų, duomenų tvarkymas, vnt.</t>
  </si>
  <si>
    <t>2.8.-2-8</t>
  </si>
  <si>
    <t>3.3.-2-4</t>
  </si>
  <si>
    <t>Savivaldybės įstaigų ir įmonių pastatų, 
kuriuose įrengtos alternatyvios energijos gamybos priemonės, skaičius (vnt.)</t>
  </si>
  <si>
    <t>1.1.-1-1</t>
  </si>
  <si>
    <t>Pritrauktų investuotojų skaičius</t>
  </si>
  <si>
    <t>E-01-01-03</t>
  </si>
  <si>
    <t>E-01-01-04</t>
  </si>
  <si>
    <t>Panaudota suplanuotų lėšų dalis nuo visų uždaviniui skirtų asignavimų dalies (procentai)</t>
  </si>
  <si>
    <t>2.8.-2-1</t>
  </si>
  <si>
    <t>Sukurtas vidinis informacijos apie pažeidimus teikimo kanalas</t>
  </si>
  <si>
    <t>Gyventojų, per paskutinius 12 mėnesių dalyvavusių sprendžiant viešuosius vietos reikalus, dalis proc</t>
  </si>
  <si>
    <t>2.8.3.1.</t>
  </si>
  <si>
    <t xml:space="preserve">Užtikrinta </t>
  </si>
  <si>
    <t>Parengtų planų skaičius (vnt.)
Įgyvendintų priemonių skaičius proc., nuo visų suplanuotų įgyvendinti</t>
  </si>
  <si>
    <t>2.1.3.1.</t>
  </si>
  <si>
    <t xml:space="preserve">2.1.4.1. </t>
  </si>
  <si>
    <t xml:space="preserve">Pagal Newton Rooms konceptą pritaikytų ir įrengtų patalpų skaičius </t>
  </si>
  <si>
    <t>2.1.1.1.</t>
  </si>
  <si>
    <t>2.1.1.2.</t>
  </si>
  <si>
    <t>2.1.2.1.</t>
  </si>
  <si>
    <t>2.1.-5-5</t>
  </si>
  <si>
    <t>Įstaigų, dalyvavusių projektinėje veikloje, skaičius</t>
  </si>
  <si>
    <t>2.1.-5-2</t>
  </si>
  <si>
    <t>Priemonių įgyvendinimo pagal terminus dalis</t>
  </si>
  <si>
    <t>Tarptautiško, įtraukiančio, atviro ir draugiško miesto įvaizdžio formavimas ir palaikymas</t>
  </si>
  <si>
    <t>2.2-1-2</t>
  </si>
  <si>
    <t>Įstaigų sporto salių, kurios prieinamos sportuoti bendruomenės nariams, skaičius</t>
  </si>
  <si>
    <t>1122</t>
  </si>
  <si>
    <t>332</t>
  </si>
  <si>
    <t>2.2-1-1</t>
  </si>
  <si>
    <t>Suorganizuotų sporto varžybų, švenčių, sąskrydžių, seminarų, „Sportas visiems“ ir kitų sporto renginių,  žaidynių  skaičius</t>
  </si>
  <si>
    <t>2.2-5-1</t>
  </si>
  <si>
    <t>2.3.6.3</t>
  </si>
  <si>
    <t xml:space="preserve"> Įgyvendintų priemonių skaičius </t>
  </si>
  <si>
    <t>2.3.-1-3</t>
  </si>
  <si>
    <t xml:space="preserve">Pritrauktų kultūros specialistų skaičius </t>
  </si>
  <si>
    <t>2.3.-3-2</t>
  </si>
  <si>
    <t xml:space="preserve">Įgyvendintų projektų  skaičius </t>
  </si>
  <si>
    <t>2.3.-5-4</t>
  </si>
  <si>
    <t xml:space="preserve">Kolektyvų, dalyvavusių regioniniuose renginiuose, skaičius </t>
  </si>
  <si>
    <t>2.3.1.</t>
  </si>
  <si>
    <t xml:space="preserve">Kultūros renginiuose apsilankiusių asmenų skaičius proc., nuo bendro gyventojų skaičiaus </t>
  </si>
  <si>
    <t xml:space="preserve">2.3.2.1. </t>
  </si>
  <si>
    <t>2.3.4.1.</t>
  </si>
  <si>
    <t xml:space="preserve"> Veikiančių megėjų meno kolektyvų skaičius </t>
  </si>
  <si>
    <t>2.3.1.2.</t>
  </si>
  <si>
    <t xml:space="preserve"> Organizuotų tarptautinių festivalių skaičius </t>
  </si>
  <si>
    <t>2.3.5.3</t>
  </si>
  <si>
    <t xml:space="preserve"> Įgyvendintų projektų  skaičius </t>
  </si>
  <si>
    <t>2.3.-6-2</t>
  </si>
  <si>
    <t>2.7.-1-2</t>
  </si>
  <si>
    <t>Institucinio stiprinimo projektams finansavimą gavusių organizacijų skaičius per metus</t>
  </si>
  <si>
    <t>Renginių skaičius (vnt. per metus)</t>
  </si>
  <si>
    <t>2.6-2-2</t>
  </si>
  <si>
    <t xml:space="preserve"> Savanorių skaičius jaunimo ir su jaunimu 
dirbančiose organizacijose (ilgalaikių ir trumpalaikių) (asm.)</t>
  </si>
  <si>
    <t>2.6-1-1</t>
  </si>
  <si>
    <t xml:space="preserve"> Veikiančių jaunimo atvirų erdvių, jaunimo centrų skaičius (vnt.)</t>
  </si>
  <si>
    <t>2.8.-2-4</t>
  </si>
  <si>
    <t>Įdiegtų inovatyvių priemonių skaičius, vnt.</t>
  </si>
  <si>
    <t>2.8.-2-6</t>
  </si>
  <si>
    <t xml:space="preserve"> Atnaujintų / įdiegtų vaizdo stebėjimo sistemų skaičius</t>
  </si>
  <si>
    <t>2.8.-2-3</t>
  </si>
  <si>
    <t xml:space="preserve"> Gaisrų prevencijos programoje 
numatytų priemonių įgyvendinimas proc. nuo visų planuotų įgyvendinti</t>
  </si>
  <si>
    <t>2.5-1-6</t>
  </si>
  <si>
    <t xml:space="preserve"> Modernizuotų ir pritaikytų būstų skaičius </t>
  </si>
  <si>
    <t>2.8.-2-7</t>
  </si>
  <si>
    <t>2.7.-1-1</t>
  </si>
  <si>
    <t xml:space="preserve">Priimta sprendimų, turinčių tiesioginės įtakos nevyriausybinių ir bendruomeninių </t>
  </si>
  <si>
    <t>2.5</t>
  </si>
  <si>
    <t>2.5-1-1</t>
  </si>
  <si>
    <t xml:space="preserve">Socialinės pašalpos gavėjų skaičius proc. nuo bendro gyventojų skaičiaus   
Būsto šildymo išlaidų ir išlaidų karštam ir geriamam vandeniui gavėjų skaičius proc. nuo bendro gyventojų skaičiaus                                                 </t>
  </si>
  <si>
    <t xml:space="preserve">Socialinės pašalpos gavėjų skaičius proc. nuo bendro gyventojų skaičiaus   </t>
  </si>
  <si>
    <t>2.5.1.6</t>
  </si>
  <si>
    <t>2.5.1.1.</t>
  </si>
  <si>
    <t xml:space="preserve">Socialinės pašalpos gavėjų skaičius proc., nuo bendro gyventojų skaičiaus   </t>
  </si>
  <si>
    <t xml:space="preserve"> Asmenų, gaunančių specialiojo transporto paslaugas, dalis nuo visų pateikusių prašymus (proc.)</t>
  </si>
  <si>
    <t xml:space="preserve">Modernizuotų ir pritaikytų būstų skaičius </t>
  </si>
  <si>
    <t xml:space="preserve"> Socialinės pašalpos gavėjų skaičius proc., nuo bendro gyventojų skaičiaus   </t>
  </si>
  <si>
    <t>2.5.1.3.</t>
  </si>
  <si>
    <t>2.5.1.5.</t>
  </si>
  <si>
    <t xml:space="preserve"> Naujai sukurtų infrastruktūros objektų skaičius</t>
  </si>
  <si>
    <t>2.5.1.5</t>
  </si>
  <si>
    <t>2.7.-2-1</t>
  </si>
  <si>
    <t>Su nevyriausybinėmis organizacijomis pasirašytų paslaugų teikimo sutarčių skaičius</t>
  </si>
  <si>
    <t>Stacionaro ligonių skaičius, 
tenkantis 1 tūkst. gyventojų</t>
  </si>
  <si>
    <t>2.4.-1-1</t>
  </si>
  <si>
    <t>Veikianti daugiaprofilinė, moderni antrinio lygio asmens sveikatos priežiūros įstaiga</t>
  </si>
  <si>
    <t>Veikianti moderni pirminio lygio asmens sveikatos priežiūros įstaiga, teikianti bazines sveikatos priežiūros paslaugas</t>
  </si>
  <si>
    <t>2.4.-2-1</t>
  </si>
  <si>
    <t>Užtikrinta visuomenės sveikatos biuro veikla</t>
  </si>
  <si>
    <t>2.5-1-11</t>
  </si>
  <si>
    <t>Asmenų su sutrikusia raida, gaunančių socialines paslaugas, skaičius proc. nuo bendro Visagine gyvenančių asmenų, turinčių negalią, skaičiaus</t>
  </si>
  <si>
    <t>2.4.-1-2</t>
  </si>
  <si>
    <t>Atnaujintų, įsigytų ir / ar modernizuotų objektų / įrangos  skaičius (vnt.)</t>
  </si>
  <si>
    <t>2.5-1-4</t>
  </si>
  <si>
    <t>Paslaugas gavusių asmenų skaičius proc. nuo bendro gyventojų skaičiaus</t>
  </si>
  <si>
    <t>3.1.3.</t>
  </si>
  <si>
    <t>3.1.3.2</t>
  </si>
  <si>
    <t>3.1.3.6.</t>
  </si>
  <si>
    <t>3.1.1.3.</t>
  </si>
  <si>
    <t>3.1.1.4.</t>
  </si>
  <si>
    <t xml:space="preserve"> Atnaujintų šaligatvių ir pėsčiųjų takų, dalis nuo visų takų (proc.)</t>
  </si>
  <si>
    <t>3.1.3.4.</t>
  </si>
  <si>
    <t>3.1.1.1.</t>
  </si>
  <si>
    <t>3.1.2.1.</t>
  </si>
  <si>
    <t>3.1.3.1.</t>
  </si>
  <si>
    <t>Savivaldybės įstaigų ir įmonių, įdiegusių 
atsinaujinančių ir alternatyvių energijos išteklių priemones savo pastatuose, dalis (proc.)</t>
  </si>
  <si>
    <t>2.3.-3-1</t>
  </si>
  <si>
    <t>2.2-5-2</t>
  </si>
  <si>
    <t>Atnaujintų ir (arba) įrengtų stadionų, sporto aikštynų skaičius (vnt.)</t>
  </si>
  <si>
    <t>3.3.-2-3</t>
  </si>
  <si>
    <t>Modernizuotų pastatų dalis nuo visų viešųjų pastatų (priklausančių VSA) (proc.).</t>
  </si>
  <si>
    <t>Miesto viešųjų erdvių, kuriose įrengtos gyventojų poilsiui pritaikytos erdvės, skaičius (vnt.)</t>
  </si>
  <si>
    <t>Miesto viešųjų erdvių, 
kuriose įrengtos gyventojų poilsiui pritaikytos erdvės, skaičius (vnt.)</t>
  </si>
  <si>
    <t>3.2-1-3</t>
  </si>
  <si>
    <t>3.2.1.2.</t>
  </si>
  <si>
    <t>3.2.1.1.</t>
  </si>
  <si>
    <t>3.2.1.3.</t>
  </si>
  <si>
    <t>3.1.3.3.</t>
  </si>
  <si>
    <t>3.2.1.4.</t>
  </si>
  <si>
    <t xml:space="preserve">2.5. </t>
  </si>
  <si>
    <t>gal perkeliam į 1 programa nes neatitinka tikslų programos ir SPP uždavinių</t>
  </si>
  <si>
    <t xml:space="preserve">2.5.1. </t>
  </si>
  <si>
    <t>2.5-1-5</t>
  </si>
  <si>
    <t>2.5.1.7</t>
  </si>
  <si>
    <t>priemonė nebus įgyvendinama</t>
  </si>
  <si>
    <t>2.5.1.</t>
  </si>
  <si>
    <t>2.5-1-2</t>
  </si>
  <si>
    <t>Metinis konsoliduotų viešųjų paslaugų vartotojų skaičius, vartotojai per metus</t>
  </si>
  <si>
    <t>Užimtumo lygis (metinis) (proc.)</t>
  </si>
  <si>
    <t>Projektas "Atominis Visaginas: branduolinės vietovės identiteto, branduolinio objekto materialinio ir nematerialaus paveldo išsaugojimas ir pritaikymas tvaraus turizmo plėtrai"</t>
  </si>
  <si>
    <t xml:space="preserve">2023-03-10 VSA tarybos sprendimo Nr. TS-21 "Dėl Visagino savivaldybės ekonomikos ir investicijų augimo skatinimo savivaldybėje vystant turizmo plėtrą programos patvirtinimo" įgyvendinimo užtikrinimas </t>
  </si>
  <si>
    <t>09.01.01.01. (PP)</t>
  </si>
  <si>
    <t>R-09-01-01-01</t>
  </si>
  <si>
    <t xml:space="preserve">Parengtų teritorijų planavimo dokumentų skaičius (vnt.) </t>
  </si>
  <si>
    <t>Sukurtos arba atkurtos teritorijos, naudojamos ekonominei, rekreacinei ar turizmo paskirčiai, ha</t>
  </si>
  <si>
    <t xml:space="preserve">Įgyvendinant šią priemonę planuojama įgyvendinti 2017 m. gruodžio 15 d. Nacionalinėje regioninėje taryboje patvirtintos Lietuvos regioninės politikos Baltosios knygos darniai ir tvariai plėtrai 2017–2030 m. 2 uždavinį „Užtikrinti, kad darnus ir tvarus ekonomikos augimas būtų geografiškai subalansuotas“. Atsižvelgiant į tai, kad regionų sistema planuojama principu (3+2+5), Visagino savivaldybė priskiriama prie Utenos regioninio centro, kuriame didžiausias dėmesys skiriamas palaikyti specializuotas profesinio mokymo įstaigas, vystyti pramonės parkus, teikti investicinę pagalbą investicijų pritraukimui ir kt. Atsižvelgiant į tai, kad Visagino savivaldybėje veikia Visagino technologijos ir verslo profesinio mokymo centras, būtina užtikrinti bendradarbiavimą tarp Visagino technologijos ir verslo profesinio mokymo centro, regiono plėtros tarybos, savivaldybės, savivaldybės švietimo įstaigų  bei investuotojų.  Tuo tikslu planuojama organizuoti renginį, skirtą investuotojų pritraukimui. 
Priemonės įgyvendinimas prisidės prie Strateginio plėtros plano priemonių „Sąlygų asmenims profesijos kvalifikacijai tobulinti ir persikvalifikuoti sudarymas, sustiprinant ir  modernizuojant VTVPMC materialinę bazę, siekiant atliepti ketvirtosios pramonės revoliucijos „Pramonė 4.0“ ir kitus naujus darbo rinkos  poreikius“ ir „Dalyvavimo mokymosi visą gyvenimą veiklose didinimas: plėtojant inovatyvią, vieningą, asmeninio pasirinkimo galimybėmis ir darbo rinkos poreikiais grįstą mokymosi visą gyvenimą sistemą, apimančią įvairias profesinio orientavimo, mokymosi, kompetencijų ir kvalifikacijų pripažinimo galimybes besimokantiems, dirbantiems ir nedirbantiems asmenimis“  įgyvendinimo. </t>
  </si>
  <si>
    <t>Atominės energetikos aktualizavimas ir pritaikymas edukacijai bei turizmui (patalpų Balto g. 1, Visagine pertvarkymo koncepcijos, investicinės ir techninės dokumentacijos parengimas)</t>
  </si>
  <si>
    <t>Fiziniams asmenims suteiktų konsultacijų skaičius</t>
  </si>
  <si>
    <t>~2000</t>
  </si>
  <si>
    <t>~2500</t>
  </si>
  <si>
    <t>~3000</t>
  </si>
  <si>
    <t>~2</t>
  </si>
  <si>
    <t>Parengta infrastruktūros objektų sukūrimo ir atnaujinimo pasiūlymų</t>
  </si>
  <si>
    <t xml:space="preserve"> Turizmo verslo atstovams jiems aktualiais klausimais dėl turizmo plėtros ir vystymo Visagino savivaldybėje suteiktų konsultacijų skaičius </t>
  </si>
  <si>
    <t>~5</t>
  </si>
  <si>
    <t>Sukurti bendrą Ežerų krašto Turizmo produktą, skatinantį turistus atrasti visas Utenos regiono savivaldybes (Zarasų r., Ignalinos r., Anykščių r., Molėtų r., Utenos r. ir Visagino)</t>
  </si>
  <si>
    <t>1.1.-2-1</t>
  </si>
  <si>
    <t>1.1.-1-3</t>
  </si>
  <si>
    <t>2025 m. priemonės įgyvendintos 100</t>
  </si>
  <si>
    <t>6 proc.</t>
  </si>
  <si>
    <t>05.05.01.01. (TP)</t>
  </si>
  <si>
    <t>Kogenaricinės jėgainės Visagino centralizuoto šilumos tiekimo sistemoje statyba, vnt.</t>
  </si>
  <si>
    <t xml:space="preserve">Šiluminės katilinės vaizdo stebėjimo sistemos atnaujinimas, vnt. </t>
  </si>
  <si>
    <t>Pastato 826 šilumos punkto rekonstravimas, vnt.</t>
  </si>
  <si>
    <t>Projektas „Individualių namų kvartalo geriamojo vandens infrastruktūros sukūrimas, prijungiant prie Visagino miesto centralizuoto tinklo", km</t>
  </si>
  <si>
    <t>Nuotekų siurblinės (pastato Nr. 437) ir kontrolinio punkto (pastato Nr. 489A) atnaujinimas</t>
  </si>
  <si>
    <t>Kelių priežiūros ir plėtros programos 
objektų sąraše įrašytų objektų įgyvendinimas procentais nuo skirtų lėšų iš KPP programos</t>
  </si>
  <si>
    <t xml:space="preserve">3.3.2. </t>
  </si>
  <si>
    <t>3.3.-2-2</t>
  </si>
  <si>
    <t xml:space="preserve">Asmenų, pasinaudojusių naujai sukurtomis viešojo transporto paslaugomis proc. nuo bendro gyventojų skaičiaus </t>
  </si>
  <si>
    <t>0,27</t>
  </si>
  <si>
    <t>0,30</t>
  </si>
  <si>
    <t>Skatinti bemotorio transporto pasirinkimą ir pėsčiųjų judumą</t>
  </si>
  <si>
    <t xml:space="preserve">Naikinama 
</t>
  </si>
  <si>
    <t>Apšvietimo tinklų plėtra, km</t>
  </si>
  <si>
    <t>0,5</t>
  </si>
  <si>
    <t>Esančių žvyruotų kelių ilgis</t>
  </si>
  <si>
    <t>Sutvarkytų kelių, esančių kaimiškose teritorijose ilgis, km</t>
  </si>
  <si>
    <t>Savivaldybės administracinių paslaugų, teikiamų elektroniniu būdu ne žemesniu kaip 4 brandos lygiu, dalis nuo visų savivaldybės teikiamų administracinių paslaugų (proc.)</t>
  </si>
  <si>
    <t>Elektroniniu būdu pateiktų dokumentų dalis nuo visų gautų dokumentų dėl civilinės būklės aktų registravimo ir kitų su tuo susijusių paslaugų teikimo skaičiaus, proc</t>
  </si>
  <si>
    <t>Lietuvos Respublikos vietos savivaldos įstatymo 7 straipsnio 8  punkto įgyvendinimo užtikrinimas</t>
  </si>
  <si>
    <t xml:space="preserve">Lietuvos Respublikos vietos savivaldos įstatymo 7 straipsnio 7 punkto įgyvendinimo užtikrinimas. </t>
  </si>
  <si>
    <t>Lietuvos Respublikos vietos savivaldos įstatymo 7 straipsnio 29 punkto įgyvendinimo užtikrinimas.</t>
  </si>
  <si>
    <t>Lietuvos Respublikos vietos savivaldos įstatymo 7 straipsnio 16 punkto įgyvendinimo užtikrinimas.</t>
  </si>
  <si>
    <t xml:space="preserve">2.1. </t>
  </si>
  <si>
    <t>2.1.-5-5
2.1.-6-2</t>
  </si>
  <si>
    <t>Suaugusių asmenų, dalyvavusių mokymosi veiklose, dalis proc. nuo visų besimokančiųjų</t>
  </si>
  <si>
    <t>Neformaliojo vaikų švietimo programų įgyvendinimui iš VB skirtų lėšų panaudojimas</t>
  </si>
  <si>
    <t>70</t>
  </si>
  <si>
    <t>Mokinių, dalyvavusių vaikų vasaros poilsio projektuose, dalis nuo bendro mokinių bendrojo ugdymo mokyklose skaičiaus</t>
  </si>
  <si>
    <t>37</t>
  </si>
  <si>
    <t>2.6-2-4</t>
  </si>
  <si>
    <t>NVO, jaunimo ir su jaunimu 
dirbančių asmenų skaičius (vnt.)</t>
  </si>
  <si>
    <t>Aukšto meistriškumo sportininkų dalis nuo visų sportininkų Visagino savivaldybėje (proc.)</t>
  </si>
  <si>
    <t xml:space="preserve">~8000 </t>
  </si>
  <si>
    <t xml:space="preserve">2024  m.asignavimų poreikis </t>
  </si>
  <si>
    <t xml:space="preserve">2024  m. asignavimų poreikis </t>
  </si>
  <si>
    <t>2024  m.asignavimų poreikis</t>
  </si>
  <si>
    <t>Sudaryti kuo palankesnes sąlygas pradėti ir plėtoti verslą, skatinti jaunimo verslumą bei didinti gyventojų užimtumą</t>
  </si>
  <si>
    <t>1.1.2.</t>
  </si>
  <si>
    <t>Teritorijų, suformuotų ir pritaikytų verslo plėtrai, ha</t>
  </si>
  <si>
    <t>1.1.2-3</t>
  </si>
  <si>
    <t>Sukurta ir palaikoma verslo informacinė bazė, vnt.</t>
  </si>
  <si>
    <t>1.1.-2-2</t>
  </si>
  <si>
    <t>Užtikrinti turizmo informacijos sklaidą, skatinti turizmo plėtrą savivaldybėje</t>
  </si>
  <si>
    <t>Pantoninės prieplaukos didžiosios, esančios Visagino ežere remontas (būtina pilnai keisti medines lentas)</t>
  </si>
  <si>
    <t xml:space="preserve"> Stikloplastikinės vandens nusileidimo čiuožyklos Visagino ežero pakrantėje demontavimas ir naujos infrastruktūros įrengimas </t>
  </si>
  <si>
    <t>3.2-2-3</t>
  </si>
  <si>
    <t>Įgyvendintų priemonių skaičius, siekiant sustiprinti miesto urbanizuoto  kraštovaizdžio bendros erdvinės struktūros vieningumą, architektūros tapatumą ir savitumą</t>
  </si>
  <si>
    <t>Užtikrintas  Utenos regiono 2021-2030 m. plėtros plano įgyvendinimas</t>
  </si>
  <si>
    <t>Visagino viešosios bibliotekos renovacija : įtraukioji kultūra visiems, neprikalusomai nuo lyties, sveikatos būklės, socialinės padėties ir amžiaus</t>
  </si>
  <si>
    <t>3.3.1.</t>
  </si>
  <si>
    <t xml:space="preserve">3.3.4.1. </t>
  </si>
  <si>
    <t>Apsauginę funkciją atliekančių želdynų ir želdinių, tenkančių 1 gyventojui, plotas (kv. m)</t>
  </si>
  <si>
    <t>Įgyvendinta priemonių, skatinančių komunalinių atliekų 
rūšiuojamojo atliekų surinkimo pajėgumo plėtrą</t>
  </si>
  <si>
    <t xml:space="preserve">3.3.1.2. </t>
  </si>
  <si>
    <t xml:space="preserve">Parengtų projektų skaičius </t>
  </si>
  <si>
    <t xml:space="preserve">3.3.5.1. </t>
  </si>
  <si>
    <t>3.3.-4-3</t>
  </si>
  <si>
    <t xml:space="preserve"> Sąmoningumą skatinančių kompanijų skaičius (vnt. per metus)</t>
  </si>
  <si>
    <t>3.3.-4-1</t>
  </si>
  <si>
    <t>3.3.-1-2</t>
  </si>
  <si>
    <t xml:space="preserve"> Savivaldybės įstaigų ir įmonių pastatų, kuriuose įrengtos alternatyvios energijos gamybos priemonės, skaičius (vnt.)</t>
  </si>
  <si>
    <t xml:space="preserve"> Įrengtų automatizuotų oro taršos stebėjimo stotelių skaičius, vnt.  </t>
  </si>
  <si>
    <t>3.3-5-1</t>
  </si>
  <si>
    <t>3.3-4-1</t>
  </si>
  <si>
    <t>3.3-3-3</t>
  </si>
  <si>
    <t xml:space="preserve">Paviršinių nuotekų surinkimo ir valymo sistemos srityje įgyvendintų priemonių skaičius </t>
  </si>
  <si>
    <t xml:space="preserve">3.3.-5 </t>
  </si>
  <si>
    <t>3.2-1-5</t>
  </si>
  <si>
    <t xml:space="preserve"> Įgyvendintų priemonių skaičius</t>
  </si>
  <si>
    <t>Įgyvendinta priemonių, skatinančių komunalinių atliekų rūšiuojamojo atliekų surinkimo pajėgumo plėtrą</t>
  </si>
  <si>
    <t xml:space="preserve">Visagino m. daugiabučių namų administravimas, techninė priežiūra, namų skaičius </t>
  </si>
  <si>
    <t xml:space="preserve">Visagino sav. paviršinių nuotekų tvarkymas, abonentų skaičius </t>
  </si>
  <si>
    <t>Visagino m. energetinio efektyvumo didinimo daugiabučiuose namuose programos „Visagino enervizija“ įgyvendinimas, namų skaičius</t>
  </si>
  <si>
    <t>Maisto ir virtuvės atliekų surinkimo ir vežimo paslaugų teikimas, t</t>
  </si>
  <si>
    <t xml:space="preserve">Komunalinių atliekų surinkimo Visagino sav. teritorijoje ir jų vežimo į apdorojimo įrenginius paslaugų teikimas, kiekis tonomis </t>
  </si>
  <si>
    <t xml:space="preserve">Komunalinių atliekų sraute 
susidarančių pakuočių atliekų rūšiuojamojo surinkimo ir vežimo paslaugų teikimas,  kiekis tonomis </t>
  </si>
  <si>
    <t>Savivaldybės pirminės valstybės garantuojamos teisinės pagalbos specialistų netiksliai (netinkamai) užpildytų prašymų suteikti antrinę valstybės garantuojamą teisinę pagalbą skaičius nuo savivaldybės parengtų prašymų suteikti antrinę valstybės garantuojamą teisinę pagalbą skaičiaus proc</t>
  </si>
  <si>
    <t> Ne daugiau kaip 
15 proc. visų susidariusių komunalinių atliekų (pagal svorį) šalinama sąvartyne</t>
  </si>
  <si>
    <t> Ne daugiau kaip 
10 proc. visų susidariusių komunalinių atliekų (pagal svorį) šalinama sąvartyne</t>
  </si>
  <si>
    <t>Ne daugiau kaip 
8 proc. visų susidariusių komunalinių atliekų (pagal svorį) šalinama sąvartyne</t>
  </si>
  <si>
    <t xml:space="preserve">Gerinti  investicinės aplinkos patrauklumą ir didinti ekonominį potencialą </t>
  </si>
  <si>
    <t>07.01.02.01 (TP)</t>
  </si>
  <si>
    <t>R-07-01-02-01</t>
  </si>
  <si>
    <t>2.5-1-10</t>
  </si>
  <si>
    <t>Mobilių (transporto) paslaugų teikimo  tikslinėms grupėms išplėtojimas</t>
  </si>
  <si>
    <t xml:space="preserve">Vykdomų naujų paslaugų skaičius </t>
  </si>
  <si>
    <t>Vykdyti kryptingą darnaus judumo politiką savivaldybėje</t>
  </si>
  <si>
    <t xml:space="preserve">1.1. tikslas </t>
  </si>
  <si>
    <t xml:space="preserve">Viešųjų paslaugų teikimas bei Visagino savivaldybės turizmo rinkodaros plėtojimas  </t>
  </si>
  <si>
    <t>1.2. tikslas</t>
  </si>
  <si>
    <t>2.1. tikslas</t>
  </si>
  <si>
    <t xml:space="preserve"> Visagino progimnazijų erdvių pritaikymas negalią turinčių mokinių ugdymuisi įtraukiuoju būdu </t>
  </si>
  <si>
    <t>Visos dienos užimtumo erdvių sukūrimas Visagino bendrojo ugdymo mokyklose</t>
  </si>
  <si>
    <t>Visagino savivaldybės bendrojo ugdymo mokyklų tinklo pertvarkos priemonių planų kiekvienoje mokykloje įgyvendinimas</t>
  </si>
  <si>
    <t>2.2. tikslas</t>
  </si>
  <si>
    <t>Aplinkos ir viešųjų erdvių fizinio aktyvumo užsiėmimams pritaikymas</t>
  </si>
  <si>
    <t>Visagino savivaldybės ugdymo įstaigų vidaus ir lauko sporto infrastruktūros - sporto salių, aikštelių, stadionų - atnaujinimas ir (ar) plėtra</t>
  </si>
  <si>
    <t>2.3. tikslas</t>
  </si>
  <si>
    <t>Infrastruktūros, būtinos gyventojų kultūriniams poreikiams užtikrinti, esamos vidaus rekonstravimas ir/arba naujos statymas</t>
  </si>
  <si>
    <t>Visagino miesto muziejaus koncepcijos ir struktūros plėtojimas</t>
  </si>
  <si>
    <t>2.4. tikslas</t>
  </si>
  <si>
    <t>2.5. tikslas</t>
  </si>
  <si>
    <t>Socialinių paslaugų prieinamumo didinimas</t>
  </si>
  <si>
    <t>Socialinio  ir savivaldybės būsto prieinamumo visų socialinių grupių atstovams didinimas</t>
  </si>
  <si>
    <t>2.6. tikslas</t>
  </si>
  <si>
    <t xml:space="preserve"> Jaunimo teikiamų  projektų ir iniciatyvų finansavimas</t>
  </si>
  <si>
    <t>2.7. tikslas</t>
  </si>
  <si>
    <t xml:space="preserve">2.8. tikslas </t>
  </si>
  <si>
    <t>Miesto vaizdo stebėjimo sistemos naujinimas ir plėtra</t>
  </si>
  <si>
    <t xml:space="preserve">3.1. tikslas </t>
  </si>
  <si>
    <t>Esamų šaligatvių ir pėsčiųjų takų infrastruktūros kokybės gerinimas</t>
  </si>
  <si>
    <t>Tinkamo miesto kelių tinklo darnos, saugumo ir kokybės užtikrinimas</t>
  </si>
  <si>
    <t>3.2. tikslas</t>
  </si>
  <si>
    <t>3.3. tikslas</t>
  </si>
  <si>
    <t>Individualių namų kvartalo vystymas (projektavimas)</t>
  </si>
  <si>
    <t>1 lentelė. Tikslai, uždaviniai ir jų stebėsenos rodikliai</t>
  </si>
  <si>
    <r>
      <t>2024</t>
    </r>
    <r>
      <rPr>
        <b/>
        <sz val="7"/>
        <color rgb="FF000000"/>
        <rFont val="Arial"/>
        <family val="2"/>
      </rPr>
      <t xml:space="preserve"> metų asignavimai ir kitos lėšos</t>
    </r>
  </si>
  <si>
    <r>
      <t>2025</t>
    </r>
    <r>
      <rPr>
        <b/>
        <sz val="7"/>
        <color rgb="FF000000"/>
        <rFont val="Arial"/>
        <family val="2"/>
      </rPr>
      <t>metų asignavimai ir kitos lėšos</t>
    </r>
  </si>
  <si>
    <r>
      <t>2026</t>
    </r>
    <r>
      <rPr>
        <b/>
        <sz val="7"/>
        <color rgb="FF000000"/>
        <rFont val="Arial"/>
        <family val="2"/>
      </rPr>
      <t xml:space="preserve"> metų asignavimai ir kitos lėšos</t>
    </r>
  </si>
  <si>
    <r>
      <t>n</t>
    </r>
    <r>
      <rPr>
        <sz val="7"/>
        <color rgb="FF000000"/>
        <rFont val="Arial"/>
        <family val="2"/>
      </rPr>
      <t xml:space="preserve"> – pirmieji planuojamieji metai, </t>
    </r>
    <r>
      <rPr>
        <i/>
        <sz val="7"/>
        <color rgb="FF000000"/>
        <rFont val="Arial"/>
        <family val="2"/>
      </rPr>
      <t xml:space="preserve">n </t>
    </r>
    <r>
      <rPr>
        <sz val="7"/>
        <color rgb="FF000000"/>
        <rFont val="Arial"/>
        <family val="2"/>
      </rPr>
      <t xml:space="preserve">+ 1 – antrieji planuojamieji metai ir </t>
    </r>
    <r>
      <rPr>
        <i/>
        <sz val="7"/>
        <color rgb="FF000000"/>
        <rFont val="Arial"/>
        <family val="2"/>
      </rPr>
      <t xml:space="preserve">n </t>
    </r>
    <r>
      <rPr>
        <sz val="7"/>
        <color rgb="FF000000"/>
        <rFont val="Arial"/>
        <family val="2"/>
      </rPr>
      <t>+ 2 – tretieji planuojamieji metai.</t>
    </r>
  </si>
  <si>
    <t>Mergaičių grupių skaičius</t>
  </si>
  <si>
    <t xml:space="preserve">10 proc. </t>
  </si>
  <si>
    <t>Mažų miestelių krepšinio lygos komandų skaičius</t>
  </si>
  <si>
    <t>Regionų krepšinio lygos komandų skaičius</t>
  </si>
  <si>
    <t>Lėšų poreikis, Eur</t>
  </si>
  <si>
    <t xml:space="preserve">Finansavimo šaltinis </t>
  </si>
  <si>
    <t>SB, EGDP</t>
  </si>
  <si>
    <t xml:space="preserve"> Naujai organizuotų vietinės reikšmės maršrutų skaičius</t>
  </si>
  <si>
    <t xml:space="preserve">Parengtų kreipimųsi bei organizuotų susitikimų su AB „Lietuvos geležinkeliai“ skaičius </t>
  </si>
  <si>
    <t>2.2.1.</t>
  </si>
  <si>
    <t xml:space="preserve"> Sporto varžybose ir sveikatingumo renginiuose dalyvavusių asmenų  skaičius, vnt. per metus</t>
  </si>
  <si>
    <t xml:space="preserve"> Kelių priežiūros ir plėtros programos lėšomis įgyvendintų priemonių skaičius</t>
  </si>
  <si>
    <t xml:space="preserve"> Elektromobilių įkrovimo prieigų skaičius (vnt.)</t>
  </si>
  <si>
    <t>Įrengtų automobilių stovėjimo 
vietų gatvių važiuojamojoje dalyje/pėsčiųjų perėjų skaičius</t>
  </si>
  <si>
    <t xml:space="preserve"> Pasirašytų autobusų stoties įveiklinimo  sutarčių skaičius </t>
  </si>
  <si>
    <t xml:space="preserve"> Įrengtų automobilių stovėjimo 
vietų gatvių važiuojamojoje dalyje/pėsčiųjų perėjų skaičius</t>
  </si>
  <si>
    <t>550</t>
  </si>
  <si>
    <t xml:space="preserve">Projekto veiklų įgyvendinimas baigtas 2023 m. </t>
  </si>
  <si>
    <t>Įrengtų ir atnaujintų sporto bei laisvalaikio aikštelių skaičius Visagino savivaldybėje</t>
  </si>
  <si>
    <t xml:space="preserve">Naikinama
</t>
  </si>
  <si>
    <t xml:space="preserve"> Įrengtų ir / ar atnaujintų vaikų žaidimų aikštelių skaičius (vnt.)</t>
  </si>
  <si>
    <t xml:space="preserve"> Plėsti, prižiūrėti ir modernizuoti teritorijas, įrengiant reikalingą infrastrukūrą</t>
  </si>
  <si>
    <t xml:space="preserve"> Miesto viešųjų erdvių, kuriose įrengtos gyventojų poilsiui pritaikytos erdvės) skaičius (vnt.)</t>
  </si>
  <si>
    <t xml:space="preserve"> Esančių žvyruotų kelių ilgis (km)</t>
  </si>
  <si>
    <t xml:space="preserve"> Išduotų statybos leidimų skaičius (vnt.)</t>
  </si>
  <si>
    <t xml:space="preserve"> Įrengta naujų kapinių plotų, ha </t>
  </si>
  <si>
    <t>Tvarkyti savivaldybės kaimiškųjų vietovių infrastruktūrą</t>
  </si>
  <si>
    <t>Namų, kuriuose pasiekta ne žemesnė kaip C pastato energinio naudingumo klasė ir skaičiuojamosios šilumos energijos sąnaudos sumažintos ne mažiau kaip 40 proc., skaičius</t>
  </si>
  <si>
    <t>Surinkta lėšų, pagal Visagino savivaldybės tarybos, nustatytą infrastruktūros plėtros įmoką</t>
  </si>
  <si>
    <t>Visagino savivaldybės 2024-2026 m. infrastruktūros plėtros priemonių planas yra neatsiejama Visagino savivaldybės viešosios infrastruktūros plėtros programos dalis.</t>
  </si>
  <si>
    <t>Parengtų tarybos sprendimų nustatančių infrastruktūros plėtros įmoką skaičius</t>
  </si>
  <si>
    <t>3.3.-2-5</t>
  </si>
  <si>
    <t xml:space="preserve">Užtikrintas  gyvenamosios aplinkos tvarkymo ir apšvietimo sistemos efektyvumas  ir sistemos eksploatavimas bei priežiūra </t>
  </si>
  <si>
    <t xml:space="preserve">Gerinti keleivių vežimo sąlygas bei skatinti darnesnį ir patogesnį judėjimą </t>
  </si>
  <si>
    <t>Savivaldybės ekonominės plėtros gairių specializacijų vystymas</t>
  </si>
  <si>
    <t xml:space="preserve">Skatinant gyventojų verslumą ir ekonominį mobilumą, plėtojant viešąsias paslaugas ir paramą smulkiajam, vidutiniam verslui (SVV) bei vykdantiems ekonominę veiklą, šios priemonės įgyvendinimas prisidės prie 2020–2030 m. prioritetinės ekonomikos plėtros krypčių įgyvendinimo, kurios buvo patvirtintos Visagino savivaldybės tarybos 2019 m. spalio 30 d. sprendimu Nr. TS-253 „Dėl Visagino savivaldybės 2020–2030 m. ekonominės plėtros gairių patvirtinimo“, Strateginio plėtros plano uždavinio „Skatinti gyventojų verslumą ir ekonominį mobilumą“ įgyvendinimo. Įgyvendinant priemonę planuojama remti ir teikti smulkiajam ir vidutiniam verslui aktualias viešąsias paslaugas. VšĮ Visagino ekonomikos plėtros agentūra kartu su Visagino savivaldybe kurs ekonominio patrauklumo priemones, organizuos ir rengs pristatymus potencialiems investuotojams, stiprins ir aktyvins komunikaciją su verslo atstovais.
</t>
  </si>
  <si>
    <t>Autobusų stoties su turizmo informacijos centru statybos užbaigimas ir perdavimas stoties valdytojui</t>
  </si>
  <si>
    <t>Sutvarkyta / įrengta / atnaujinta 
teritorijų, ha</t>
  </si>
  <si>
    <t>77339
Eur (Įstaigos lėšos)
250 000 Eur (Jeigu bus gautos lėšos iš planuojamų projektų)</t>
  </si>
  <si>
    <t>15 000 Eur</t>
  </si>
  <si>
    <t>10 000 Eur</t>
  </si>
  <si>
    <t>EKG aparatų įsigijimas</t>
  </si>
  <si>
    <t>50000 Eur</t>
  </si>
  <si>
    <t xml:space="preserve">Laboratorinis inkubatorius </t>
  </si>
  <si>
    <t>Įstaigos funkcijų vykdymo išlaidos (Nematerialiojo turto IT sistemų palaikymo išlaidos)</t>
  </si>
  <si>
    <t>40656 Eur</t>
  </si>
  <si>
    <t>44722 Eur</t>
  </si>
  <si>
    <t>45500 Eur</t>
  </si>
  <si>
    <t>ASP duomenų saugos atitikimo saugos reglamentui auditas  (rizikų vertinimas ir įgyvendinimas (Nematerialiojo turto IT sistemų palaikymo išlaidos)</t>
  </si>
  <si>
    <t>1500 Eur</t>
  </si>
  <si>
    <t>26600 Eur</t>
  </si>
  <si>
    <t>Teleradiologijos paslaugų (SR ir GMG) paslaugų užtikrinimas (Paslaugų apmokėjimo išlaidos )</t>
  </si>
  <si>
    <t>40000 Eur</t>
  </si>
  <si>
    <t>9345894 Eur</t>
  </si>
  <si>
    <t>Įstaigos funkcijų vykdymo išlaidos personalui (Kvalifikacijos kėlimo išlaidos, pagal kolektyvinės sutarties nuostatas)</t>
  </si>
  <si>
    <t>11000 Eur</t>
  </si>
  <si>
    <t>Įstaigos funkcijų vykdymo išlaidos personalui (Medicininio  ir kito įstaigos  personalo mokymai, pritaikant ligoninės darbą  prie naujų SAM pertvarkos reikalavimų)</t>
  </si>
  <si>
    <t>Kvalifikacijos kėlimas ne mažiau nei 
14 % įstaigos personalo</t>
  </si>
  <si>
    <t>Kvalifikacijos kėlimas ne mažiau nei 
15 % įstaigos personalo</t>
  </si>
  <si>
    <t>Kvalifikacijos kėlimas ne mažiau nei 
16 % įstaigos personalo</t>
  </si>
  <si>
    <t>Įstaigos funkcijų vykdymo išlaidos personalui (Naujų darbuotojų pritraukimas ir įdarbinimas įstaigoje)</t>
  </si>
  <si>
    <t>Naujų bendrosios praktikos slaugytojų pritraukimas ir įdarbinimas ne mažiau nei 2 bendrosios praktikos slaugytojų  per metus</t>
  </si>
  <si>
    <t>Įstaigos kiekybinių ir kokybinių rodyklių vykdymas (Pacientų prieinamumo pas gydytojus užtikrinimas)</t>
  </si>
  <si>
    <t>Siekti, kad įstaigoje teikiamos pirminės ambulatorinės sveikatos priežiūros paslaugos butu atliekamos  ne vėliau kaip per 7 kalendorines diena</t>
  </si>
  <si>
    <t>Įstaigos kiekybinių ir kokybinių rodyklių vykdymas
(Gerinti pacientų bendro pasitenkinimo VšĮ Visagino ligoninėje  teikiamomis asmens sveikatos priežiūros paslaugomis)</t>
  </si>
  <si>
    <t>2024 metais 
siekti ne mažesnį nei 0,82 rodiklio rezultato, atlikti ne mažiau 2 pacientų apklausų.</t>
  </si>
  <si>
    <t>.+</t>
  </si>
  <si>
    <t>Siekti, kad atvykimo dieną atliktų planinių Dienos chirurgijos operacijų rodiklis  siektu ne mažiau nei</t>
  </si>
  <si>
    <t>Plėtoti įstaigos  infrastruktūrą  ir gerinti sveikatos priežiūros paslaugų kokybę ir į pacientą orientuotą sveikatos priežiūrą (Optimizuoti ligoninės stacionarinių lovų struktūrą , mažinant stacionarines lovas)</t>
  </si>
  <si>
    <t>Sumažinti 17 stacionarinių   Akušerijos ginekologijos skyriaus lovų, transformuojant jas į 16 Dienos stacionaro ir 1 Anesteziologijos reanimatologijos lovas.  Transformuoti 5 Chirurgijos skyriaus  lovas į ginekologines</t>
  </si>
  <si>
    <t>Užtikrinti nuolatinį skubiosios medicinos pagalbos teikimą  (Užtikrinti B tipo Skubiosios pagalbos skyriaus  veiklą )</t>
  </si>
  <si>
    <t>Reikalingos įrangos komplektacija</t>
  </si>
  <si>
    <t xml:space="preserve">Reikalingos įrangos komplektacija </t>
  </si>
  <si>
    <t>Personalo  skaičiaus atitikimas reikalavimams</t>
  </si>
  <si>
    <t xml:space="preserve">Personalo kompetencijų užtikrinimas </t>
  </si>
  <si>
    <t>Organizuoti skyriuje papildomas 1 palatos</t>
  </si>
  <si>
    <t xml:space="preserve">Užtikrinti nuolatinį skubiosios medicinos pagalbos teikimą (Užtikrinti RIT  , RIP bei Anestezijos  paslaugų teikimą) </t>
  </si>
  <si>
    <t>Gerinti ir plėsti slaugos ir palaikomojo gydymo ir paliatyviosios pagalbos paslaugas (Gerinti pacientų mitybą, didinti vienviečių palatų skaičių )</t>
  </si>
  <si>
    <t>15 proc.</t>
  </si>
  <si>
    <t xml:space="preserve">Neveiksnių asmenų būklės peržiūrėjimo komisijos inicijuotų asmens būklės peržiūrėjimo bylų skaičius </t>
  </si>
  <si>
    <t>Išnagrinėtų Neveiksnių asmenų būklės peržiūrėjimo komisijos inicijuotų asmens būklės peržiūrėjimo bylų skaičius</t>
  </si>
  <si>
    <t xml:space="preserve">Neveiksnių asmenų būklės peržiūrėjimo komisijos priimtų sprendimų kreiptis į teismą skaičius </t>
  </si>
  <si>
    <t>Atviros ekosistemos atsiskaitymams negrynaisiais pinigais bendrojo ugdymo įstaigų valgyklose kūrimas</t>
  </si>
  <si>
    <t>EGDP</t>
  </si>
  <si>
    <t>Karjeros specialistų tinklo vystymas</t>
  </si>
  <si>
    <t xml:space="preserve">Individualių namų kvartalo vystymas </t>
  </si>
  <si>
    <t xml:space="preserve">Rodiklio reikšmė
2023m. </t>
  </si>
  <si>
    <t>118 (2024-01-02 duomenimis)</t>
  </si>
  <si>
    <t>Švietimo pagalbos specialistų, tenkančių 100-ui ikimokyklinio ugdymo įstaigų mokinių</t>
  </si>
  <si>
    <t xml:space="preserve">21 darbuotojas, 2,77 proc. </t>
  </si>
  <si>
    <t>100 (270 mokinių turinčių spec. ugdymo poreikių)</t>
  </si>
  <si>
    <t>Savivaldybės 3–5 metų vaikų, ugdomų ne savivaldybės mokyklose, dalis proc.</t>
  </si>
  <si>
    <t>ŠVIS,Mokinių registras</t>
  </si>
  <si>
    <t>Naujai nutiestų dviračių takų ilgis (km)</t>
  </si>
  <si>
    <t>Įrengtų dviračių saugojimo ir dalinimosi aikštelių skaičius</t>
  </si>
  <si>
    <t>10.01.02.01. (PP)</t>
  </si>
  <si>
    <t xml:space="preserve">Projekto veiklos baigtos įgyvendinti 2023 m. </t>
  </si>
  <si>
    <t>Viešosiose teritorijose įrengtų  automobilių stovėjimo aikštelių/perėjų skaičius</t>
  </si>
  <si>
    <t>10.02.03.02. (TP)</t>
  </si>
  <si>
    <t>Savivaldybės viešųjų pastatų, taikant energijos išteklių panaudojimo efektyvumo didinimo priemones, modernizavimas</t>
  </si>
  <si>
    <t xml:space="preserve">Parengtų investicinių projektų skaičius </t>
  </si>
  <si>
    <t xml:space="preserve"> </t>
  </si>
  <si>
    <t>05.01.01.06. (TP)</t>
  </si>
  <si>
    <t>Sutvarkytų bešeimininkių atliekų kiekis, t</t>
  </si>
  <si>
    <t>08.01.05.01. (PP)</t>
  </si>
  <si>
    <t>06.02.01.12. (PP)</t>
  </si>
  <si>
    <t>06.02.01.14. (PP)</t>
  </si>
  <si>
    <t>06.02.01.15. (PP)</t>
  </si>
  <si>
    <t>Paslaugų socialiai pažeidžiamiems, socialinę riziką (atskirtį) patiriantiems asmenims vietų skaičius naujoje ar modernizuotoje infrastruktūroje</t>
  </si>
  <si>
    <t>Naujos arba modernizuotos socialinės rūpybos infrastruktūros (ne būsto) talpumas</t>
  </si>
  <si>
    <t>Naujos arba modernizuotos socialinės rūpybos infrastruktūros naudotojų skaičius per metus</t>
  </si>
  <si>
    <t xml:space="preserve">1 prioritetas </t>
  </si>
  <si>
    <t>Konkurencingo verslo skatinimas ir vietinės ekonomikos tvari plėtra</t>
  </si>
  <si>
    <t>2 prioritetas</t>
  </si>
  <si>
    <t>3 prioritetas</t>
  </si>
  <si>
    <t xml:space="preserve"> Tvarus, subalansuotas savivaldybės aplinkos vystymas ir plėtra</t>
  </si>
  <si>
    <t>Įvykusių tarybos posėdžių skaičius /organizuotų rinkimų skaičius</t>
  </si>
  <si>
    <t>12/3</t>
  </si>
  <si>
    <t>12/0</t>
  </si>
  <si>
    <t xml:space="preserve">Visagino savivaldybės administracija </t>
  </si>
  <si>
    <t xml:space="preserve">Visagino kūrybos ir menų akademija </t>
  </si>
  <si>
    <t xml:space="preserve">
Visagino skaitmeninio miesto dvynio informacinės sistemos sukūrimas</t>
  </si>
  <si>
    <t>Mero fondas</t>
  </si>
  <si>
    <t xml:space="preserve">VšĮ Visagino edukacijų centras </t>
  </si>
  <si>
    <t xml:space="preserve">VšĮ Visagino sporto ir rekreacijos centras </t>
  </si>
  <si>
    <t>VšĮ Visagino krepšinio mokykla</t>
  </si>
  <si>
    <t xml:space="preserve">VšĮ Visagino graikų romėnų imtynių centras </t>
  </si>
  <si>
    <t>trenkturas, rali</t>
  </si>
  <si>
    <t>Kompensacija gyventojams 
už naudojimasi baseino paslaugomis</t>
  </si>
  <si>
    <t xml:space="preserve">VšĮ Visagino muziejus paskirties keitimas </t>
  </si>
  <si>
    <t xml:space="preserve">Visagino savivaldybės administarcija </t>
  </si>
  <si>
    <t>VSA (ŠVGC)</t>
  </si>
  <si>
    <t>darbai</t>
  </si>
  <si>
    <t>prie=i8ra</t>
  </si>
  <si>
    <t>Organizuotų išvykų skaičius/Dalyvių skaičius</t>
  </si>
  <si>
    <t xml:space="preserve">Gerosios vilties atraminių sienučių remontas </t>
  </si>
  <si>
    <t xml:space="preserve"> mažosios architektūrinės formos</t>
  </si>
  <si>
    <t>viešojo dizaino elementas</t>
  </si>
  <si>
    <t>Gelynų (klombų) Parko g. ir Santarvės aik. Remontas</t>
  </si>
  <si>
    <t>Visagino g. vizualizacija</t>
  </si>
  <si>
    <t>Geležinkelio tako priežiūra</t>
  </si>
  <si>
    <t xml:space="preserve">Gervės stelos remontas </t>
  </si>
  <si>
    <t>Santarvės aikštės želdynų projektas</t>
  </si>
  <si>
    <t>95000 laiptai</t>
  </si>
  <si>
    <t xml:space="preserve">Visagino mechanizacija audito paslaugoms apmokėti </t>
  </si>
  <si>
    <t>Apleistų buvusių gimdymo namų komunalinių paslaugų apmokėjimas (Taikos pr. 15 D)</t>
  </si>
  <si>
    <t>2023-11-10  Pastatų šilumos punktų priežiūros paslaugų pirkimo-pardavimo sutartis Nr. 5-501</t>
  </si>
  <si>
    <t>Apleistų pastatų komunalinių paslaugų apmokėjimui (Draugystės g. 10, Vilties g. 3, Taikos pr. 23)</t>
  </si>
  <si>
    <t>Įgyvendinant šią priemonę bus užtikrinama Lietuvos Respublikos vietos savivaldos įstatymo 67 straipsnio 3 dalis, kuri numato, kad savivaldybės taryba savivaldybės biudžete nustato savivaldybės kontrolės ir audito tarnybai skiriamų asignavimų dydį.</t>
  </si>
  <si>
    <t>Debesijos paslaugų įsigijimas ir/arba informacinių sistemų perkėlimas į valstybės duomenų centro debesiją</t>
  </si>
  <si>
    <t xml:space="preserve">Licencijų įsigijimas </t>
  </si>
  <si>
    <t xml:space="preserve"> Kopijų saugojimo tarnybinės stoties įsigijimas</t>
  </si>
  <si>
    <t xml:space="preserve">Gyventojų informavimas (VSA) , vertimo paslaugos </t>
  </si>
  <si>
    <t>02.01.03.01 (PP)</t>
  </si>
  <si>
    <t>Kompleksinėms paslaugoms šeimai organizuoti (KOPA)</t>
  </si>
  <si>
    <t>06.02.01.05. (PP)</t>
  </si>
  <si>
    <t>06.01.03.14. (PP)</t>
  </si>
  <si>
    <t xml:space="preserve">VšĮ Visagino ekonomikos plėtros agentūra </t>
  </si>
  <si>
    <t>Ekrano demontavimas Sedulinos alėjoje  atsiskaitymas</t>
  </si>
  <si>
    <t>tarybos vertimas+spauda, viešinimas</t>
  </si>
  <si>
    <t>Užtikrinti profesinio orientavimo paslaugų teikimą įvairaus amžiaus mokiniams bendrojo ugdymo mokyklose</t>
  </si>
  <si>
    <t xml:space="preserve">Mero ir politinio pasitikėjimo valstybės tarnautojai </t>
  </si>
  <si>
    <t xml:space="preserve">Gerosios vilties progimnazijos direktorius </t>
  </si>
  <si>
    <t xml:space="preserve">Verdenės gimnazijos direktorius </t>
  </si>
  <si>
    <t xml:space="preserve">Švietimo pagalbos direktorius </t>
  </si>
  <si>
    <t>Skirta ugdymo reikmėms finansuoti (MK)</t>
  </si>
  <si>
    <t>Kita speciali tikslinė dotacija (SD)</t>
  </si>
  <si>
    <t>Visagino savivaldybės bendruomenės sveikatos taryba, remdamasi kasmet atliekama Visagino savivaldybės gyventojų sergamumo ir mirtingumo pagrindinių priežasčių analize, nustato prioritetines Visagino savivaldybės visuomenės sveikatos rėmimo specialiosios programos kryptis. Visų šių programos priemonių tikslas – padėti pagerinti Visagino savivaldybės gyventojų sveikatą, mažinti sergamumą ir mirtingumą dėl labiausiai paplitusių priežasčių, kryptingai vystyti Visagino savivaldybės sveikatos apsaugos politiką, įtraukiant ir koordinuojant visas sveikatos srityje dirbančias valstybines ir nevyriausybines institucijas, žiniasklaidą bei savivaldybės gyventojus.</t>
  </si>
  <si>
    <t>Dalyvavimas programose, skirtose sveikatai stiprinti, – tai investicija, kuri ateityje padėtų sumažinti visuomenės išlaidas sveikatai. Norint pagerinti visuomenės sveikatą labai svarbu gerinti vaikų ir paauglių valgymo įpročius, o ugdymo įstaigos yra geriausia vieta daryti įtaką vaikų mitybos įpročiams ir juos keisti, nes kaip tik tuo metu valgymo įpročiai formuojasi.</t>
  </si>
  <si>
    <t>Savižudybių skaičius, tenkantis 100 tūkst. gyventojų</t>
  </si>
  <si>
    <t>Regioninė nauja priemonė</t>
  </si>
  <si>
    <t xml:space="preserve">nauja priemonė </t>
  </si>
  <si>
    <t xml:space="preserve">Pacientų pavėžėjimo paslaugų užtikrinimas 
</t>
  </si>
  <si>
    <t>pavdinimas pakoreguotas</t>
  </si>
  <si>
    <t>207,2</t>
  </si>
  <si>
    <t xml:space="preserve">Naujai teikiamų paslaugų skaičius </t>
  </si>
  <si>
    <t>Projekto „VšĮ Visagino pirminės sveikatos priežiūros centro paslaugų plėtra ir prieinamumo gerinimas, steigiant psichiatrijos dienos stacionarą“ įgyvendinimas</t>
  </si>
  <si>
    <t>SB (AA)</t>
  </si>
  <si>
    <t>Šia programa siekiama užtikrinti kokybišką Visagino savivaldybės gyventojų sveikatos priežiūrą, sveikatos politikos įgyvendinimą savivaldybės lygiu. Programos vykdymas padeda tikslingai paskirstyti lėšas, skiriamas sveikatos priežiūrai.</t>
  </si>
  <si>
    <t>Šios programos tikslas – vykdyti savarankiškąsias savivaldybės (socialinių paslaugų planavimas ir teikimas, socialinių paslaugų įstaigų išlaikymas, socialinių pašalpų ir kompensacijų skaičiavimas ir mokėjimas, bendradarbiavimas su nevyriausybinėmis organizacijomis, sąlygų savivaldybės teritorijoje gyvenančių neįgaliųjų socialiniam integravimui į bendruomenę sudarymas) ir valstybines (valstybės perduotas savivaldybėms) funkcijas (socialinės globos teikimo asmenims su sunkia negalia užtikrinimas, išmokų skaičiavimas ir mokėjimas, mokinių nemokamo maitinimo, mokinių aprūpinimo mokinio reikmenimis administravimas).</t>
  </si>
  <si>
    <t xml:space="preserve">Luko6kov programa </t>
  </si>
  <si>
    <t xml:space="preserve">Projekto „Paslaugų, skatinančių ir efektyviai palaikančių globą šeimos aplinkoje, vystymas“ įgyvendinimas 
</t>
  </si>
  <si>
    <t>Regioninio planavimo priemonė</t>
  </si>
  <si>
    <t xml:space="preserve">Regioninio planavimo priemonė </t>
  </si>
  <si>
    <t>Dienos centrų paslaugas gaunančių asmenų skaičius (asm. per metus)</t>
  </si>
  <si>
    <t xml:space="preserve">Socialines paslaugas gavusių asmenų skaičius per metus </t>
  </si>
  <si>
    <t>Viso</t>
  </si>
  <si>
    <t>Savivaldybės strateginio
plėtros plano priemonės kodas</t>
  </si>
  <si>
    <t>Nauja priemon4</t>
  </si>
  <si>
    <t>Projekto „VšĮ Visagino ligoninės infrastruktūros modernizavimas“ įgyvendinimas</t>
  </si>
  <si>
    <t xml:space="preserve">Lėšų, skirtų edukacinių programų, projektų įgyvendinimui tobulinant švietimo darbuotojų kvalifikaciją, skatinant jų iniciatyvas, panaudojimas proc. </t>
  </si>
  <si>
    <t xml:space="preserve">pakeistas pavadinimas </t>
  </si>
  <si>
    <t>(pasikeitė pavadinimas)
(Newton Rooms koncepto,  bendradarbiaujant su verslo atstovais  vystymas)</t>
  </si>
  <si>
    <t>(pasikeitė pavadinimas)</t>
  </si>
  <si>
    <t>pasikeitė pavadinimas)</t>
  </si>
  <si>
    <t>Nauja priemonė</t>
  </si>
  <si>
    <t xml:space="preserve">Įstaigų, kuriose teikiamos karjeros konsultavimo paslaugos, skaičius </t>
  </si>
  <si>
    <t xml:space="preserve">02.02.01.02. (TP)
</t>
  </si>
  <si>
    <t>Švietimas – prioritetinė valstybės remiama Lietuvos Respublikos raidos sritis. Švietimas turi įtakos Visagino kultūrinei, socialinei ir ekonominei pažangai. Šia programa siekiama laiduoti valstybės ir Visagino savivaldybės švietimo politikos įgyvendinimą, ugdymo kokybę, išsilavinimo standartus atitinkantį išsilavinimą, vaikų socialinį ir psichologinį saugumą, skatinti ir remti besimokančiųjų užimtumą; įgyvendinti priemones, numatytas Visagino savivaldybės strateginiame plėtros plane, Lietuvos Respublikos Vyriausybės bei ministerijų teisės aktuose.</t>
  </si>
  <si>
    <t xml:space="preserve">2.1.5. </t>
  </si>
  <si>
    <t>R-07-01-02-05</t>
  </si>
  <si>
    <t>R-07-01-02-06</t>
  </si>
  <si>
    <t>2.5.1.4.</t>
  </si>
  <si>
    <t>2.4.1.2.</t>
  </si>
  <si>
    <t>Jaunesnių nei 50 metų bei 50 metų ir vyresnio amžiaus mokytojų skaičiaus santykis (procentais)</t>
  </si>
  <si>
    <t>29,6/70,4</t>
  </si>
  <si>
    <t>30/70</t>
  </si>
  <si>
    <t>31/69</t>
  </si>
  <si>
    <t>32/68</t>
  </si>
  <si>
    <t>27,8/72,2</t>
  </si>
  <si>
    <t>28/72</t>
  </si>
  <si>
    <t>29/71</t>
  </si>
  <si>
    <t>24,8/75,2</t>
  </si>
  <si>
    <t>26/74</t>
  </si>
  <si>
    <t>39,3/60,7</t>
  </si>
  <si>
    <t>40/60</t>
  </si>
  <si>
    <t>41/59</t>
  </si>
  <si>
    <t>96 proc.</t>
  </si>
  <si>
    <t>94 proc</t>
  </si>
  <si>
    <t>2.1.5.</t>
  </si>
  <si>
    <t xml:space="preserve">Įgyvendintų projektų/priemonių skaičius </t>
  </si>
  <si>
    <t>Programa rengiama ir įgyvendinama, atsižvelgiant į Nacionaliniame pažangos plane nustatytus sporto politikos strateginius tikslus ir (arba) pažangos uždavinius, švietimo, mokslo ir sporto ministro patvirtintą strateginių sporto šakų sąrašą, vietos bendruomenės poreikius, jos pagrindu finansuojama ir kitaip prisidedama prie savivaldybės teritorijoje veiklą vykdančių sporto srityje veikiančių fizinių ir juridinių asmenų veiklos, vykdoma sporto objektų plėtra, užtikrinamas jų teikiamų paslaugų prieinamumas gyventojams, vykdoma šviečiamoji veikla, formuojamas savivaldybės teritorijoje gyvenančių žmonių pozityvus požiūris į sporto reikšmę sveikatai, rengiamos ir įgyvendinamos kitos fizinio aktyvumo ir aukšto meistriškumo sporto plėtojimo savivaldybėje priemonės.</t>
  </si>
  <si>
    <t xml:space="preserve">09.01.01.02. (PP)
</t>
  </si>
  <si>
    <t>~534</t>
  </si>
  <si>
    <t>Programos tikslas - gyvendinti Visagino savivaldybės strateginiame plėtros plane numatytus tikslus ir uždavinius aplinkos būklei ir kokybei savivaldybėje pagerinti bei aplinkos užterštumui sumažinti</t>
  </si>
  <si>
    <t xml:space="preserve">Viso </t>
  </si>
  <si>
    <t xml:space="preserve">Savivaldybės institucijų  funkcijų įgyvendinimas
</t>
  </si>
  <si>
    <t xml:space="preserve">Ši priemonė nebus įgyvendinama.
</t>
  </si>
  <si>
    <t xml:space="preserve">Savivaldybės administracijos patikėjimo teise valdomų statinių ir bendrojo naudojimo inžinerinių tinklų  techninė priežiūra </t>
  </si>
  <si>
    <t xml:space="preserve">Ši priemonė nebus įgyvendinama 2024 m. 
</t>
  </si>
  <si>
    <t>01.02.04.04. (TP)</t>
  </si>
  <si>
    <t>01.02.04.03. (TP)</t>
  </si>
  <si>
    <t>01.02.04.02.(TP)</t>
  </si>
  <si>
    <t>01.02.04.01. (TP)</t>
  </si>
  <si>
    <t>01.02.03.01 (TP)</t>
  </si>
  <si>
    <t>01.02.02.07. (TP)</t>
  </si>
  <si>
    <t>01.02.02.05. (TP)</t>
  </si>
  <si>
    <t>01.02.02.02. (TP)</t>
  </si>
  <si>
    <t>01.02.02.01. (TP)</t>
  </si>
  <si>
    <t>01.01.05.01. (TP)</t>
  </si>
  <si>
    <t>01.01.04.04 (TP)</t>
  </si>
  <si>
    <t>01.01.04.03 (TP)</t>
  </si>
  <si>
    <t>01.01.04.02. (TP)</t>
  </si>
  <si>
    <t>01.01.04.01. (TP)</t>
  </si>
  <si>
    <t>01.01.03.05. (TP)</t>
  </si>
  <si>
    <t>01.01.03.03. (TP)</t>
  </si>
  <si>
    <t>01.01.03.02. (TP)</t>
  </si>
  <si>
    <t>01.01.03.01. (TP)</t>
  </si>
  <si>
    <t>01.01.02.20. (TP)</t>
  </si>
  <si>
    <t>01.01.02.19. (TP)</t>
  </si>
  <si>
    <t>01.01.02.18. (TP)</t>
  </si>
  <si>
    <t>01.01.02.17. (TP)</t>
  </si>
  <si>
    <t>01.01.02.16. (TP)</t>
  </si>
  <si>
    <t>01.01.02.15. (TP)</t>
  </si>
  <si>
    <t>01.01.02.14. (TP)</t>
  </si>
  <si>
    <t>01.01.02.13. (TP)</t>
  </si>
  <si>
    <t>01.01.02.12. (TP)</t>
  </si>
  <si>
    <t>01.01.02.11. (TP)</t>
  </si>
  <si>
    <t>01.01.02.10. (TP)</t>
  </si>
  <si>
    <t>01.01.02.09. (TP)</t>
  </si>
  <si>
    <t>01.01.02.07. (TP)</t>
  </si>
  <si>
    <t>01.01.02.06. (TP)</t>
  </si>
  <si>
    <t>01.01.02.05. (TP)</t>
  </si>
  <si>
    <t>01.01.02.04. (TP)</t>
  </si>
  <si>
    <t>01.01.02.03. (TP)</t>
  </si>
  <si>
    <t>01.01.02.02. (TP)</t>
  </si>
  <si>
    <t>1.4. Europos Sąjungos ir kitos tarptautinės finansinės paramos lėšos (EGDP, VB)</t>
  </si>
  <si>
    <t>Programos tikslas - kryptingai vykdyti valstybės ir savivaldybės kultūros politiką. Šios programos priemonėmis numatoma sudaryti sąlygas savivaldybės gyventojams susipažinti su šiuolaikinėmis ir tradicinėmis profesionalaus ir mėgėjų meno formomis, ugdyti gyventojų kūrybiškumo ir kritinio mąstymo gebėjimus, etninę savimonę, meninį ir estetinį skonį, skatinti tautinio identiteto plėtrą ir menų įvairovę, skaitymo aktyvinimą bei mokymąsi visą gyvenimą. Sudarant optimalias sąlygas gyventojams dalyvauti kultūrinime gyvenime, meno saviveiklos kolektyvuose, įgyvendinant kultūrines-edukacines programas, skatinti įvairaus amžiaus gyventojų užimtumą, mažinti negatyvių visuomenės veiksnių poveikį, formuoti Visagino savivaldybės kaip įvairiatautės, kultūriškai išprususios bendruomenės įvaizdį.</t>
  </si>
  <si>
    <t>Pagrindiniai programos tikslai yra jaunimo, jaunimo organizacijų, vietos bendruomenių, daugiabučių namų bendrijų ir savininkų veiklos skatinimas, nusikalstamumo mažinimo bei savivaldybės visuomenės saugumo užtikrinimas ir pilietinio sąmoningumo stiprinimas. 
Siekiama įvairias gyventojų grupes įtraukti į Visagino savivaldybės ir savivaldybės administracijos inicijuojamų / organizuojamų priemonių įgyvendinimą, inicijuoti, formuoti ir palaikyti pilietiškumo, iniciatyvumo, bendruomeniškumo skatinimo mechanizmus.</t>
  </si>
  <si>
    <t>(keičiasi pavadinimas)</t>
  </si>
  <si>
    <t>nauja priemone</t>
  </si>
  <si>
    <t xml:space="preserve">Rengti ir stiprinti edukacines programas bei stovyklas (įskaitant tradicinės kultūros stovyklas) skirtingo amžiaus diasporos vaikams ir jaunimui, kviesti diasporos atstovus dalyvauti įvairiuose renginiuose Lietuvoje
</t>
  </si>
  <si>
    <t xml:space="preserve">Priemonė įgyvendinama pagal poreikį.
</t>
  </si>
  <si>
    <t>Programos tikslas -  padidinti miesto viešųjų erdvių patrauklumą, užtikrinti švarą ir tvarką, įgyvendinti priemones, skirtas bendruomenės infrastruktūros plėtrai, pagerinti gyvenimo aplinką ir kokybę, pagerinti kelių ir gatvių dangas, rekonstruoti kelius, rekonstruoti esamas automobilių stovėjimo aikšteles bei įrengti naujas, sudaryti gyventojams patogias susisiekimo sąlygas nuostolingais keleivių pervežimo maršrutais, teikti gyventojams kokybiškas komunalines paslaugas ir gerinti jų kokybę, prižiūrėti ir modernizuoti miesto inžinerinės ir rekreacinės infrastruktūros objektus, prižiūrėti ir modernizuoti gyvenamąjį fondą, gerinti kapinių priežiūrą ir viešąją infrastruktūrą.</t>
  </si>
  <si>
    <t xml:space="preserve">keičiasi pavadinimas </t>
  </si>
  <si>
    <t xml:space="preserve">Apšvietimo tinklų ir elektros įrangos remontas, priežiūra ir plėtra 
</t>
  </si>
  <si>
    <t xml:space="preserve">1 programa
2 programa
3 programa
4 programa
5 programa
6 programa 
7 programa </t>
  </si>
  <si>
    <t>8 programa
10 programa</t>
  </si>
  <si>
    <t>I PRIORITETINIS TIKSLAS.  
KONKURENCINGO VERSLO SKATINIMAS 
IR VIETINĖS EKONOMIKOS TVARI PLĖTRA</t>
  </si>
  <si>
    <t>II PRIORITETINIS TIKSLAS. 
SOCIALINĖS GEROVĖS KŪRIMAS, 
SUMANIAI, PAŽANGIAI, BESIMOKANČIAI, 
MODERNIAI IR LAIMINGAI  BENDRUOMENEI</t>
  </si>
  <si>
    <t xml:space="preserve"> III PRIORITETINIS TIKSLAS. 
TVARUS, SUBALANSUOTAS SAVIVALDYBĖS 
APLINKOS VYSTYMAS IR PLĖTRA</t>
  </si>
  <si>
    <t>2023-2030 m. plėtros plano prioritetiniai tikslai</t>
  </si>
  <si>
    <t xml:space="preserve">Visagino kūrybos menų akademija </t>
  </si>
  <si>
    <t>Įgyvendinant šią priemonę siekiama užtikrinti vaizdo stebėjimo kamerų tinklo efektyvų darbą, siekiant užtikrinti saugumą mieste.</t>
  </si>
  <si>
    <t xml:space="preserve">Šeimos ir vaiko gerovės centras </t>
  </si>
  <si>
    <t xml:space="preserve">Visagino kultūros centras </t>
  </si>
  <si>
    <t xml:space="preserve">Viešoji biblioteka </t>
  </si>
  <si>
    <t xml:space="preserve">Visagino miesto fontano priežiūros  darbai </t>
  </si>
  <si>
    <t xml:space="preserve">Lietuvos Respublikos vietos savivaldos įstatymo 7 straipsnio 1 punkto įgyvendinimo užtikrinimas.  </t>
  </si>
  <si>
    <t xml:space="preserve">Lietuvos Respublikos vietos savivaldos įstatymo 7 straipsnio 19  punkto įgyvendinimas. </t>
  </si>
  <si>
    <t xml:space="preserve">Lietuvos Respublikos vietos savivaldos įstatymo  7 straipsnio 28  punkto nuostatų įgyvendinimas. </t>
  </si>
  <si>
    <t xml:space="preserve">Lietuvos Respublikos vietos savivaldos įstatymo   7 straipsnio 28  punkto įgyvendinimo užtikrinimas.  </t>
  </si>
  <si>
    <t>Lietuvos Respublikos vietos savivaldos įstatymo 7 straipsnio 2  punkto įgyvendinimo užtikrinimas.</t>
  </si>
  <si>
    <t xml:space="preserve">Lietuvos Respublikos vietos savivaldos įstatymo 7 straipsnio 27 punkto įgyvendinimo užtikrinimas. </t>
  </si>
  <si>
    <t xml:space="preserve">Lietuvos Respublikos vietos savivaldos įstatymo  7 straipsnio 36 punkto įgyvendinimo užtikrinimas. </t>
  </si>
  <si>
    <t>Įgyvendintų savivaldybėms teisės aktuose nustatytų priemonių, vykdant savivaldybėms perduotą valstybinę funkciją ,,Dalyvavimas rengiant ir vykdant mobilizaciją, demobilizaciją, priimančiosios šalies paramą“, procentas, palyginti su visu teisės aktuose nustatytų priemonių
skaičiumi</t>
  </si>
  <si>
    <t xml:space="preserve">Lietuvos Respublikos vietos savivaldos įstatymo 7 straipsnio 3 punkto įgyvendinimo užtikrinimas.  </t>
  </si>
  <si>
    <t xml:space="preserve">Lietuvos Respublikos vietos savivaldos įstatymo 7 straipsnio 13 punkto įgyvendinimo užtikrinimas. </t>
  </si>
  <si>
    <t xml:space="preserve">Lietuvos Respublikos vietos savivaldos įstatymo 7 straipsnio 35 punkto įgyvendinimas. </t>
  </si>
  <si>
    <t xml:space="preserve">Lietuvos Respublikos vietos savivaldos įstatymo 7 straipsnio 34 punkto įgyvendinimo užtikrinimas. </t>
  </si>
  <si>
    <t xml:space="preserve">VšĮ Visagino ligoninė
</t>
  </si>
  <si>
    <t xml:space="preserve">VšĮ Visagino pirminės sveikatos priežiūros centras </t>
  </si>
  <si>
    <t xml:space="preserve">UAB „Visagino energija“ </t>
  </si>
  <si>
    <t xml:space="preserve">UAB „Visagino būstas“ </t>
  </si>
  <si>
    <t xml:space="preserve">VšĮ Visagino turizmo plėtros centras </t>
  </si>
  <si>
    <t>VšĮ Visagino miesto muziejus </t>
  </si>
  <si>
    <t xml:space="preserve">Viešoji įstaiga Visagino futbolo centras </t>
  </si>
  <si>
    <t>Iš jų: regioninių pažangos priemonių lėšos (RP)</t>
  </si>
  <si>
    <t>254 ūkst./ metus</t>
  </si>
  <si>
    <t xml:space="preserve">Įgyvendinant priemonę bus apmokamos sąskaitos už savivaldybės gatvių apšvietimą. </t>
  </si>
  <si>
    <t xml:space="preserve">Trumpas priemonės įgyvendinimo aprašymas
</t>
  </si>
  <si>
    <t xml:space="preserve">Projekto „Visos dienos užimtumo erdvių sukūrimas Visagino bendrojo ugdymo mokyklose“ įgyvendinimas
</t>
  </si>
  <si>
    <t>MISIJA</t>
  </si>
  <si>
    <t>I SKYRIUS
SAVIVALDYBĖS MISIJA IR VEIKLOS PRIORITETAI</t>
  </si>
  <si>
    <t>SAVIVALDYBĖS PRIORITETAI</t>
  </si>
  <si>
    <r>
      <t>Švietimo pagalbą gaunančių mokinių dalis</t>
    </r>
    <r>
      <rPr>
        <sz val="9"/>
        <rFont val="Arial"/>
        <family val="2"/>
      </rPr>
      <t xml:space="preserve"> (</t>
    </r>
    <r>
      <rPr>
        <sz val="9"/>
        <color rgb="FF000000"/>
        <rFont val="Arial"/>
        <family val="2"/>
      </rPr>
      <t>nuo visų mokinių, kuriems nustatytas švietimo pagalbos poreikis, skaičiaus)</t>
    </r>
  </si>
  <si>
    <t>Įgyvendinti Lietuvos Respublikos gyvūnų gerovės ir apsaugos įstatymo nuostatas</t>
  </si>
  <si>
    <r>
      <rPr>
        <b/>
        <sz val="9"/>
        <rFont val="Arial"/>
        <family val="2"/>
      </rPr>
      <t>Visagino inovacijų klasteris veiklos vykdymas</t>
    </r>
    <r>
      <rPr>
        <b/>
        <sz val="9"/>
        <color rgb="FFFF0000"/>
        <rFont val="Arial"/>
        <family val="2"/>
      </rPr>
      <t xml:space="preserve">
</t>
    </r>
  </si>
  <si>
    <t>Laisvosios ekonominės zonos steigimo Visagino savivaldybėje proceso organizavimas</t>
  </si>
  <si>
    <t>Trumpas priemonės įgyvendinimo aprašymas</t>
  </si>
  <si>
    <t>Trumpas priemonės įgyvendinimo aprašymase</t>
  </si>
  <si>
    <t>27</t>
  </si>
  <si>
    <t>7000</t>
  </si>
  <si>
    <t>1400</t>
  </si>
  <si>
    <t>998</t>
  </si>
  <si>
    <t>4/100</t>
  </si>
  <si>
    <t>SB (L)</t>
  </si>
  <si>
    <t>L</t>
  </si>
  <si>
    <t>ĮP L</t>
  </si>
  <si>
    <t>4000</t>
  </si>
  <si>
    <t>Avariniams darbams panaudotų lėšų proc. nuo planuotų</t>
  </si>
  <si>
    <t xml:space="preserve">Drūkšių vizualizacija </t>
  </si>
  <si>
    <t>Trūkstamų specialistų pritraukimo į Visagino savivaldybės įstaigas programos įgyvendinimas</t>
  </si>
  <si>
    <t>Pritrauktų specialistų  skaičius</t>
  </si>
  <si>
    <t>Projekto „Darnaus judumo infrastruktūros įrengimas Visagino mieste“ įgyvendinimas</t>
  </si>
  <si>
    <t>Projekto „Infrastruktūros sutvarkymas šalia nebaigto statyti pastato, esančio Festivalio g. 5, pertvarkant teritoriją į automobilių stovėjimo aikštelę" įgyvendinimas</t>
  </si>
  <si>
    <t>Projekto „Autobusų stoties su turizmo informacijos centru įrengimas  Visagino savivaldybėje" įgyvendinimas</t>
  </si>
  <si>
    <t xml:space="preserve">Pastato, esančio Vilties g. 3, rekonstravimas ir atlaisvintos teritorijos sutvarkymas, pritaikant daugiafunkcinio centro įrengimui </t>
  </si>
  <si>
    <t>Įgyvendinant priemonę planuojama ieškoti sprendimo būdų ir  finansavimo galimybių pastato, esančio Vilties g. 3, rekonstravimui ir pritaikymui daugiafunkcio centro įrengimui.</t>
  </si>
  <si>
    <t>Projekto „Pastato, esančio Tarybų g. 23. Visagine  patalpų atnaujinimas ir pritaikymas  Visagino miesto muziejaus veiklai" įgyvendinimas</t>
  </si>
  <si>
    <t>Visagino miesto muziejaus veiklai pritaikytų patalpų plotas, m2</t>
  </si>
  <si>
    <t>Atnaujintų objektų skaičius</t>
  </si>
  <si>
    <t>Projekto „VšĮ IAE regiono verslo ir turizmo informacijos centro pastato, esančio adresu Taikos g. 7, energijos vartojimo efektyvumo didinimas" įgyvendinimas</t>
  </si>
  <si>
    <t xml:space="preserve"> Erdvių, pritaikytų įrengti  darbo vietas kūrybinių industrijų sektoriuje, skaičius (kv. m)</t>
  </si>
  <si>
    <t>Erdvių pritaikytų įrengti  darbo vietas kūrybinių industrijų sektoriuje skaičius (kv. m)</t>
  </si>
  <si>
    <t xml:space="preserve">Priemonės įgyvendinimas prisidės prie Strateginio plėtros plano priemonės Investavimo paketo/teisės aktų projektų parengimas stambaus investuotojo (-ų) pritraukimui (pramonės teritorijos/ LEZ suformavimui).
Parengus investavimo paketą/teisės aktų projektus investuotojui (sudarius investicijų sutartį), planuojama sutvarkyti infrastruktūrą iki planuojamo suteikti sklypo stambiam investuotojui (pramonės teritorija/laisvoji ekonominė zona) ribų įrengimas ir (ar) sutvarkymas (Drūkšinių k., Visagino sav.).
</t>
  </si>
  <si>
    <t>Projekto „Apleistų / avarinių pastatų nugriovimas ir teritorijos valymas, regeneruojant buvusį karinį miestelį ir pritaikant kompleksą inovatyviai pramonei vystyti - SMART PARK įkūrimui" įgyvendinimas</t>
  </si>
  <si>
    <t>Investicijų programos „Visagino darnios ateities kūrimas" parengimas (angl. investment concept "Creating a sustainable future in Visaginas", EUCF (European city facility) projekto įgyvendinimas)</t>
  </si>
  <si>
    <t>Projekto „Saulės jėgainių parko Visagino savivaldybėje" įrengimas</t>
  </si>
  <si>
    <t xml:space="preserve">Projekto  „Oro monitoringo sistemos modernizavimas, įrengiant stacionarias oro taršos stebėjimo vietas Visagino savivaldybėje" įgyvendinimas </t>
  </si>
  <si>
    <t xml:space="preserve">Projekto  „Didelių gabaritų atliekų surinkimo aikštelės įrengimas Visagino mieste" įgyvendinimas 
</t>
  </si>
  <si>
    <t>Projekto „Komunalinių atliekų rūšiuojamojo atliekų surinkimo pajėgumų plėtra Visagino savivaldybėje" įgyvendinimas</t>
  </si>
  <si>
    <t xml:space="preserve">Investicijos į rūšiuojamojo atliekų surinkimo įrenginius, Eur </t>
  </si>
  <si>
    <t xml:space="preserve">Projekto „Visagino savivaldybės sveikatos centro sveikatos priežiūros paslaugoms teikti reikiamos infrastruktūros
modernizavimas" įgyvendinimas </t>
  </si>
  <si>
    <t xml:space="preserve">Projekto „Ilgalaikės priežiūros paslaugų plėtros Visagino savivaldybėje užtikrinimas" įgyvendinimas 
</t>
  </si>
  <si>
    <t>2021 m. spalio 14 d. Visagino savivaldybės tarybos sprendimu Nr. TS–205 „Dėl Trūkstamų specialybių gydytojų motyvavimo dirbti Visagino savivaldybės viešosiose asmens sveikatos priežiūros įstaigose programos patvirtinimo“ buvo patvirtinta programa, kurios pagrindinis tikslas – nustatyti skatinimo priemonių skyrimo naujai atvykstantiems dirbti trūkstamų specialybių gydytojams ir rezidentams Visagino viešosiose asmens sveikatos priežiūros įstaigose tvarką, kad būtų užtikrintas kokybiškas asmens sveikatos priežiūros paslaugų teikimas savivaldybės gyventojams bei remti studentus, kad baigę studijas ir rezidentūros studijas atvyktų dirbti į Visagino savivaldybę. Programoje numatytos skatinimo priemonės taikomos įsidarbinusiems pirmą kartą įstaigoje trūkstamos specialybės gydytojams ir rezidentams ne mažesniu kaip 0,5 etato krūviu. Skatinimo priemonių finansavimo dydis yra taikomas proporcingai dirbtam darbo krūviui (bet ne daugiau kaip vieno etato darbo krūviui). Gydytojas ar rezidentas pirmą kartą dėl skatinimo priemonės skyrimo gali kreiptis per 12 mėnesių nuo darbo sutarties su ASPĮ pasirašymo dienos.</t>
  </si>
  <si>
    <t>Pagerinti  ir plėsti socialinių paslaugų kokybę ir prieinamumą, sukurti jų plėtrai reikalingą  infrastruktūrą</t>
  </si>
  <si>
    <t xml:space="preserve">Socialinės pašalpos gavėjų, skaičius </t>
  </si>
  <si>
    <t>Išmokų nedarbingiems neįgaliems asmenims, auginantiems vaikus iki 18 metų bei vaikus iki 24 metų, besimokančius bendrojo lavinimo mokyklose, profesinėse mokyklose, aukštesniosiose ar aukštosiose mokyklose dienine forma, mokėjimas (SADM)</t>
  </si>
  <si>
    <t xml:space="preserve">Įgyvendinant šią priemonę gali būti kompensuojamos  fizinių ar juridinių asmenų, perdavusių savo būstą ar patalpas neatlygintinai naudotis panaudos pagrindais dėl karinių veiksmų iš Ukrainos pasitraukusiems gyventojams, patirtos išlaidos. </t>
  </si>
  <si>
    <t>Socialinės reabilitacijos neįgaliesiems bendruomenėje paslaugas gavusių asmenų skaičius</t>
  </si>
  <si>
    <t>Vaikų, gavusių dienos centre teikiamas socialines paslaugas, skaičius</t>
  </si>
  <si>
    <t>Projekto „Apleisto (nenaudojamo) buvusio visuomeninio pastato konversija ir pritaikymas Savarankiško gyvenimo namų Visagine įkūrimui"</t>
  </si>
  <si>
    <t>Socialiai pažeidžiamų, socialinę riziką (atskirtį) patiriančių asmenų, gavusių paslaugas naujoje ar modernizuotoje infrastruktūroje skaičius per metus</t>
  </si>
  <si>
    <t xml:space="preserve">Projekto „Perėjimas nuo institucinės globos prie bendruomeninių paslaugų Sostinės regione, Vidurio ir vakarų Lietuvos regione" įgyvendinimas 
</t>
  </si>
  <si>
    <t>Projekto „Pabėgėlių iš Ukrainos priėmimas ir ankstyva integracija“ įgyvendinimas</t>
  </si>
  <si>
    <t>Siekiant formuoti regioninį išskirtinumą, kurti savitus, aktualaus turinio, kokybiškus kultūros produktus ir paslaugas, sudaryti sąlygas savivaldybės kultūros lauko veikėjų kultūrinių,  kūrybinių iniciatyvų įgyvendinimui, tam pasitelkti kūrybiškos vietokūros metodo teikiamas galimybes bei sudaryti sąlygas profesionalaus meno prieinamumui</t>
  </si>
  <si>
    <t>Organizuota svarbių datų ir sukakčių paminėjimų, skaičius</t>
  </si>
  <si>
    <t xml:space="preserve">Parengtų programų skaičius </t>
  </si>
  <si>
    <t xml:space="preserve">Įstaigų, kurioms užtikrinamas veiklos finansavimas, skaičius </t>
  </si>
  <si>
    <t>Didinti vaikų ir jaunimo socioedukacinių veiklų, socialiai prasmingo užimtumo, profesinio mokymo, saviraiškos bei švietimo pagalbos įvairovę ir prieinamumą</t>
  </si>
  <si>
    <t>Lėšų, skirtų pagrindinio ugdymo pasiekimų patikrinimo organizavimui ir brandos egzaminų vykdymui, panaudojimas proc.</t>
  </si>
  <si>
    <t xml:space="preserve">Tūkstantmečio mokyklų Visagino ir Ignalinos rajono savivaldybių švietimo pažangos plane Visagino savivaldybei numatytų priemonių įgyvendinimas proc., nuo visų planuotų įgyvendinti </t>
  </si>
  <si>
    <t xml:space="preserve">Projekto  „Stiprinti ikimokyklinio 
ugdymo įstaigų tinklą, kuriant naujas ugdymo veiklas" įgyvendinimas
</t>
  </si>
  <si>
    <t xml:space="preserve">Projekto „Visagino progimnazijų erdvių pritaikymas negalią turinčių mokinių ugdymuisi įtraukiuoju būdu" įgyvendinimas
</t>
  </si>
  <si>
    <t>Sukurtų inovatyvių erdvių skaičius ikimokyklinio ugdymo įstaigose, kv.m</t>
  </si>
  <si>
    <t>Mokyklos, kuriose buvo įdiegtos universalaus dizaino ir kitos inžinerinės priemonės pritaikant aplinką asmenims, turintiems negalią</t>
  </si>
  <si>
    <t>Mokinių, besinaudojančių sukurta visos dienos mokyklos infrastruktūra, skaičius</t>
  </si>
  <si>
    <t>Vaikų vasaros poilsio organizavimas, saugios, socialines-emocines kompetencijas ugdančios ugdymo aplinkos kūrimas</t>
  </si>
  <si>
    <t>Įgyvendinant priemonę bus užtikrintas karjeros konsultavimo paslaugų teikimas mokiniams bei  įdarbinti karjeros specialistai, teikiantys profesinio orientavimo paslaugas mokiniams bendrojo ugdymo mokyklose. Profesinio orientavimo paslaugos teikiamos visose 5 mokyklose: „Atgimimo“ gimnazija, Draugystės progimnazija, „Gerosios vilties“ progimnazija, „Verdenės“ gimnazija ir „Žiburio“ pagrindinė mokykla, o karjeros specialistai, teikiantys šias paslaugas, įdarbinti 3 įstaigose: „Gerosios vilties“ progimnazija, „Verdenės“ gimnazija ir Visagino švietimo pagalbos tarnyba (aptarnauja „Atgimimo“ gimnaziją, Draugystės progimnaziją ir „Žiburio“ pagrindinę mokyklą).</t>
  </si>
  <si>
    <t>Įgyvendinant šią priemonę planuojama  užtikrinti Visagino savivaldybės merui, administracijai bei Visagino savivaldybės tarybai priskirtų funkcijų įgyvendinimą.</t>
  </si>
  <si>
    <t xml:space="preserve">Savivaldybės tarybos mero ir sekretoriato darbo organizavimas </t>
  </si>
  <si>
    <r>
      <t>Lietuvos Respublikos vietos savivaldos įstatymo 7 straipsnio 12 punkto įgyvendinimas.</t>
    </r>
    <r>
      <rPr>
        <sz val="9"/>
        <color rgb="FFFF0000"/>
        <rFont val="Arial"/>
        <family val="2"/>
      </rPr>
      <t xml:space="preserve"> </t>
    </r>
  </si>
  <si>
    <t xml:space="preserve">Lietuvos Respublikos vietos savivaldos įstatymo  7 straipsnio 20, 21, 22 punktų įgyvendinimo užtikrinimas. </t>
  </si>
  <si>
    <t>Užtikrinti Vietos savivaldos įstatyme numatytų  valstybės deleguotų žemės ūkio funkcijų vykdymą, proc.</t>
  </si>
  <si>
    <t xml:space="preserve">Nepertraukiamas valstybinės funkcijos (valstybės perduotos savivaldybėms), susijusios su savivaldybėms priskirtos valstybinės žemės ir kito valstybės turto valdymu, naudojimu ir disponavimu juo patikėjimo teise, įgyvendinimas savivaldybių teritorijoje esančių miestų ir
miestelių teritorijų ribose valstybinėje žemėje, proc. </t>
  </si>
  <si>
    <t xml:space="preserve"> Įgyvendinant priemonę planuojama viešame aukcione parduoti savivaldybės nekilnojamąjį turtą ir kitus nekilnojamuosius daiktus bei užtikrinti sistemos administravimo mokestį.</t>
  </si>
  <si>
    <t>Mero rezervo lėšos gali būti naudojamos ekstremaliosioms situacijoms  ir (arba) ekstremaliesiems įvykiams likviduoti, jų padariniams šalinti ir padarytiems nuostoliams iš dalies apmokėti, gaisrų, stichinių nelaimių ir kitų įvykių padariniams likviduoti ir jų padarytiems nuostoliams iš dalies apmokėti, dėl nepaprastosios padėties atsiradusioms išlaidoms iš dalies apmokėti ir (arba) jos padariniams šalinti.</t>
  </si>
  <si>
    <t>Projekto  „Smart city - Visaginas " įgyvendinimas</t>
  </si>
  <si>
    <t xml:space="preserve">Kasmet didėjantis ne mažiau kaip 20 proc. </t>
  </si>
  <si>
    <t>Stacionaro ligonių skaičius, tenkantis 1 tūkst. gyventojų</t>
  </si>
  <si>
    <t>Gyventojų, pasitikinčių savivaldybės institucija ir jos įstaigomis, dalis proc.</t>
  </si>
  <si>
    <t>„Facebook“10 000 tūkst. (2030</t>
  </si>
  <si>
    <t>„YouTube“ 469 (2020)</t>
  </si>
  <si>
    <t>„YouTube“ 1,2 tūkst. (2030)</t>
  </si>
  <si>
    <t>Mažėjantis iki 100 t (2030)</t>
  </si>
  <si>
    <t xml:space="preserve">Autoįvykių skaičius per metus </t>
  </si>
  <si>
    <t>Ne mažiau kaip 55 proc. susidariusių
komunalinių atliekų
 (pagal
svorį) paruošta 
pakartotinai naudoti ir perdirbta</t>
  </si>
  <si>
    <t>Ne mažiau kaip 56 proc. susidariusių komunalinių atliekų (pagal
svorį) paruošta pakartotinai naudoti ir perdirbta</t>
  </si>
  <si>
    <t>Ne mažiau kaip 57 proc. susidariusių komunalinių atliekų (pagal
svorį) paruošta pakartotinai naudoti ir perdirbta</t>
  </si>
  <si>
    <t xml:space="preserve">  </t>
  </si>
  <si>
    <t xml:space="preserve">Projekto „Visagino savivaldybės priemonių, numatytų  „Tūkstantmečio mokyklų" Visagino ir Ignalinos rajono savivaldybių Švietimo pažangos plane" įgyvendinimas </t>
  </si>
  <si>
    <t>SB (ĮPL)</t>
  </si>
  <si>
    <t>ĮP (L)</t>
  </si>
  <si>
    <t>01.01.02.08. (TP)</t>
  </si>
  <si>
    <t>Sudaryti sąlygas iš anksto negalimoms suplanuoti priemonėms vykdyti bei savivaldybės finansiniams įsipareigojimams įgyvendinti</t>
  </si>
  <si>
    <t>~2700</t>
  </si>
  <si>
    <t>Asmenų su negalia reikalų koordinavimo funkcijai atlikti</t>
  </si>
  <si>
    <t>R-01-01-02-09</t>
  </si>
  <si>
    <t>Panaudota dotacijos dalis, nuo visų asmenų su negalia reikalų koordinavimo funkcijos atlikimui numatytų lėšų procentais</t>
  </si>
  <si>
    <t>Atliktų įmonių ir įstaigų, interneto svetainių, spaudos leidinių ir reklamos objektų patikrinimų skaičius, vienetai</t>
  </si>
  <si>
    <t>Parengtų ir savivaldybės interneto svetainėje paskelbtų atmintinių ir rekomendacijų skaičius, vienetai</t>
  </si>
  <si>
    <t>Savivaldybės administracinių paslaugų, teikiamų elektroniniu būdu ne žemesniu kaip 4 brandos lygiu, dalis nuo visų savivaldybės teikiamų administracinių paslaugų, proc.</t>
  </si>
  <si>
    <t>Jaunimo politikos formavimo, skatinimo ir  įgyvendinimo temomis atliktų analizių skaičius, vnt.</t>
  </si>
  <si>
    <t>Dalyvaujama tarptautiniuose ir nacionaliniuose renginiuose su jaunimu ir / ar jaunimo organizacijomis</t>
  </si>
  <si>
    <t>Savivaldybės administracinių paslaugų, 
teikiamų elektroniniu būdu ne žemesniu kaip 4 brandos lygiu, dalis nuo visų savivaldybės teikiamų administracinių paslaugų, proc.</t>
  </si>
  <si>
    <t>Gyventojų, per paskutinius 12 mėnesių dalyvavusių sprendžiant viešuosius vietos reikalus dalis, proc.</t>
  </si>
  <si>
    <t xml:space="preserve"> Miestų partnerių skaičius , vnt.</t>
  </si>
  <si>
    <t>Neformaliojo vaikų švietimo galimybėmis pasinaudojusių mokinių dalis (išskyrus ikimokykliniame ir priešmokykliniame ugdyme dalyvaujančius vaikus), proc.</t>
  </si>
  <si>
    <t>Įstaigų, dalyvavusių projektinėje veikloje skaičius</t>
  </si>
  <si>
    <t>02.01.03.02. (PP)</t>
  </si>
  <si>
    <t>02.01.03. (P)</t>
  </si>
  <si>
    <t>Įgyvendintų priemonių/ projektų skaičius, vnt.</t>
  </si>
  <si>
    <t>04.02.03. (T)</t>
  </si>
  <si>
    <t>04.02.02. (T)</t>
  </si>
  <si>
    <t>R-05-01-01-06</t>
  </si>
  <si>
    <t>05.04.01.02. (TP)</t>
  </si>
  <si>
    <t>E-05-05-01</t>
  </si>
  <si>
    <t>R-05-05-01-01</t>
  </si>
  <si>
    <t>E-06-01-02</t>
  </si>
  <si>
    <t>E-06-01-03</t>
  </si>
  <si>
    <t>Turizmo / žygių maršruto sukūrimas "Atominis Visaginas: atrask, pamatyk, išgirsk" įtraukiant į jį vietovei būdingus išteklius ir integruojant į VIZA bendrus turizmo maršrutus</t>
  </si>
  <si>
    <t>Kosmoso gatvės rekonstravimas</t>
  </si>
  <si>
    <t xml:space="preserve">Kūrybos ir menų akademija </t>
  </si>
  <si>
    <t>AA (L)</t>
  </si>
  <si>
    <t xml:space="preserve">AA </t>
  </si>
  <si>
    <t>Paramą gavusių asmenų skaičius</t>
  </si>
  <si>
    <t>2350</t>
  </si>
  <si>
    <t>02.01.03.06. (PP)</t>
  </si>
  <si>
    <t>Dalyvavimas projekto „Ugdymo priemonės mokykloms“ įgyvendinime“</t>
  </si>
  <si>
    <t>R-02-01-03-06</t>
  </si>
  <si>
    <t>Naudotojų skaičius/
Mokyklų skaičius</t>
  </si>
  <si>
    <t>1931/
5</t>
  </si>
  <si>
    <t>2.1.-5-4</t>
  </si>
  <si>
    <t>1924/
5</t>
  </si>
  <si>
    <t>Įstaigų, dalyvavusių projektinėje veikloje partnerių teisėmis, skaičius</t>
  </si>
  <si>
    <t>02.01.03.07. (PP)</t>
  </si>
  <si>
    <t>Dalyvavimas projekto „Ankstyvojo ugdymo užtikrinimas vaikams iš socialinę riziką patiriančių šeimų“ įgyvendinime“</t>
  </si>
  <si>
    <t>R-02-01-03-07</t>
  </si>
  <si>
    <t>Vaikų, augančių šeimose patiriančiose socialinę riziką, lankančių ikimokyklinio ugdymo įstaigas, skaičius</t>
  </si>
  <si>
    <t>56</t>
  </si>
  <si>
    <t>SRF
(Kt)</t>
  </si>
  <si>
    <t>R-07-01-02-02</t>
  </si>
  <si>
    <t>Veikianti daugiaprofilinė, moderni antrinio lygio asmens sveikatos priežiūros įstaiga
Veikianti moderni pirminio lygio asmens sveikatos priežiūros įstaiga, teikianti bazines sveikatos priežiūros paslaugas</t>
  </si>
  <si>
    <t>R-07-01-02-07</t>
  </si>
  <si>
    <t>Specialistai, dalyvavę kvalifikacijos tobulinimo ar perkvalifikavimo veiklose, asmenys</t>
  </si>
  <si>
    <t>Švietimo paslaugų plėtros programa (02)</t>
  </si>
  <si>
    <t>Įgyvendinant šią priemonę vykdoma:
vandens telkinių paplūdimių valymas ir priežiūra;
kapinių tvarkymas ir priežiūra;
želdinių priežiūra, tvarkymas, atnaujinimas;
miesto žaliųjų zonų, gėlynų, parkų, skverų priežiūra, tvarkymas, atnaujinimas; 
miško parko zonos valymas;
sanitarijos darbų vykdymas;
suoliukų tarp daugiabučių namų, skveruose, gatvėse remontas;
mažųjų architektūrinių formų priežiūra;
miesto gatvių ir vietinių kelių valymas ir priežiūra.
Taip pat numatoma šalinti pavojų keliančius ir sergančius medžius, įsigyti ir veisti naujus želdinius, šalinti kelmus, taip pat užtikrinti rekonstruotos Sedulinos al. dalies žaliųjų plotų priežiūrą.</t>
  </si>
  <si>
    <t>2024-07-17 Visagino savivaldybės administracija kartu su Europos socialinio fondo agentūra pasirašė jungtinės veiklos sutartį dėl  2021–2030 m. plėtros programos valdytojos Lietuvos Respublikos švietimo, mokslo ir sporto ministerijos švietimo plėtros programos pažangos priemonės Nr. 12-003-03-01-04 „Užtikrinti visiems prieinamą ankstyvąjį ugdymą“  projekto „Ankstyvojo ugdymo užtikrinimas vaikams iš socialinę riziką patiriančių šeimų“ įgyvendinimo. Sutartimi Šalys, susitarė apjungti savo pastangas, darbą ir žinias, siekiant veikti bendrai, turėdamos tikslą įgyvendinti priemones, kad į ikimokyklinį ugdymą būtų sėkmingai įtraukti vaikai iš socialinę riziką patiriančių šeimų. Maksimali projekto įgyvendinimo vertė tenkanti Visagino savivaldybei - 898264,11 Eur, iš jų finansuojamąją  dalį  sudaro 100 proc. dotacija. Projekto veiklos turi būti įgyvendintos per 36 mėnesius nuo projekto sutarties įsigaliojimo. Prireikus projekto veiklos gali būti pratęstos pagrįstam laikotarpiui, bet ne vėliau kaip iki 2029 m. gruodžio 31 d.
Įgyvendindama projektą Visagino savivaldybės administracija užtikrina tinkamą informacijos, dokumentų parengimą bei pateikimą Projekto vykdytojui pagal Projekto vykdytojo pateikto Partnerio privalomų pateikti dokumentų sąrašą ir jų pateikimo periodiškumą ar konkrečius terminus, teisingą ir teisėtą lėšų paskirstymą ir panaudojimą. Projekto metu vaikai, augantys šeimose patiriančiose socialinę riziką, bus įtraukiami į ikimokyklinį ir priešmokyklinį ugdymą (kas dar neugdomas pagal ikimokyklinio ar priešmokyklinio ugdymo programas) bei jiems teikiama pagalba ugdymo procese – ugdymo lėšų panaudojimas vaiko reikmėms (švietimo pagalbai teikti ir įsigyti individualių ugdymo priemonių reikalingų ugdymo programai įgyvendinti, vežimo į / iš švietimo įstaigos paslaugos užtikrinimas, kultūros ir neformaliojo švietimo paslaugų teikimas, savivaldybių reglamentuoto vaikų išlaikymo mokesčio ir mokesčio už vaikų maitinimą apmokėjimas).</t>
  </si>
  <si>
    <t>2027 metai</t>
  </si>
  <si>
    <t>2027 m.asignavimai ir kitos lėšos, tūkst. Eur</t>
  </si>
  <si>
    <t xml:space="preserve">Pokytis proc. </t>
  </si>
  <si>
    <t>2025 m. asignavimų ir kitų lėšų poreikis , tūkst. Eur</t>
  </si>
  <si>
    <t>Integruoti teritorinio vystymo projektai, projektai</t>
  </si>
  <si>
    <t>130</t>
  </si>
  <si>
    <t xml:space="preserve">Konsultacijų skaičius
Naujų narių skaičius
Informacinių seminarų ciklų skaičius
Akseleravimo programos įgyvendinimas
Atvirų durų renginių skaičius 
Mentorystės programos įgyvendinimas </t>
  </si>
  <si>
    <t>120
10
3
1
4
5</t>
  </si>
  <si>
    <t>(pasikeitė priemonės pavadinimas )</t>
  </si>
  <si>
    <t>Teritorijų suformuotų ir pritaikytų verslo plėtrai, ha</t>
  </si>
  <si>
    <t>09.02.03. (T)</t>
  </si>
  <si>
    <t>1.1.-2</t>
  </si>
  <si>
    <t>E-09-02-03</t>
  </si>
  <si>
    <t>09.02.03.01. (TP)</t>
  </si>
  <si>
    <t>R-09-02-03-01</t>
  </si>
  <si>
    <t>Tyrimo ataskaita</t>
  </si>
  <si>
    <t>09.02.03.02. (TP)</t>
  </si>
  <si>
    <t>Įgyvendinant šią priemonę planuojama sukurti ir įgyvendinti inovacinės veiklos ir kūrybinės veiklos skatinimo sistemą, skatinti kompetencijų plėtrą skaičiavimo, dirbtinio intelekto, kibernetinio saugumo taikymo srityse. Vystyti darbo vietų suteikimo paslaugas (kūrybinių industrijų sektoriuje (inovacijų klasterio veiklos užtikrinimas).</t>
  </si>
  <si>
    <t>R-09-02-03-02</t>
  </si>
  <si>
    <t>Inovacijų srityje įgyvendintų projektų skaičius</t>
  </si>
  <si>
    <t>09.02.03.03. (TP)</t>
  </si>
  <si>
    <t>Įgyvendinant šią priemonę planuojama skatinti SVV subjektų skaitmenizavimo procesus. Kuriant skaitmeninio miestą dvynio platformą įtraukti verslo subjektus, turimą infrastruktūrą į bendrą savivaldybės rinkodarą. Skatinti įmones/įstaigas pereiti prie neutralios klimatui ekonomikos, planuojama parengti ir vykdyti energetinio efektyvumo didinimo programą, skatinti  atsinaujinančių energijos išteklių diegimą SVV, skatinti investicijas į elektromobilių įkrovimo aikšteles.</t>
  </si>
  <si>
    <t>R-09-02-03-03</t>
  </si>
  <si>
    <t xml:space="preserve">Skaitmenizavimo srityje įgyvendintų projektų skaičius  </t>
  </si>
  <si>
    <t>09.02.03.05. (TP)</t>
  </si>
  <si>
    <t xml:space="preserve">Projektų veiklų įgyvendinimas baigtas 2023 m. </t>
  </si>
  <si>
    <t>R-09-02-03-05</t>
  </si>
  <si>
    <t>Parengta investicinės programos įgyvendinimo ataskaita</t>
  </si>
  <si>
    <t>09.02.03.06. (TP)</t>
  </si>
  <si>
    <t>R-09-02-03-06</t>
  </si>
  <si>
    <t>Strateginėse verslo kryptyse veikiančių verslo subjektų skaičius, vnt.</t>
  </si>
  <si>
    <t>09.03.01. (PP,TP)</t>
  </si>
  <si>
    <t>E-09-03-01</t>
  </si>
  <si>
    <t>Turistų, apsilankiusių VTPC, 
dalis sezono metu (gegužės–rugpjūčio mėn.), palyginti su bendruoju metiniu turistų skaičiumi (proc.)</t>
  </si>
  <si>
    <t>09.03.01.01. (PP)</t>
  </si>
  <si>
    <t>1.2.-3-1</t>
  </si>
  <si>
    <t>R-09-03-01-01</t>
  </si>
  <si>
    <t>Įkurtas modernus lankytojų centras</t>
  </si>
  <si>
    <t>09.03.01.01.(PP)-01</t>
  </si>
  <si>
    <t>P-09-03-01-01-01</t>
  </si>
  <si>
    <t>P-1.2.3.1-1</t>
  </si>
  <si>
    <t>09.03.01.01.(PP)-02</t>
  </si>
  <si>
    <t>Ignalinos AE valdymo pulto simuliatoriaus erdvių pritaikymas lankymui</t>
  </si>
  <si>
    <t>P-09-03-01-01-02</t>
  </si>
  <si>
    <t>Pritaikytų turizmo objektų lankymui skaičius</t>
  </si>
  <si>
    <t>09.03.01.02. (TP)</t>
  </si>
  <si>
    <t>R-09-03-01-02</t>
  </si>
  <si>
    <t>Įgyvendintas projektas</t>
  </si>
  <si>
    <t>Įgyvendintų projektų  skaičius, vnt.</t>
  </si>
  <si>
    <t>09.03.01.03. (PP)</t>
  </si>
  <si>
    <t>1.2.-2-1</t>
  </si>
  <si>
    <t>R-09-03-01-03</t>
  </si>
  <si>
    <t>Sukurtų turizmo maršrutų skaičius</t>
  </si>
  <si>
    <t>P-1.2.2.1-1</t>
  </si>
  <si>
    <t>09.03.01.04. (PP)</t>
  </si>
  <si>
    <t>Privažiavimo (priėjimo) prie paplūdimio infrastruktūros sutvarkymas prie  Visagino ežero;  Amfiteatrų Visagine pritaikymas įveiklinimui ir turizmo srautų pritraukimui;  Viešųjų sanitarinių mazgų (wc) prie lankomų objektų įrengimas Visagino mieste;  Audiogidų sistemos sukūrimas Visagino mieste (įveiklinant miesto erdvėse remiantis virtualiu maršrutu atominisvisaginas.lt);  - Apleistos teritorijos (aplink Vilties g.3) kompleksinis sutvarkymas ir pritaikymas turizmo (lankytojų) srautų poreikiams (įrengiant priėjimus/privažiavimą /parkavimo vietas prie Kultūros centro ir daugiafunkcinių centrų, parkingą, įrengiant universualaus dizaino priemones).</t>
  </si>
  <si>
    <t>R-09-03-01-04</t>
  </si>
  <si>
    <t>Sutvarkyta/pritaikyta teritorijų, kv.m</t>
  </si>
  <si>
    <t>09.03.01.04.(PP)-01</t>
  </si>
  <si>
    <t>18500</t>
  </si>
  <si>
    <t xml:space="preserve">Sutvarkyti amfiteatrai, vnt. </t>
  </si>
  <si>
    <t>Įrengta viešųjų WC mieste</t>
  </si>
  <si>
    <t>09.03.01.05. (TP)</t>
  </si>
  <si>
    <t>1.2.-3-2</t>
  </si>
  <si>
    <t xml:space="preserve">Lyginant su Lietuvos vidurkiu Visaginas išsiskiria didele ne lietuvių tautybės gyventojų dalimi. Visagine aktyvūs ir kitų tautybių gyventojai, pavyzdžiui, baltarusiai, lenkai, ukrainiečiai ir kt., dėka kurių Visaginas gali vadintis daugiataučiu miestu. Tautinės mažumos dažnai dalyvauja miesto renginiuose, rengia savo tautines šventes, organizuoja tarptautinį tautinių mažumų festivalį „Rudeninės“. Nors tautinės bendruomenės turi sukurtas edukacijų programas, jas niekur nereklamuoja bei turistams nerengia. Tikimąsi , kad priemonės įgyvendinimas paskatins ekonominę veiklą. </t>
  </si>
  <si>
    <t>R-09-03-01-05</t>
  </si>
  <si>
    <t>Edukacinių programų skaičius</t>
  </si>
  <si>
    <t>Verslo subjektų, teikiančių paslaugas daugiataučio kultūros paveldo srityje, skaičius</t>
  </si>
  <si>
    <t>09.03.01.06. (TP)</t>
  </si>
  <si>
    <t>R-09-03-01-06</t>
  </si>
  <si>
    <t>09.03.01.07. (TP)</t>
  </si>
  <si>
    <t>R-09-03-01-07</t>
  </si>
  <si>
    <t>Įrengtų miesto kraštovaizdžio formavimo ir įprasminimo priemonių skaičius</t>
  </si>
  <si>
    <t>1.2.-3-3</t>
  </si>
  <si>
    <t>Su atominės elektrinės paveldu glaudžiai susijusi ir miesto urbanistika, išsiskirianti savo apgalvotu planavimu ir prisitaikymo prie natūralaus kraštovaizdžio. Visagine organizuojamos architektūrinės stovyklos, vedamos ekskursijos, leidžiančios susipažinti su miesto architektūriniais akcentais, vykdomi kultūros bei švietimo projektai, tyrinėjantys ir atkreipiantys dėmesį į miesto urbanistiką. Visagino savivaldybė garsėja meno ir kūrybinių iniciatyvų pasiūla, per pastaruosius metus mieste vis daugėja šiuolaikinio meno ir kūrybos šakų, kaip, pavyzdžiui, muralų, „Naujojo cirko“, šviesos instaliacijų ir kitų, išraiškų. Šiuolaikinio meno ir kūrybos iniciatyvos, be abejo, pritraukia turistus, kuria šiuolaikinio, progresyvaus miesto įvaizdį. Tam, kad menas ir kūryba taptų turistų traukos taškais, svarbu skatinti nepriklausomų menininkų įsikūrimą ir veiklos plėtrą. Taip pat, kūrybinių veiklų organizavimas ir pristatymas viešosiose erdvėse turi būti aiškus ir lengvai prieinamas bet kurio lygio menininkams</t>
  </si>
  <si>
    <t>R-09-03-01-08</t>
  </si>
  <si>
    <t xml:space="preserve">Organizuotų renginių skaičius </t>
  </si>
  <si>
    <t>09.03.01.09. (PP)</t>
  </si>
  <si>
    <t>Modernizuota infrastruktūra, m</t>
  </si>
  <si>
    <t>1300</t>
  </si>
  <si>
    <t>09.03.02. (T)</t>
  </si>
  <si>
    <t>E-09-03-02</t>
  </si>
  <si>
    <t>09.03.02.01. (TP)</t>
  </si>
  <si>
    <t>1.2.-1-1</t>
  </si>
  <si>
    <t>Siekiant užtikrinti esamos turizmo infrastruktūros tinkamą pristatymą bei informacijos gavimo prieinamumą ir nenutrūkstamą suteikimą, VšĮ Visagino turizmo plėtras centras nuolat teiks turizmo informacijos paslaugas, reprezentuojančias Visagino savivaldybę, viešins Visagino savivaldybės lankytinas vietas, turizmo paslaugas. Siekiant kuo išsamiau pristatyti Visagino savivaldybės turizmo potencialą, planuojama dalyvauti turizmo parodose bei renginiuose, konsultuoti turizmo verslu užsiimančius fizinius ir juridinius asmenis, rengti ir dalyvauti rengiant turizmo informacinius leidinius, skleisti informaciją apie vykstančius turizmo, kultūros ir kitus visuomeninius renginius, įgyvendinti turizmo infrastruktūros projektus, bendradarbiaujant su kaimyninėmis savivaldybėmis išanalizuoti galimybes parengti ir įgyvendinti maršrutą, pritaikytą neįgaliesiems. 
Taip pat bus įgyvendinimas projektas „Europe direct Visagino savivaldybėje“.</t>
  </si>
  <si>
    <t>R-09-03-02-01</t>
  </si>
  <si>
    <t>Kreipusiųjų į VšĮ Visagino turizmo plėtros centrą dėl viešųjų paslaugų suteikimo asmenų skaičius</t>
  </si>
  <si>
    <t>09.03.02.01. (TP)-01</t>
  </si>
  <si>
    <t>09.03.02.01. (TP)-02</t>
  </si>
  <si>
    <t>09.03.02.01. (TP)-03</t>
  </si>
  <si>
    <t>Bendradarbiaujant su VšĮ „Euroregiono Ežerų kraštas direktorato biuras“ nuolat  ieškoma galimybių įgyvendinti naujus projektus, kurie prisidėtų prie Visagino miesto plėtros bei įvaizdžio kūrimo</t>
  </si>
  <si>
    <t>09.03.02.02. (TP)</t>
  </si>
  <si>
    <t>191747963</t>
  </si>
  <si>
    <t>R-09-03-02-02</t>
  </si>
  <si>
    <t>Organizuotų nuomos konkursų skaičius</t>
  </si>
  <si>
    <t>09.03.02.03. (TP)</t>
  </si>
  <si>
    <t>R-09-03-02-03</t>
  </si>
  <si>
    <t>09.03.02.07. (TP)</t>
  </si>
  <si>
    <t>Įgyvendinant šią priemonę bus užtikrinta savivaldybės lankomų objektų priežiūra ir remontas.</t>
  </si>
  <si>
    <t>R-09-03-02-07</t>
  </si>
  <si>
    <t xml:space="preserve">Prižiūrėta ir suremontuota savivaldybės lankomų turistinių objektų </t>
  </si>
  <si>
    <t>09.04.01. (P)</t>
  </si>
  <si>
    <t>1.1-1</t>
  </si>
  <si>
    <t>E-09-04-01</t>
  </si>
  <si>
    <t>Visagino, Ignalinos ir Zarasų rajonų savivaldybių teritorijų funkcinės zonos strategijoje numatytų įgyvendinti projektų dalis procentais, nuo visų planuojamų įgyvendinti</t>
  </si>
  <si>
    <t>09.04.01.01. (PP)</t>
  </si>
  <si>
    <t>1.1.1-1</t>
  </si>
  <si>
    <t>R-09-04-01-01</t>
  </si>
  <si>
    <t xml:space="preserve">Projekto „Bendradarbystės centro VIZA-CITY sukūrimas Visagine: socialinio verslumo ir kūrybinių industrijų centras su bendradarbystės erdvėmis“ įgyvendinimas
</t>
  </si>
  <si>
    <t xml:space="preserve">Projekto veiklų įgyvendinimas baigtas 2024 m. </t>
  </si>
  <si>
    <t>R-Sukurtos arba atkurtos teritorijos, naudojamos
ekonominei, rekreacinei ar turizmo paskirčiai, ha</t>
  </si>
  <si>
    <t>P-Integruoti teritorinio vystymo projektai, projektai</t>
  </si>
  <si>
    <t>2024-09-30 Trūkstamų specialistų pritraukimo į Visagino savivaldybės įstaigas komisijos posėdžio protokolas Nr. 9-1368</t>
  </si>
  <si>
    <t>Planuojama suma: 
4 pareigybės -  išmoka po 5 tūkst. Eur per metus kiekvienai pareigybei (mokama du metus).</t>
  </si>
  <si>
    <t>Miesto rinkodaros plano įgyvendinimas</t>
  </si>
  <si>
    <t xml:space="preserve">Paslaugos įsigijimas. Atlyginimas programuotojams (pagal ind. veiklos pažymą), vienos dalies pajungimui per atskirus kontrolerius (iš viso 4 dalys). </t>
  </si>
  <si>
    <t>Mini-kompiuterių įsigijimas (po 10 vnt. vienai daliai), laidų, plokščių ir kitų būtinų medžiagų pirkimas.</t>
  </si>
  <si>
    <t>IAE valdymo skydo simuliatoriaus naudojimo dokumentacijos parengimas.</t>
  </si>
  <si>
    <t>Multimedijos įrangos pirkimas: projekcijos, ekranai, garso sistemos.</t>
  </si>
  <si>
    <t>Esamų paslaugų, aktualizuojančių branduolinį paveldą rinkos analizė, gerosios patirties pasisėmimas.</t>
  </si>
  <si>
    <t>Turizmo produkto sukūrimas (parinkta tikslinė auditorija, paruoštas pasiūlymas, aprašyta paslauga ir jos suteikimo tvarka, sudaryta kainodara, parengta pajamų/išlaidų prognozė).</t>
  </si>
  <si>
    <t>Kvalifikuotų gidų paruošimas, kurie žino ne tik techninius Ignalinos atominės elektrinės aspektus, bet ir turizmo bei komunikacijos subtilybes.</t>
  </si>
  <si>
    <t>Edukacinės medžiagos paskaitoms ir seminarams paruošimas (įskaitant plakatų, brošiūrų kūrimą).</t>
  </si>
  <si>
    <t xml:space="preserve">Internetinės svetainės, reklamuojančios naują paslaugą, sukūrimas. </t>
  </si>
  <si>
    <t>Reklaminės komunikacijos kampanijos paleidimas.</t>
  </si>
  <si>
    <t>09.03.01.01.(PP)-03</t>
  </si>
  <si>
    <t xml:space="preserve">Simuliatoriaus pulto sutvarkymas </t>
  </si>
  <si>
    <t>Įgyvendintų funkcinės (-ių) zonos (-ų) strategijos neivesticinio veiksmo priemonių  skaičius</t>
  </si>
  <si>
    <t xml:space="preserve">
Programos tikslas – gerinti verslo aplinką ir skatinti juridinių bei fizinių asmenų verslumą Visagino savivaldybėje. Prioritetu remiamos veiklos, įveiklinančios savivaldybės infrastruktūrą, sukuriant produktą (-us) ar paslaugą (-as) ir darbo vietas vietos gyventojams.
</t>
  </si>
  <si>
    <t>Jungtinės veiklos koordinatiaus veiklos užtikrinimas (VEPA)</t>
  </si>
  <si>
    <t>2024</t>
  </si>
  <si>
    <t>2025</t>
  </si>
  <si>
    <t>Pontoninių tilto ir prieplaukos, vandens 
čiuožyklos konstrukcijų, esančių Visagino ežero paplūdimyje, remonto darbai 2024-05-31 rangos darbų sutartis Nr. 5-246</t>
  </si>
  <si>
    <t>09.02.02.04. (TP)-1</t>
  </si>
  <si>
    <t>Daugiafunkcinės arenos įrengimo
Draugystės g. 10, Visagine,
architektūrinio konkurso organizavimas</t>
  </si>
  <si>
    <t xml:space="preserve">2024 m. darbai nebuvo atlikti,
skirtos lėšos panaudotos stelos remontui, esančiam šalia krašto kelio į pramonės zoną. Poreikis pateiktas Aplinkos tvarkymo skyriaus. </t>
  </si>
  <si>
    <t xml:space="preserve">Įstaigos </t>
  </si>
  <si>
    <t xml:space="preserve">Sporto strategijos įgyvendinimui </t>
  </si>
  <si>
    <t>Atgimimo gimnazija</t>
  </si>
  <si>
    <t>Žiburio pagrindinė mokykla</t>
  </si>
  <si>
    <t>SB nt</t>
  </si>
  <si>
    <t>Verdenės  gimnazija</t>
  </si>
  <si>
    <t xml:space="preserve">Auksinis raktelis </t>
  </si>
  <si>
    <t xml:space="preserve">Ąžuoliukas </t>
  </si>
  <si>
    <t>Gerosios vilties  progimnazija</t>
  </si>
  <si>
    <t>Dalyvavimas diagnostiniame ir standartizuotame testavime</t>
  </si>
  <si>
    <t>VSA</t>
  </si>
  <si>
    <t xml:space="preserve">Mokinių dalyvavimas regiono, šalies konkursuose, atrankose, kituose renginiuose pagal atskirai gautus raštus </t>
  </si>
  <si>
    <t>Miesto turo dalykinių olimpiadų ir konkursų nugalėtojų apdovanojimas, apmokėjimas užduočių rengėjams</t>
  </si>
  <si>
    <t>VŠPT</t>
  </si>
  <si>
    <t xml:space="preserve">Suaugusiųjų neformaliojo švietimo ir tęstinio mokymosi programų atrankos konkurso organizavimas ir finansavimas, įgyvendinimo priežiūra, dalyvavimas Nacionalinėje suaugusiųjų mokymosi savaitėje ir jos renginių organizavimas </t>
  </si>
  <si>
    <t>Svariausių laimėjimų pasiekusių savivaldybės mokinių pagerbimo renginio organizavimas, kitos veiklos, padedančios siekti numatyto uždavinio</t>
  </si>
  <si>
    <t>Mokyklų aprūpinimas edukacinėmis priemonėmis</t>
  </si>
  <si>
    <t>Edukacinės priemonės įsigijimas ikimokyklinio ugdymo įstaigoms apie 600 eurų, EditAI platformos įsigijimas bendrojo ugdymo mokykloms apie 15000 eurų</t>
  </si>
  <si>
    <t>Vardinių prizų įsigijimas, apmokėjimas už filmavimo paslaugas, scenos dekoracijas, gėles ir kt.</t>
  </si>
  <si>
    <t>Suaugusiųjų švietimo programų finansavimas, prisidėjimas prie Nacionalinės suaugusiųjų mokymosi savaitės renginių organizavimo</t>
  </si>
  <si>
    <t>Diplomų, rėmelių, prizų įsigijimas dėl kanceliarinių kainų padidėjimo</t>
  </si>
  <si>
    <t>Renginių kaštų padengimas, vykstančiųjų (pakviestų į šalies etapus) mokinių ir 
mokytojų kelionių išlaidų kompensavimas</t>
  </si>
  <si>
    <t>Dalyvavimo kaštų apmokėjimas dėl transporto kaštų padidėjimo</t>
  </si>
  <si>
    <t>Aprūpinimas testavimui reikalingomis priemonėmis</t>
  </si>
  <si>
    <t>Švietimo sistemos viešojo administravimo ir švietimo įstaigų priežiūros specialistų mokyklų konsultavimo 
kompetencijų tobulinimas</t>
  </si>
  <si>
    <t xml:space="preserve">Skyriaus specialistų dalyvavimas įvairiuose konferencijose, seminaruose ir kt., 
skirtuose ugdymo turinio atnaujinimui, ugdymą reglamentuojančių teisės aktų, projektų pristatymui; taip pat jų organizavimas </t>
  </si>
  <si>
    <t>Mokyklų veiklos kokybės, ugdymo pasiekimų vertinimo rezultatų tobulinimo ir ekspertų / konsultantų rekomendacijų įgyvendinimas, dalykinių, edukacinių priemonių švietimo darbuotojams vykdymas, valstybinės švietimo strategijos priemonių įgyvendinimo priemonės, vykimas į kitas savivaldybes</t>
  </si>
  <si>
    <t xml:space="preserve">Švietimo įstaigų komandų dalyvavimas įvairiose konferencijose,
 seminaruose ir kt., skirtuose ugdymo turinio atnaujinimui, ugdymą reglamentuojančių teisės aktų, projektų pristatymui, gerosios patirties sklaidai; taip pat jų organizavimas </t>
  </si>
  <si>
    <t>LR Konstitucijos egzamino I ir II etapų organizavimas, Nacionalinės bibliotekų savaitės organizavimas</t>
  </si>
  <si>
    <t>Organizacinių priemonių, paslaugų įsigijimas</t>
  </si>
  <si>
    <t>Švietimo įstaigų vadovų pasitarimų, metinės konferencijos organizavimas</t>
  </si>
  <si>
    <t>Apmokėjimas už vadybos ekspertų darbą ekspertizių metu</t>
  </si>
  <si>
    <t>Apmokėjimas už paslaugas mokyklų išorės vertinimo ekspertams</t>
  </si>
  <si>
    <t>Švietimo, mokslo ir sporto ministerijos, kitų švietimo veiklą reguliuojančių institucijų renginiai, veiklos, susijusios su Savivaldybės dalyvavimu nacionaliniuose projektuose, kitos veiklos, padedančios siekti numatyto uždavinio</t>
  </si>
  <si>
    <t>Organizavimui, vykimui, komandiravimui reikalingos priemonės, 
lėšos (veikloms, nenumatytoms projektams skirtame biudžete) (iš numatytų 2025 m. lėšų l.d. „Auksinis raktelis“, „Ąžuoliukas“, Draugystės progimnazijai, VKMA, Visagino krepšinio mokyklai, Visagino graikų ir romėnų imtynių centrui, VSRC, VKC VVB jubiliejui ne mažiau kaip 500 Eur)</t>
  </si>
  <si>
    <t>Prekių ir paslaugų (transporto) įsigijimas</t>
  </si>
  <si>
    <t>Darbo užmokesčio brandos egzaminų vykdytojams ir vertintojams mokėjimas</t>
  </si>
  <si>
    <t>Darbo užmokestis ir soc. Draudimas</t>
  </si>
  <si>
    <t>10000</t>
  </si>
  <si>
    <t>Visagino savivaldybės aplinkos monitoringo programos priemonių  įgyvendinimas ir aplinkos monitoringo duomenų bazės tvarkymas bei priežiūra</t>
  </si>
  <si>
    <t>Visagino ežero dugno valymas</t>
  </si>
  <si>
    <t>Visagino ežero maudyklos vandens kokybės stebėseną ir paplūdimio smėlio tyrimai</t>
  </si>
  <si>
    <t>2024-07-10 paslaugos teikimo sutartis 
Nr. 5-326. Sutarties kaina 90000 Eur. Sutarties trukmė 36 mėn</t>
  </si>
  <si>
    <t>Vadovaujantis 2024-05-10 paslaugų viešo pirkimo-pardavimo sutartimi Nr. 5-219,  2024 m. už tyrimus buvo sumokėta 2850 Eur. Vadovaujantis Lietuvos Respublikos sveikatos apsaugos ministro 2007 m. gruodžio 21 d. įsakymu Nr. V-1055 „Dėl Lietuvos higienos normos HN 92:2018 „Paplūdimiai ir jų maudyklų vandens kokybė" patvirtinimo“ (pakeistas 2022-07-01) atliekami vandens skaidrumo ir Chlorofilo a tyrimai ir jeigu rodykliai neatitinka normų, tuomet turi būti atliekami papildomi tyrimai, kurie didina paslaugos kainą. Vadovaujantis buvusia sutartimi ir galimu maksimaliu tyrimų skaičiumi, tyrimai gali kainuoti iki 4000 Eur.</t>
  </si>
  <si>
    <t>Naujų želdinių įsigijimas 
ir veisimas</t>
  </si>
  <si>
    <t>Pavojų keliančių ir sergančių medžių šalinimas</t>
  </si>
  <si>
    <t>Kelmų šalinimas</t>
  </si>
  <si>
    <t>Želdinių ir želdynų stebėsenos vykdymas</t>
  </si>
  <si>
    <t xml:space="preserve">Teisės aktų reikalavimų įgyvendinimas, siekiant padidinti želdynų plotus. </t>
  </si>
  <si>
    <t>Gyventojų bei jų turto saugumo užtikrinimas</t>
  </si>
  <si>
    <t>Priemonė numatyta atsižvelgiant į gyventojų nusiskundimus, kad mieste daug kelmų, kurie ,,nepuošia" miesto ir kelia grėsmę gyventojų saugumui, taip pat kelmai tampa ligų ir kenkėjų plitimo ir veisimosi vieta, teršiama aplinka. Lėšos suplanuotos, atsižvelgiant  į kitų savivaldybių patirtis perkant paslaugas.</t>
  </si>
  <si>
    <t>Visagino savivaldybės taryba patvirtino programą. Numatomas programos įgyvendinimas</t>
  </si>
  <si>
    <t>Aplinkosauginių programų ir projektų įgyvendinimas</t>
  </si>
  <si>
    <t>Visuomenės informavimas aplinkosaugos klausimais</t>
  </si>
  <si>
    <t>Visuomenės pateiktų projektų  finansavimas.</t>
  </si>
  <si>
    <t>„Verdenės“ gimnazija dalyvauja Lietuvos žaliųjų judėjimo Tarptautinėje gamtosauginių mokyklų programoje. Veiklai koordinuoti pagal Lietuvos žaliųjų judėjimu sudaromą sutartį.  Daugiametė savivaldybės patirtis.</t>
  </si>
  <si>
    <t xml:space="preserve">Projektų veiklų įgyvendinimas baigtas 2024 m. </t>
  </si>
  <si>
    <t>Varninių paukščių gausos reguliavimas</t>
  </si>
  <si>
    <t>Sosnovskio barščio naikinimas</t>
  </si>
  <si>
    <t>2023-06-15 paslaugos teikimo sutartis Nr. 306. Sutarties kaina 12000 Eur. Sutarties trukmė 24 mėn.</t>
  </si>
  <si>
    <t>Teisės aktų reikalavimas naikinti invazinius augalus. 2024-04-05 paslaugos teikimo sutartis Nr. 5-164. Sutarties kaina 12000 Eur. Sutarties trukmė 36 mėn.</t>
  </si>
  <si>
    <t>Visagino savivaldybes teritorijoje bepriežiūrių ir bešeimininkių gyvūnų laikinosios globos ir kitų gyvūnų priežiūros paslaugų teikimas</t>
  </si>
  <si>
    <t xml:space="preserve"> Šunų vedžiojimo/dresavimo aikštelės įrengimas</t>
  </si>
  <si>
    <t>Komunalinių atliekų surinkimas, vežimas ir tvarkymas (mišrios komunalinės, didelių gabaritų, tekstilės ir maisto atliekos)</t>
  </si>
  <si>
    <t>Darbo užmokestis ir socialinis draudimas</t>
  </si>
  <si>
    <t>Prekių ir paslaugų įsigijimo išlaidos</t>
  </si>
  <si>
    <t>2023-12-28 Sutartis Nr. 5-561 dėl maisto/virtuvės atliekų. 2022-12-01 Sutartis Nr. 5-574 dėl mišrių komunalinių, didelių gabaritų ir tekstilės atliekų.</t>
  </si>
  <si>
    <t>Planuojamas 1 etato pareigybės keitimas iš specialisto į vyr. specialisto ir koeficientų peržiūrėjimas</t>
  </si>
  <si>
    <t>Planuojamas Atris programos modernizavimas, darbo užmokesčio augimas ir kiti ekonominiai veiksniai, lemiantys paslaugų kainų augimą</t>
  </si>
  <si>
    <t xml:space="preserve">Valstybinių miškų, perduotų savivaldybei valdyti patikėjimo teise, tvarkymo darbai (ne projekto lėšos) </t>
  </si>
  <si>
    <t>Miškuose daug pavojingų ir avarinių medžių, kurie kelia grėsmę gyventojų saugumui. Reikalinga juos pašalinti. Numatome pašalinti, išvalyti apie 50 ha miško, pašalinant apie 200-300 vnt. medžių. Pagal gautus preliminarius komercinius pasiūlymus medžio priklausomai nuo skersmens nupjovimo įkainis 146-250 Eur.</t>
  </si>
  <si>
    <t>Vietinio ūkio 
valdymo ir statybos skyrius (D. Kardelienė)</t>
  </si>
  <si>
    <t>Viešosios tvarkos 
ir rinkliavų skyriaus poreikis</t>
  </si>
  <si>
    <t>Testavimo tyrimų atlikimams ugdymo įstaigose arba elektroninių kontrolės priemonių įrengimas siekiant
 užkardyti elektroninių cigarečių neteisėtą vartojimą</t>
  </si>
  <si>
    <t xml:space="preserve">Vaizdo stebėjimo kamerų komunalinėse aikštelėse įdiegimas </t>
  </si>
  <si>
    <t>Projektas EUI 03-256 ECC-EDU</t>
  </si>
  <si>
    <t xml:space="preserve">SB 
simuliatorius </t>
  </si>
  <si>
    <t>SB  kof</t>
  </si>
  <si>
    <t>01.02.02.02. -1</t>
  </si>
  <si>
    <t>210</t>
  </si>
  <si>
    <t>205</t>
  </si>
  <si>
    <t>Valstybės duomenų agentūra</t>
  </si>
  <si>
    <r>
      <t xml:space="preserve">35/65 </t>
    </r>
    <r>
      <rPr>
        <sz val="9"/>
        <rFont val="Arial"/>
        <family val="2"/>
      </rPr>
      <t>(ŠMIR neskirsto į grupes)</t>
    </r>
  </si>
  <si>
    <t>90,3 (ŠMIR neskirsto į grupes)</t>
  </si>
  <si>
    <t xml:space="preserve">nėra duomenų </t>
  </si>
  <si>
    <t>18,4 (LT vidurkis 12,5)</t>
  </si>
  <si>
    <t>15,1 (Lietuvos vidurkis 12,1 proc)</t>
  </si>
  <si>
    <t>Tolygios kultūrinės raidos įgyvendinimas,  kultūros ir meno sričių projektų finansavimas konkurso tvarka</t>
  </si>
  <si>
    <t>Pagal NVO projektų finansavimo tvarkos aprašą planuojama finansuoti ne mažiau kaip 5 NVO</t>
  </si>
  <si>
    <t>Pagal tautinių mažumų projektų finansavimo tvarkos aparšą planuojama finansuoti 4 NVO - tautines mažumas</t>
  </si>
  <si>
    <t>Bendruomeninės veiklos stiprinimas</t>
  </si>
  <si>
    <t xml:space="preserve">Patvirtinus tvarkos aprašą mero potvarkiu, numatyta kasmet nustatyti maksimalią vienam projektui finansuoti sumą. 2024 m. buvo 1000 Eur, 2025 m. atsižvelgiant į kylančias kainas ir norint užtikrinti efektyvius ir turiningus projektų įgyvendinimus, planuojama vienam projektui nustatyti maksimalią finansuotiną sumą iki 3000 Eur. </t>
  </si>
  <si>
    <t xml:space="preserve">Duomenų perdavimo paslauga </t>
  </si>
  <si>
    <t xml:space="preserve">Vaizdo stebėjimo paslauga </t>
  </si>
  <si>
    <t>Miesto vaizdo stebėjimo sistemos atnaujinimas ir plėtra</t>
  </si>
  <si>
    <t xml:space="preserve">
Duomenų perdavimas 1200 Eur su PVM per mėnesį, opertoriui 103 Eur per parą su PVM.  VSS duomenų perdavimas kol kas lieka 1200 Eur su PVM per mėnesį, tai 14400 metams
</t>
  </si>
  <si>
    <t xml:space="preserve">Poreikis pateiktas Vidaus ir informacinių technologijų skyriaus </t>
  </si>
  <si>
    <t>Saulės elektrinės iš nutolusio parko eksploatacinės išlaidos</t>
  </si>
  <si>
    <t>Numatyta 01.01.03.01.</t>
  </si>
  <si>
    <t>Vaikų, gavusių budinčiųjų ir nuolatinių globotojų paslaugas, skaičius/ Vaikų, kuriems mokami pagalbos pinigai skaičius</t>
  </si>
  <si>
    <t>8/42</t>
  </si>
  <si>
    <t>8/40</t>
  </si>
  <si>
    <t>19</t>
  </si>
  <si>
    <t>115</t>
  </si>
  <si>
    <t>295</t>
  </si>
  <si>
    <t>300</t>
  </si>
  <si>
    <t>55</t>
  </si>
  <si>
    <t>Dalyvavimas projekto „Materialinio nepritekliaus mažinimas Lietuvoje“ įgyvendinime</t>
  </si>
  <si>
    <t xml:space="preserve">Projekto pareiškėjas </t>
  </si>
  <si>
    <t xml:space="preserve">Projekto 
pareiškėjas </t>
  </si>
  <si>
    <t xml:space="preserve">Projekto 
partneris </t>
  </si>
  <si>
    <t>Projekto 
pareiškėjas</t>
  </si>
  <si>
    <t>Vietinio (priemiestinio) reguliaraus susisiekimo maršrutai Nr. 1-4 (Visgaino miestas-sodininkų bendrijos "Pavasaris", "Statybininkas", "Vyšnia" ir "Kapinės").</t>
  </si>
  <si>
    <t xml:space="preserve">Vietinio reguliaraus susisiekimo maršrutas Nr. 5 (Visagino miestas -Lapušiškės kaimas). </t>
  </si>
  <si>
    <t>Vietinio (miesto) reguliaraus susisiekio maršrutas Nr. 8 (Visagino miestas)</t>
  </si>
  <si>
    <t>Vietinio reguliaraus susisiekimo maršrutas Nr. 6 (Visagino miestas - Makaravo kaimas).</t>
  </si>
  <si>
    <t>Vadovaujantis 2024-06-18 sutartimi Nr. 5-273 šiuo metu per dieną vykdomi 15 reisų po 9 km. ir 3 reisai po 7 km. viso 156 km. per dieną. Kilometro savikaina 1,43, rentabilumas 4 proc. maksimalus galimas reisų skaičius 21 reisas per dieną. 156x365x1,43x1,04=84681,17 Eur.
Atsižvelgiant į tai jog kiekvienais metais gali būti perskaičiuotas kilometro įkainis ar padidintas reisų skaičius, išlaidas prašome padidinti apie 20 proc. tai yra iki 100 000 Eur.</t>
  </si>
  <si>
    <t>Visagino savivaldybės tarybos 2020 m. birželio 17 d. sprendimu Nr. TS-138 "Dėl viešojo transporto lengvatų" nuspręsta nustatyti 100 proc. nuolaidą įsigyjant vietinio reguliaraus susisiekimo maršrutų bilietus (Visagino mieste ir maršrutuose į sodininkų bendrijas). 
Maršruto Visaginas-Makaravo kaimas bilieto kaina 1 Eur, per dieną planuojama vykdyti 5 reisus, prognazuojame, kad viename reise važiuotų bent 30 keleivių, per metus 30x5x365=54750 keleivių, kurie sumokėtų ir tiek pat eurų, jeigu iš visų keleivių būtų bent 10% (5475) keleivių, kuriems priklauso lengvatiniai bilietai, tai savivaldybei kainuotų apie 2500 Eur, darant prielaidą, kad pagrindinė lengvata būtų 50% nuolaida.</t>
  </si>
  <si>
    <t>R-10-01-02-02</t>
  </si>
  <si>
    <t xml:space="preserve">Projekto veiklų įgyvendinimas baigtas. </t>
  </si>
  <si>
    <t>10.02.03.02. -1 (TP)</t>
  </si>
  <si>
    <t xml:space="preserve">Projekto "Pastato, esančio Parko g. 14, Visagine modernizavimas" įgyvendinimas </t>
  </si>
  <si>
    <t xml:space="preserve">Projekto "Pastato Kosmoso g 28 A, Visagine,  energetinio audito ir investicinio projekto parengimas ir pastato atnujinimas (modernizavimas)" įgyvendinimas </t>
  </si>
  <si>
    <t>10.02.03.02. -2 (TP)</t>
  </si>
  <si>
    <t xml:space="preserve">Remonto darbų įgyvendinimas baigtas 2024 m. </t>
  </si>
  <si>
    <t xml:space="preserve">Organizuoti  vandens ėmyklos su siurblinės įranga įrengimo darbus ir kontroliuoti jų įgyvendinimą </t>
  </si>
  <si>
    <t>Organizuoti vandentiekio tinklų tiesimo ir pajungimo darbus ir kontroliuoti jų atlikimą</t>
  </si>
  <si>
    <t>Organizuoti stadiono apšvietimo (esamų apšvietimo bokštų šviestuvų keitimas) darbus ir kontroliuoti jų atlikimą</t>
  </si>
  <si>
    <t>Organizuoti privažiavimo (aptarnavimo) kelio įrengimo darbus ir kontroliuoti jų įgyvendinimą</t>
  </si>
  <si>
    <t xml:space="preserve">Organizuoti mažojo stadiono, esančio Parko g. 2H, Visagine, supaprastinto statybos darbų projekto pirkimas </t>
  </si>
  <si>
    <t xml:space="preserve">Organizuoti viešojo pirkimo konkursą dėl techninio darbo projekto ,,Kosmoso g. 3B,  esančioje aikštelėje riedlenčių parko įrengimas" parengimo ir įrengimo darbu pirkimo </t>
  </si>
  <si>
    <t xml:space="preserve">Organizuoti viešojo pirkimo konkursą dėl rangos darbų Draugystės progimnazijos stadiono sutvarkymą </t>
  </si>
  <si>
    <t>03.01.02.06-1  (TP)</t>
  </si>
  <si>
    <t>03.01.02.06-2  (TP)</t>
  </si>
  <si>
    <t xml:space="preserve">Projekto "VšĮ Visagino sporto ir rekreacijos centro sporto komplekso (Parko g.2A) salės atnaujinimas pritaikant ją visuomenės poreikiams"  įgyvendinimas </t>
  </si>
  <si>
    <t xml:space="preserve">Projekto "Pasikrauk energijos Visagine" įgyvendinimas </t>
  </si>
  <si>
    <t>Vadovaujantis Nacionalinės sporto agentūros prie Lietuvos Respublikos švietimo, mokslo ir sporto ministerijos direktoriaus 2024 m. birželio 20 d. įsakymu Nr. VF-2024/25, VšĮ Visagino sporto ir rekreacijos centro projektui buvo skirtas finansavimas. Siekiant įgyvendinti projekte numatytas veiklas planuojama atlikti sporto komplekso (Parko g.2A) akrobatikos salės kapitalinį remontą,  įsigyti naują sporto įrangą bei pagerinti fiziškai aktyvios visuomenės ugdymo, įvairaus amžiaus ir poreikių asmenų fizinio aktyvumo sąlygas bei padidinti sportuojančių asmenų skaičių. Projekto finansuojamoji dalis yra iki 75 procentų visų tinkamų finansuoti projekto išlaidų, nuosavo įnašo dalis turi sudaryti ne mažiau kaip 25 procentų visų tinkamų finansuoti projekto išlaidų. Bendra projekto vertė 404 739,16 Eur, iš jų skirtos Sporto rėmimo fondo lėšos 303 554,37 Eur (75 proc.), investuojamos savivaldybės biudžeto lėšos 101 184,79 Eur (25 proc.).</t>
  </si>
  <si>
    <t>Vietinio ūkio
valdymo A. Gergel poreikis</t>
  </si>
  <si>
    <t xml:space="preserve">10 vnt. meninių kompozicijų įdiegimas </t>
  </si>
  <si>
    <t>Visagino miesto šokančioir grojančio "Saulutė" fontano priežiūra ir operatoriaus paslaugos</t>
  </si>
  <si>
    <t>Fontano komunalinės išlaidos (vanduo, elektros energija)</t>
  </si>
  <si>
    <t xml:space="preserve">Aplinkos tvarkymo 
skyrius </t>
  </si>
  <si>
    <t>Pramonės gatvės apšvietimo tinklų modernizavimas (natrio lempų keitimas į LED lempas su pritemdymu)</t>
  </si>
  <si>
    <t xml:space="preserve"> Apšvietimo tinklų ir elektros įrangos remontas</t>
  </si>
  <si>
    <t xml:space="preserve">Slidinėjimo trasos apšvietimo elektros tinklų įrengimas, Visagino mieste, pagal techninį darbo projektą Nr. 24031.01-01-TDP 
</t>
  </si>
  <si>
    <t>Pagal 2024-01-23sudarytą paslaugų teikimo sutartį Nr. 5-29, kuri galioja iki 2026-01-23</t>
  </si>
  <si>
    <t xml:space="preserve">Visagino senų kapinių kelių ir laiptų remontas </t>
  </si>
  <si>
    <t xml:space="preserve">Magūnų kapinių laiptų remontas </t>
  </si>
  <si>
    <t xml:space="preserve">Vietinio ūkio valdymo ir statybos skyriaus poreikis </t>
  </si>
  <si>
    <t>Gaisro aptikimo ir signalizavimo sistemos, evakuacijos įgarsinimo sistemos bei šviečiančių evakuacijos krypties ženklų aptarnavimas</t>
  </si>
  <si>
    <t xml:space="preserve">Visagino viešosios bibliotekos geokupolo įrengimas </t>
  </si>
  <si>
    <t xml:space="preserve">Baigtas 2024 m. </t>
  </si>
  <si>
    <t xml:space="preserve">2024 m. nepanaudota </t>
  </si>
  <si>
    <t>Naujas Gervės ekranas</t>
  </si>
  <si>
    <t xml:space="preserve">VšĮ pirminės sveikatos priežiūros centras </t>
  </si>
  <si>
    <t xml:space="preserve">VšĮ Visagino ligoninė </t>
  </si>
  <si>
    <t xml:space="preserve">Raudonasis kryžius </t>
  </si>
  <si>
    <t>Visuomenės sveikatos biuras</t>
  </si>
  <si>
    <t xml:space="preserve">UAB Sedulinos centras </t>
  </si>
  <si>
    <t>Planuojama veikla: 1) Sveikatos centro veiklos koordinavimo procesus reglamentuojančio dokumento parengimas (paslaugų pirkimas); 2) Sveikatos centro koordinatoriaus veiklos finansavimas (darbo užmokestis, 36 mėnesiai); 3) Daugiadalykės specialistų komandos veikla, vykdoma taikant naują paslaugų teikimo modelį, t. y. darbo užmokesčio išlaidos. Daugiadalykę specialistų komandą sudarys šeimos gydytojo komandos nariai (šeimos gydytojai, bendrosios praktikos slaugytojai ir atvejo vadybininkai), taip pat gyvensenos specialistas. Daugiadalykės specialistų komandos nariai teiks asmens veikatos priežiūros paslaugas asmenims, sergantiems lėtinėmis neinfekcinėmis ligomis; 4) daugiadalykės specialistų komandos narių mokymai taikyti efektyvius paslaugų teikimo modelius; 5) prietaisų, skirtų pacientų sveikatos būklei ambulatoriškai ir nuotoliniu būdu stebėti ir vertinti, įsigijimas ir reikalingų programėlių, įgalinančių stebėti pacientų sveikatos būklę ir pateikti rekomendacijas, įsigijimas ir įdiegimas mobiliajame telefone ir (ar) kompiuteryje; 6) dokumentų, reikalingų  pacientų srautų valdymo ir (ar) paslaugų teikimo priemonių (taikant žaliojo koridoriaus principą) įgyvendinimui, parengimas (paslaugų įsigijimas).</t>
  </si>
  <si>
    <t>Visagino ligoninė vykdys Aprašo
veiklas: 2.1.2. punkte numatoma finansuoti studijas 1 (vienam) gydytojui kardiologui 4 (keturis) metus ir 1 (vienam) gydytojui anesteziologui-reanimatologui 5 (penkis)metus; 2.1.5. punktenumatoma apmokėti7 (septyniems)bendros praktikos slaugytojams studentams 3,5 ( trejus su puse) metų studijas.</t>
  </si>
  <si>
    <t>Visagino pirminės sveikatos priežiūros centras vykdys Aprašo veiklas: 2.1.1. punkte numatoma
mokėti 2 (dviems) gydytojams rezidentams po 1 (vienus) metus priedus prie darbo užmokesčio; 2.1.3. punkte numatoma perkvalifikuoti 1 (vieną) Vidaus ligų gydytoją 2 (dviejus) metus (t.y baigiant trumpesnę Šeimos medicinos rezidentūros studijų programą rezidentūros studijų programos kaina);</t>
  </si>
  <si>
    <t>UAB Sedulinos sveikatos centras vykdys Aprašo veiklas: 2.1.5. punkte numatoma apmokėti 7 (septyniems) bendros praktikos slaugytojams studentams 3,5 ( trejus su puse) metų  studijas.</t>
  </si>
  <si>
    <t>Asmenys, dalyvavę veiklose, skirtose lėtinei ligai savarankiškai valdyti, asmenys</t>
  </si>
  <si>
    <t>36</t>
  </si>
  <si>
    <t>6,53</t>
  </si>
  <si>
    <t>1000</t>
  </si>
  <si>
    <t>1500</t>
  </si>
  <si>
    <t xml:space="preserve">Įgyvendintos darnaus judumo priemonės </t>
  </si>
  <si>
    <t>R. Panavienė</t>
  </si>
  <si>
    <t xml:space="preserve">Visagino savivaldybei priklausančių pastatų draudimas </t>
  </si>
  <si>
    <t>A. Andrijanov</t>
  </si>
  <si>
    <t xml:space="preserve"> Tarptautinio susisiekimo traukiniu maršrutas Vilnius-Daugpilis</t>
  </si>
  <si>
    <t>Visagino savivaldybė kartu su UAB "LTG Link" planuoja atnaujinti traukinių eismo maršrutą Vilnius-Daugpilis ir jeigu maršrutas būtų nuostolingas Visagino savivaldybė planuoja pasirašyti sutartį su UAB "LTG Link" dėl pusės nuostolių dengimo. Pagal UAB "TLG Link" skaičiavimus per metus toks maršrutas vienai sutarčių šaliai kainuotų apie 60 000 Eur</t>
  </si>
  <si>
    <t xml:space="preserve">VRPC poreikis </t>
  </si>
  <si>
    <t>Kosmoso g. 30 pastato renovacija</t>
  </si>
  <si>
    <t xml:space="preserve">Festivalio g. 1 pastato renovacija </t>
  </si>
  <si>
    <t xml:space="preserve">Festivalio g. 3 pastato renovacija </t>
  </si>
  <si>
    <t>Bendras plotas 6776,06 kv.m.  VSA priklausantis naudingas plotas 4457,58 kv.m.
iš jų negyvenamųjų patalpų 81,66 kv.m. Bendra investicinio projekto (A klasės) suma 3 397 821,87 Eur. Preliminari savivaldybei priklausanti investicijų suma 2 520 886 EUR</t>
  </si>
  <si>
    <t>Bendras plotas 3358,07 kv.m.  VSA priklausantis naudingas plotas 1908,16  kv.m. Bendra investicinio projekto suma 1990872 Eur. Preliminari savivaldybei priklausanti investicijų suma 1 131 275 EUR</t>
  </si>
  <si>
    <t>Bendras plotas 3354,70 kv.m.  VSA priklausantis naudingas plotas 1543,75 kv.m. Bendra investicinio projekto suma 1957191 Eur. Preliminari savivaldybei priklausanti investicijų suma 900 839 EUR</t>
  </si>
  <si>
    <t>Paviršinių nuotekų surinkimo ir valymo sistemos (tinklų, įrenginių) modernizavimas</t>
  </si>
  <si>
    <t>10.03.06. (T)</t>
  </si>
  <si>
    <t>Stiprinti pasirengimą valdyti krizes ir ekstremaliąsias situacijas ir šalinti jų padarinius</t>
  </si>
  <si>
    <t xml:space="preserve">SB (L) </t>
  </si>
  <si>
    <t xml:space="preserve">2.8.2.8. </t>
  </si>
  <si>
    <t xml:space="preserve">„Sportuoti gali visi!“ </t>
  </si>
  <si>
    <t>Visagino vaikų
 lopšelio-darželio „Auksinis raktelis“</t>
  </si>
  <si>
    <t>Visagino vaikų
 lopšelio-darželio „Auksinis gaidelis“</t>
  </si>
  <si>
    <t>Visagino savivaldybės tradicinių, tarptautinių, regioninių, respublikinių sporto renginių sričiai</t>
  </si>
  <si>
    <t xml:space="preserve">Aukšto meistriškumo sportininkų pa(si)rengimo ir dalyvavimo oficialiose tarptautinėse varžybose finansavimo sričiai </t>
  </si>
  <si>
    <t>03.02.01. (T)</t>
  </si>
  <si>
    <t>Skatinti geriausius sportininkus ir jų trenerius už avivaldybės garsinimą ir sporto laimėjimus šalies, tarptautinėse varžybose, aktyvinti savivaldybės gyventojų sportinę veiklą</t>
  </si>
  <si>
    <t>03.02.01.01. (TP)</t>
  </si>
  <si>
    <t>R-05-04-01-03</t>
  </si>
  <si>
    <t>Savivaldybėse  įsteigti  koordinatorių etatai  ir įdarbinti asmenys</t>
  </si>
  <si>
    <t>J. Kriaučiūnaitė</t>
  </si>
  <si>
    <t xml:space="preserve">
2022-09-27 Pirkimo sutartis Nr.5-452 (Parko g. 14 statinio techninės priežiūros sutartis)
2023-08-21 Pirkimo sutartis Nr.5-383  (Vilties g. 3, Draugystės g. 10, Taikos per. 15D, Taikos pr. 23,  statinio techninės priežiūros sutartis)
Statinių techninės priežiūros paslaugos 
</t>
  </si>
  <si>
    <t>O. Beinia</t>
  </si>
  <si>
    <t xml:space="preserve">Projekto EUI 03-256 ECC-EDU „Visaginas - Energy Competence Center: changing energy consumption habits through education of consumers“ (liet. Visaginas - energetikos kompetencijų centras: energijos vartojimo įpročių keitimas per vartotojų švietimą)  projektinė paraiška pateikta  Europos miestų iniciatyvai
– inovatyvių sprendimų kvietimui. Vienas iš pagrindinių Europos miestų iniciatyvos (EMI), ypač jos inovatyvių sprendimų krypties (EMI-IS), tikslų – tęsti pagal miestų inovatyvių sprendimų iniciatyvą pradėtą paramą, suteikiant miestų valdžios institucijoms visoje Europoje erdvės ir išteklių, kad jos galėtų nustatyti ir išbandyti (per bandomuosius projektus) naujus inovacinius atsakymus į tarpusavyje susijusius ir sudėtingus vietos iššūkius, susijusius su tvaria miestų plėtra.
Projektas orientuotas į naujos vietos gyventojų švietimo ir mokymo sistemos kūrimą apie tausų energijos naudojimą kasdieniame gyvenime. Bendras tikslas. Prisitaikyti prie vietinės ir nacionalinės energetikos perėjimo sistemos per vaikų ir suaugusiųjų švietimą, įtraukimą, būtinų įgūdžių ir įpročių formavimąsi. Projekto tikslas – sukurti energetikos pažinimo infrastruktūrą ir modulius, kurie leistų perteikti sudėtingą energetikos temą vaikams ir suaugusiems paprastai ir aiškiai, pasitelkiant novatoriškas technologijas. Planuojama, kad integruojant turimą potencialą ir sukauptą patirtį bus sukurta inovatyvi švietimo ir žinių sistema, kuri bus perduota projekto partneriams ES. Planuojami 9 projekto partneriai. Planuojamas projekto biudžetas 6,249,985.00 Eur, iš jų ES parama 4,999,988.00 Eur. Planuojama projekto įgyvendinimas (atrinkus projektų konkurse ir skyrus finansavimą) 2025 m. IV ketv. – 2029 m. I ketv. 
Planuojami rezultatai:
Bus sukurtas Energijos centras (rekonstruotos patalpos, sukurtos edukacinės erdvės pastate, esančiame Balto g. 1, Visagino sav.);
Bus skaitmenizuotas IAE modelis (Energetikos technikos muziejus);
Mokomosios medžiagos parengimas šalies mokytojams energetikos tema ir adaptavimas dėstymui Energijos centre;
Renginiai, mokymai tikslinėms grupėms. </t>
  </si>
  <si>
    <t>Skiriama per įstaigos veiklą  2,324</t>
  </si>
  <si>
    <t>Skiriama per įstaigos veiklą 5,500</t>
  </si>
  <si>
    <t xml:space="preserve">Svetainės www.visaginas.lt atnaujinimas
</t>
  </si>
  <si>
    <t>01.02.02.08. (TP)</t>
  </si>
  <si>
    <t>Naujai įrengtų ekranų aptarnavimas  S+G</t>
  </si>
  <si>
    <t xml:space="preserve">Jaunimo savanoriškos veiklos stiprinime dalyvavusių asmenų skaičius </t>
  </si>
  <si>
    <t>Viešųjų pirkimų programinės įrangos Ecocost icencijų pirkimo ir programinės įrangos paslaugos (integracija su SABIS)</t>
  </si>
  <si>
    <t>Visagino skaitmeninio miesto dvynio informacinės sistemos sukūrimo paslaugos</t>
  </si>
  <si>
    <t>Visagino savivaldybės sporto renginių, fizinio aktyvumo veiklų skatinimo sričiai+baseinas 200 000</t>
  </si>
  <si>
    <t xml:space="preserve">Sporto įvairovės, gyventojų fizinio aktyvumo, prieinamumo įvairioms visuomenės grupėms užtikrinimas
</t>
  </si>
  <si>
    <t>2024 m. lapkričio 21 d. VSA tarybos sprendimo Nr. TS-186 "Kultūros ir meno projektų finansavimo Visagino savivaldybės biudžeto lėšomis tvarkos aprašo" 18.1 sritis " Visagine rengiami kultūros ir meno festivaliai"</t>
  </si>
  <si>
    <t>2024 m. lapkričio 21 d. VSA tarybos sprendimo Nr. TS-186 "Kultūros ir meno projektų finansavimo Visagino savivaldybės biudžeto lėšomis tvarkos aprašo" 18.2 sritis " Visagine įgyvendinami kultūros ir meno projektai"</t>
  </si>
  <si>
    <t>2024 m. lapkričio 21 d. VSA tarybos sprendimo Nr. TS-186 "Kultūros ir meno projektų finansavimo Visagino savivaldybės biudžeto lėšomis tvarkos aprašo" 18.3 sritis " Muziejinės veiklos stiprinimas Visagino savivaldybėje"</t>
  </si>
  <si>
    <t>2020 m. liepos 17 d. VSA direktoriaus įsakymas Nr. ĮV-E-389 "Dėl kultūros rėmimo fondo lėšomis finansuojamų projektų, įgyvendinamų Visagino savivaldybėje, bendrafinansavimo tvarkos aprašo ir dokumentų formų patvirtinimo"</t>
  </si>
  <si>
    <t xml:space="preserve">VSA (Pastato - vaikų poliklinikos paskirties keitimo projekto iš gydymo į kultūros, kai atliekami statinio paprastojo remonto darbai (jeigu bus poreikis) atlikimas )
</t>
  </si>
  <si>
    <t xml:space="preserve">Autobusų stoties raidės ir užrašas </t>
  </si>
  <si>
    <t>Visagino savivaldybės administracija siekdama skatinti nevyriausybines organizacijas, asociacijas, labdaros ir paramos fondus, religines bendruomenes ir bendrijas, viešąsias įstaigas (išskyrus viešąsias įstaigas, kurių savininkė yra valstybė arba savivaldybė), kurių buveinė teisės aktų nustatyta tvarka Juridinių asmenų registre užregistruota ir veikla vykdoma Visagino savivaldybės teritorijoje, aktyviai dalyvauti projektinėje veikloje, viešo konkurso būdu skelbs ir finansuos nevyriausybinių organizacijų veiklą, skirtą gerinti neįgaliųjų, senyvo amžiaus asmenų socialinę integraciją, mažinti socialinę atskirtį ir skatins nevyriausybinių organizacijų bendradarbiavimą socialinių paslaugų plėtojimą, socialinių paslaugų kokybės gerinimo ir socialinės atskirties mažinimo srityje bei didins nevyriausybinio sektoriaus aktyvumą sprendžiant socialinius klausimus, stiprinant tarpusavio pagalbą ir tenkinant visuomenės poreikius. Šiuo metu Visagino savivaldybėje neteikiama (neužtikrinama) šeimos konferencijos paslauga, trūksta transporto, pritaikyto asmenų su negalia poreikiams, paslaugų.</t>
  </si>
  <si>
    <t>07.01.01.10. (PP-V)</t>
  </si>
  <si>
    <t>07.01.01.11. (PP-R)</t>
  </si>
  <si>
    <t>07.01.02.02 (PP-V)</t>
  </si>
  <si>
    <t>07.01.02.03 (PP-V)</t>
  </si>
  <si>
    <t>07.01.02.05 (PP-V)</t>
  </si>
  <si>
    <t>07.01.02.06 (PP-V)</t>
  </si>
  <si>
    <t>07.01.02.07 (PP-V)</t>
  </si>
  <si>
    <t>Lengvatas už 
maitinimą gaunančių mokinių skaičius</t>
  </si>
  <si>
    <t>Nemokamą maitinimą gaunančių 
mokinių skaičius</t>
  </si>
  <si>
    <t>Prama reikmenims įsigyti 
gaunančių mokinių skaičiu</t>
  </si>
  <si>
    <t>Seminarai, mokymai, konferencijos, VIP narystės pedagogas.lt platformoje</t>
  </si>
  <si>
    <t>Ąžuoliukas</t>
  </si>
  <si>
    <t>828/1407</t>
  </si>
  <si>
    <t xml:space="preserve">jaunojo pedagogo klubas </t>
  </si>
  <si>
    <t xml:space="preserve">nesuderinta </t>
  </si>
  <si>
    <t>2024 m. - įdiegta 8 vnt.
2025 m. - planuojama įdiegti 15 vnt.
2026 m. planuojama įdiegti 15 vnt. 
2027 m. planuojama įdiegti 12 vnt. 
Viso 50 vnt. per 2024-2027 m. laikotarpį.</t>
  </si>
  <si>
    <t>Sutarties 2024-05-31 Nr. 5-246. Pontoninių tilto ir prieplaukos, vandens 
čiuožyklos konstrukcijų, esančių Visagino ežero paplūdimyje, remonto darbai 87604 eur</t>
  </si>
  <si>
    <t>Sportininkų, dalyvaujančių aukšto meistriškumo varžybose, skaičius</t>
  </si>
  <si>
    <t>≥70</t>
  </si>
  <si>
    <t>&gt;7</t>
  </si>
  <si>
    <t xml:space="preserve">Parengti ir patvirtinti strategiją </t>
  </si>
  <si>
    <t xml:space="preserve">Sukurti įstaigos interneto svetainę </t>
  </si>
  <si>
    <t xml:space="preserve">Pasirašytų partnerystės sutarčių skaičius </t>
  </si>
  <si>
    <t xml:space="preserve">Mokymuose dalyvavusių asmenų skaičius </t>
  </si>
  <si>
    <t xml:space="preserve">Saugiam eksploatavimui pritaikytų patalpų skaičius </t>
  </si>
  <si>
    <t xml:space="preserve">≥1 </t>
  </si>
  <si>
    <t>≥2</t>
  </si>
  <si>
    <t xml:space="preserve">Įstaigos interneto svetainės vartotojų pasiekiamumas </t>
  </si>
  <si>
    <t xml:space="preserve">Įstaigos socialinių tinklų paskyrų vartotojų pasiekiamumas </t>
  </si>
  <si>
    <t xml:space="preserve">Viešoji įstaiga Visagino plaukimo centras </t>
  </si>
  <si>
    <t xml:space="preserve">25 proc. </t>
  </si>
  <si>
    <t>28 proc.</t>
  </si>
  <si>
    <t>25 proc.</t>
  </si>
  <si>
    <t xml:space="preserve">17,71 (2024) </t>
  </si>
  <si>
    <t>1 (2030)</t>
  </si>
  <si>
    <t>20 (2024)</t>
  </si>
  <si>
    <t>45 (2026)</t>
  </si>
  <si>
    <t>3 (2024)</t>
  </si>
  <si>
    <t>2 (2024)</t>
  </si>
  <si>
    <t>0 (2024) * pradėjo savanoriauti tik rudenį</t>
  </si>
  <si>
    <t>90 (2024)</t>
  </si>
  <si>
    <t xml:space="preserve">12,68 (2024)  </t>
  </si>
  <si>
    <t>7 (2024)</t>
  </si>
  <si>
    <t>19 587 (2024)</t>
  </si>
  <si>
    <t>19 404 (2022)</t>
  </si>
  <si>
    <t>542,46 (2023)</t>
  </si>
  <si>
    <t>Investicijų pritraukimo ir verslumo skatinimo institucinės ekosistemos sukūrimas Visagino, Ignalinos ir Zarasų funkcinėje zonoje (VIZA funkcinės zonos strategijos įgyvendinimas)</t>
  </si>
  <si>
    <t xml:space="preserve">Asmenų, pasinaudojusių naujai 
sukurtomis viešojo transporto paslaugomis, proc. per mėnesį  nuo bendro gyventojų skaičiaus </t>
  </si>
  <si>
    <t>0,5 (2024)</t>
  </si>
  <si>
    <t xml:space="preserve">Įgyvendinant šią priemonę bus užtikrinamas Lietuvos Respublikos vietos savivaldos įstatymo 12 straipsnis, kuris numato, kad savivaldybės tarybos nariams už darbą atliekant savivaldybės tarybos nario pareigas yra atlyginama (apmokama).  </t>
  </si>
  <si>
    <t xml:space="preserve">Lietuvos Respublikos vietos savivaldos įstatymo 7 straipsnio 9 punkto įgyvendinimo užtikrinimas. </t>
  </si>
  <si>
    <t xml:space="preserve">Įgyvendinant šią priemonę planuojama tinkamai valdyti ir administruoti savivaldybės turtą, išlaikyti savivaldybės pastatus, gyvenamąsias ir negyvenamąsias patalpas. Taip pat įgyvendinant šią priemonę bus vykdoma savivaldybės administracijos patikėjimo teise valdomų statinių ir bendrojo naudojimo inžinerinių tinklų techninė priežiūra pagal statybos techninio reglamento STR 1.03.07:2017 „Statinių techninės ir naudojimo priežiūros tvarka. Naujų nekilnojamojo turto kadastro objektų formavimo tvarka“ reikalavimus bei užtikrinta Visagino savivaldybės administracijos valdomų pastatų šilumos sistemų ir šilumos punktų priežiūra bei remontas  pagal Šilumos tinklų ir šilumos vartojimo įrenginių priežiūros (eksploatavimo) taisyklių reikalavimus. </t>
  </si>
  <si>
    <t xml:space="preserve">Tinkamai administruojamas savivaldybės turtas </t>
  </si>
  <si>
    <t xml:space="preserve">Įvykdytų (įgyvendinamų) ir planuotų vykdyti  Visagino savivaldybės korupcijos prevencijos 2025-2027 metų veiksmų plano priemonių santykis </t>
  </si>
  <si>
    <t xml:space="preserve">2024-12-13 sutartis Nr. 5-563 UAB "LEXITA" . Paslaugos turi būti suteiktos per 6 mėn. </t>
  </si>
  <si>
    <t xml:space="preserve">Savivaldybės mažosios posėdžių salės remonto darbai </t>
  </si>
  <si>
    <t>Vietų darbuotojams sukūrimas</t>
  </si>
  <si>
    <t xml:space="preserve">Savivaldybės didžiosios posėdžių salės remonto darbai </t>
  </si>
  <si>
    <t xml:space="preserve">Dokumentų valdymo sistemos "Kontora"  modernizavimas </t>
  </si>
  <si>
    <t xml:space="preserve">Atostogų vadovų personalo  modelio įdiegimo paslaugų įsigijimas </t>
  </si>
  <si>
    <t xml:space="preserve">Turto inventorizacijos ir turto valdymo modulio įdiegimo paslaugų įsigijimas </t>
  </si>
  <si>
    <t xml:space="preserve">Administracijos personalo motyvavimo programos ir atostogų modulio įsigijimas </t>
  </si>
  <si>
    <r>
      <rPr>
        <i/>
        <strike/>
        <sz val="9"/>
        <rFont val="Arial"/>
        <family val="2"/>
      </rPr>
      <t xml:space="preserve">Garso įrangos sutvarkymas </t>
    </r>
    <r>
      <rPr>
        <i/>
        <sz val="9"/>
        <rFont val="Arial"/>
        <family val="2"/>
      </rPr>
      <t xml:space="preserve"> </t>
    </r>
    <r>
      <rPr>
        <i/>
        <sz val="9"/>
        <color rgb="FFFF0000"/>
        <rFont val="Arial"/>
        <family val="2"/>
      </rPr>
      <t>(kondicionavimo įrangos darbai)</t>
    </r>
  </si>
  <si>
    <t>Įgyvendinti Visagino savivaldybės 
korupcijos prevencijos 2025-2027 metų veiksmų planą</t>
  </si>
  <si>
    <t>R-01-02-02-02-1</t>
  </si>
  <si>
    <t>Sukurtų kapinių informacinių sistemų skaičius</t>
  </si>
  <si>
    <t xml:space="preserve">Siekiant supaprastinti gyventojų aptarnavimo procesus planuojama  diegti automatizuotą  gyventojų priėmimo viename langelyje prašymų formą. Efektyvus atskirų viešųjų paslaugų skaitmenizavimas leis pereiti prie vieningos paslaugų sistemos, kuri užtikrins patogumą vartotojams, sutrumpins paslaugos suteikimo laiką, paslauga taps individualizuota, atsižvelgiant į socialiai pažeidžiamų visuomenės grupių poreikius, prieinama vartotojui patogiausiu būdu ir laiku ir vienoje vietoje. </t>
  </si>
  <si>
    <t>R-01-02-02-02-2</t>
  </si>
  <si>
    <t>LT kalba - 43,8, matematika - 28</t>
  </si>
  <si>
    <t xml:space="preserve">Lietuvos Respublikos vietos savivaldos įstatymo 7 straipsnio 14 punkto įgyvendinimas. </t>
  </si>
  <si>
    <t>Priedangų atsparumo stiprinimas ir pritaikymas riboto judumo asmenims (naujas)</t>
  </si>
  <si>
    <t>Bunkerio salės (pastato Nr. 11) atnaujinimas</t>
  </si>
  <si>
    <t>Nuotekų siurblinių NS-1, NS-2  modernizavimo darbai įrengiant reguliavimo armatūrą ir integruojant jos darbą į esamą sistemą, vnt.</t>
  </si>
  <si>
    <t>Nuotekų surinkimo siurblinių  įrangos atnaujinimas, kompl.</t>
  </si>
  <si>
    <t>Įgyvendinant šią priemonę planuojama vykdyti įprastines nekilnojamojo turto registracijos procedūras, turto kadastrinius matavimus ir turto vertinimą pagal poreikį arba siekiant išnuomoti ar parduoti jį investuotojams.</t>
  </si>
  <si>
    <t xml:space="preserve">Projektinėmis lėšomis naujai įsigytos įrangos skaičius </t>
  </si>
  <si>
    <t>Organizuoti skyriuje papildomai 1 palatą</t>
  </si>
  <si>
    <t>Plėtoti įstaigos  infrastruktūrą  ir gerinti sveikatos priežiūros paslaugų kokybę ir į pacientą orientuotą sveikatos priežiūrą (Dienos stacionaro patalpų atnaujinimas ir paslaugų apimties didinimas, palyginant su 2023 metų rezultatais)</t>
  </si>
  <si>
    <t>Kvalifikacijos kėlimas ne mažiau nei 
17 % įstaigos personalo</t>
  </si>
  <si>
    <t>9298476 Eur</t>
  </si>
  <si>
    <t>10228323 Eur</t>
  </si>
  <si>
    <t>11251156 Eur</t>
  </si>
  <si>
    <t>30000 Eur</t>
  </si>
  <si>
    <t>45000 Eur</t>
  </si>
  <si>
    <t>12000 Eur</t>
  </si>
  <si>
    <t>15000 Eur</t>
  </si>
  <si>
    <t>17000 Eur</t>
  </si>
  <si>
    <t>19000 Eur</t>
  </si>
  <si>
    <t xml:space="preserve">3000 Eur </t>
  </si>
  <si>
    <t xml:space="preserve">3500 Eur </t>
  </si>
  <si>
    <t xml:space="preserve">4000 Eur </t>
  </si>
  <si>
    <t>46500 Eur</t>
  </si>
  <si>
    <t>85074 Eur</t>
  </si>
  <si>
    <t>Naujos įrangos įsigijimas</t>
  </si>
  <si>
    <t>Hemodializės skyriaus projekto parengimas ir kapitalinis remontas</t>
  </si>
  <si>
    <t>316300  Eur</t>
  </si>
  <si>
    <t>Rodiklio reikšmė
2024</t>
  </si>
  <si>
    <t>Rodiklio reikšmė
2025</t>
  </si>
  <si>
    <t>Rodiklio reikšmė
2026</t>
  </si>
  <si>
    <t>Rodiklio reikšmė
2027</t>
  </si>
  <si>
    <t>Visagino savivaldybės švietimo stebėsenos rodiklių sąrašas,  patvirtintas 2022-03-14 Visagino savivaldybės administracijos direktoriaus įsakymu Nr. ĮV-E-123 "Dėl Visagino savivaldybės švietimo stebėsenos rodiklių sąrašo patvirtinimo"</t>
  </si>
  <si>
    <t xml:space="preserve">Veikiančių nevyriausybinių ir 
bendruomeninių organizacijų skaičius </t>
  </si>
  <si>
    <t>12,68</t>
  </si>
  <si>
    <t>22</t>
  </si>
  <si>
    <t>pagal poreikį</t>
  </si>
  <si>
    <t>1154</t>
  </si>
  <si>
    <t>17,71</t>
  </si>
  <si>
    <t>Įgyvendinant šią priemonę bus siekiama skatinti smulkiojo ir vidutinio verslo plėtrą savivaldybėje, remti smulkiojo ir vidutinio verslo, ekonominę veiklą vykdančius subjektus, jų iniciatyvas ir projektus bei sudaryti palankias sąlygas kurti naujas darbo vietas savivaldybės teritorijoje. 
Priemonės finansavimas vykdomas pagal metiniame savivaldybės biudžete numatytas lėšas priemonei finansuoti. Priemonės finansavimas ir atskaitomybė vykdomi vadovaujantis Visagino savivaldybės smulkiojo ir vidutinio verslo plėtros skatinimo priemonės įgyvendinimo tvarkos aprašu.</t>
  </si>
  <si>
    <t xml:space="preserve">Įgyvendinat šią priemonę bus įgyvendinamas 2020 m. gruodžio 22 d. Visagino savivaldybės tarybos sprendimas Nr. TS-275 „Dėl Utenos regiono plėtros tarybos steigimo“. </t>
  </si>
  <si>
    <t xml:space="preserve">Pritrauktų naujų inovacijų klasterio narių skaičius/organizuotų renginių skaičius </t>
  </si>
  <si>
    <t>4/10</t>
  </si>
  <si>
    <t>5/11</t>
  </si>
  <si>
    <t>6/12</t>
  </si>
  <si>
    <t>Išpirktų turto vienetų skaičius</t>
  </si>
  <si>
    <t>11</t>
  </si>
  <si>
    <t xml:space="preserve">Esant poreikiui planuojama įsigyti apleistus pastatus, butus-patalpas pagal poreikį. </t>
  </si>
  <si>
    <t xml:space="preserve"> Administracija</t>
  </si>
  <si>
    <r>
      <t>Asmenų,</t>
    </r>
    <r>
      <rPr>
        <strike/>
        <sz val="9"/>
        <rFont val="Arial"/>
        <family val="2"/>
      </rPr>
      <t xml:space="preserve"> </t>
    </r>
    <r>
      <rPr>
        <sz val="9"/>
        <rFont val="Arial"/>
        <family val="2"/>
      </rPr>
      <t>kuriems sudarytos socialinių paslaugų finansavimo sutartys, skaičius</t>
    </r>
  </si>
  <si>
    <t>06.01.03.04.-1</t>
  </si>
  <si>
    <t>6196 (2024)</t>
  </si>
  <si>
    <t>56 (2024)</t>
  </si>
  <si>
    <t>1478 (2024)</t>
  </si>
  <si>
    <t>84 (2024)</t>
  </si>
  <si>
    <t>0 (2024)</t>
  </si>
  <si>
    <t>0,864 (2024)</t>
  </si>
  <si>
    <t>0,376 (2024)</t>
  </si>
  <si>
    <t>~8000 (2024)</t>
  </si>
  <si>
    <t>96,51 t (2023)</t>
  </si>
  <si>
    <t>30 (2024)</t>
  </si>
  <si>
    <t>8000 (2030)</t>
  </si>
  <si>
    <t>49,6 (2022)</t>
  </si>
  <si>
    <t>34,4 (2024)</t>
  </si>
  <si>
    <t>900 (2024)</t>
  </si>
  <si>
    <t xml:space="preserve">2.5.1.5. </t>
  </si>
  <si>
    <t>06.01.03.12. (PP)-R</t>
  </si>
  <si>
    <t>06.02.01.02. (PP)-R</t>
  </si>
  <si>
    <t>06.02.01.09. (PP)-R</t>
  </si>
  <si>
    <t xml:space="preserve">Projekto „Nestacionarių socialinių paslaugų, didinančių senyvo amžiaus asmenų gerovę, plėtra Visagino savivaldybėje" įgyvendinimas </t>
  </si>
  <si>
    <t xml:space="preserve">Transporto paslaugoms </t>
  </si>
  <si>
    <t xml:space="preserve">Šeimos konferencijos paslaugoms (bus perkama viešo konkurso būdu) </t>
  </si>
  <si>
    <t>06.02.01.13. (PP)-R</t>
  </si>
  <si>
    <t xml:space="preserve">Projekto „Specialiųjų poreikių turinčių asmenų gerovės kūrimas ir įtrauktis į socialinę ir ekonominę Visagino savivaldybės raidą (SADM žemėlapis)" įgyvendinimas 
</t>
  </si>
  <si>
    <t>Asmenų, kuriems taikyta atvejo vadyba, skaičius</t>
  </si>
  <si>
    <t>232,7</t>
  </si>
  <si>
    <t>58,8</t>
  </si>
  <si>
    <t>24,6</t>
  </si>
  <si>
    <t>23,5</t>
  </si>
  <si>
    <t>5,1</t>
  </si>
  <si>
    <t>Naujos arba modernizuotos sveikatos priežiūros infrastruktūros talpumas</t>
  </si>
  <si>
    <t>12486</t>
  </si>
  <si>
    <t>62084</t>
  </si>
  <si>
    <t>Naujos arba modernizuotos sveikatos priežiūros infrastruktūros naudotojų skaičius per metus</t>
  </si>
  <si>
    <t>51497</t>
  </si>
  <si>
    <t>8890</t>
  </si>
  <si>
    <t>Asmenų, po dalyvavimo veiklose pagerinusių sveikatos raštingumo kompetenciją, dalis (proc.);</t>
  </si>
  <si>
    <t>Paramą gavusių nacionalinio, regionų ar vietos lygmens viešojo administravimo ar viešąsias paslaugas teikiančių įstaigų skaičius</t>
  </si>
  <si>
    <t>74</t>
  </si>
  <si>
    <t xml:space="preserve">Naujos arba modernizuotos sveikatos priežiūros infrastruktūros naudotojų skaičius per metus  </t>
  </si>
  <si>
    <t>782</t>
  </si>
  <si>
    <t xml:space="preserve">Projekto „Sveikatos raštingumo ir visuomenės sveikatos paslaugų prieinamumo didinimas Visagino savivaldybėje" įgyvendinimas 
</t>
  </si>
  <si>
    <t xml:space="preserve">Sukurtų ilgalaikės priežiūros specialistų komandų, teikiančių paslaugas gyventojų namuose, skaičius </t>
  </si>
  <si>
    <t xml:space="preserve">Specialistai, dalyvavę
kvalifikacijos tobulinimo ar
perkvalifikavimo veiklose (matavimo vnt. asmenys) </t>
  </si>
  <si>
    <t xml:space="preserve">Asmenys, dalyvavę
kvalifikacijos įgijimo veiklose (matavimo vnt. asmenys) </t>
  </si>
  <si>
    <t xml:space="preserve">Centralizuotas darbų saugos paslaugos pirkimas </t>
  </si>
  <si>
    <t>Visagino savivaldybėje veikiančių formaliojo ir neformaliojo švietimo įstaigų aukštesniųjų gebėjimų turinčių mokinių ir jų mokytojų skatinimas</t>
  </si>
  <si>
    <t xml:space="preserve">Aplinkos tvarkymo  skyrius </t>
  </si>
  <si>
    <t>Biodegraduojančioms atliekoms</t>
  </si>
  <si>
    <t>Įstaigos veikla (SB)</t>
  </si>
  <si>
    <t>50 (2024)</t>
  </si>
  <si>
    <t>75 (2030)</t>
  </si>
  <si>
    <t>20 (2023)</t>
  </si>
  <si>
    <t>69 (2023)</t>
  </si>
  <si>
    <t>83 (2024)</t>
  </si>
  <si>
    <t>3 (2023)</t>
  </si>
  <si>
    <t>1 (2023)</t>
  </si>
  <si>
    <t>82 (2024)</t>
  </si>
  <si>
    <t>3133 (2024)</t>
  </si>
  <si>
    <t>26 (2024)</t>
  </si>
  <si>
    <t>32 skaičius, 76 proc.</t>
  </si>
  <si>
    <t>33 skaičius, 80 proc.</t>
  </si>
  <si>
    <t>31 (2024) skaičius, 75,6 proc.</t>
  </si>
  <si>
    <t>374,16  (2023)</t>
  </si>
  <si>
    <t>267,84  (2024)</t>
  </si>
  <si>
    <t>1  (2023)</t>
  </si>
  <si>
    <t>2  (2024)</t>
  </si>
  <si>
    <t>0  (2023)</t>
  </si>
  <si>
    <t>3  (2024)</t>
  </si>
  <si>
    <t>11,1  (2023)</t>
  </si>
  <si>
    <t>11,5  (2024)</t>
  </si>
  <si>
    <t>15 (2030)</t>
  </si>
  <si>
    <t>14  (2023)</t>
  </si>
  <si>
    <t>14  (2024)</t>
  </si>
  <si>
    <t>25  (2023)</t>
  </si>
  <si>
    <t>25  (2024)</t>
  </si>
  <si>
    <t>2 proc.</t>
  </si>
  <si>
    <t>Gerves ekspertizė</t>
  </si>
  <si>
    <t xml:space="preserve">Bangos salės projektavimas </t>
  </si>
  <si>
    <t>11 ( 2024)</t>
  </si>
  <si>
    <t>21  (2021)</t>
  </si>
  <si>
    <t>Ne mažiau kaip 26  (2030)</t>
  </si>
  <si>
    <t>Faktinė stebėsenos rodiklio reikšmė (2024)</t>
  </si>
  <si>
    <t>Vadovaujantis Visagino savivaldybės gyventojų mokėjimo už socialines paslaugas tvarkos aprašu, patvirtintu 2024 m. rugpjūčio 29 d. sprendimu Nr. TS-123, teikiamos budinčių ir nuolatinių globotojų paslaugos, finansuojamos savivaldybės biudžeto lėšomis, mokamos lėšos globojamų vaikų išlaikymui bei pagalbos pinigai. Atsakingas Visagino šeimos ir vaiko gerovės centras ir Visagino savivaldybės administracija.</t>
  </si>
  <si>
    <t>„Facebook“ 4997 tūkst. (2024)</t>
  </si>
  <si>
    <t>„YouTube“ 450 (2024)</t>
  </si>
  <si>
    <t>93 tūkst./ metus</t>
  </si>
  <si>
    <t>94 tūkst./ metus</t>
  </si>
  <si>
    <t>Interneto svetainės naudotojai 93 tūkst./ metus (2024)</t>
  </si>
  <si>
    <t>L (ĮP)</t>
  </si>
  <si>
    <t xml:space="preserve">Įstaigų pajamos (ĮP) likutis 2024 m.
</t>
  </si>
  <si>
    <t>Besimokančiųjų iniciatyvų skatinimas, pažinimo, lavinimosi, saviraiškos galimybių užtikrinimas ir konkursų, olimpiadų organizavimas. Dalyvavimas diagnostiniame ir standartizuotame testavime, olimpiadų, konkursų, varžybų organizavimas, mokinių dalyvavimas „Kultūros paso“ programose, regiono, šalies konkursuose, atrankose, kituose renginiuose pagal atskirai gautus raštus, dalyvavimo kaštų apmokėjimas, Visagino savivaldybėje gyvenančių suaugusių asmenų mokymasis pagal NSŠTM programas. Programos finansuojamos konkurso būdu pagal Visagino savivaldybės tarybos  patvirtintą Visagino savivaldybės NSŠTM programų, finansuojamų savivaldybės biudžeto lėšomis, finansavimo ir atrankos aprašą, įgyvendinimo priežiūra, savivaldybės etapo dalykinių olimpiadų ir konkursų vykdymas, nugalėtojų apdovanojimas, apmokėjimas užduočių rengėjams, dalyvavimo šalies etapo olimpiadose ir konkursuose užtikrinimas, Suaugusiųjų švietimo savaitės renginių organizavimas, dalyvavimas Suaugusiųjų švietimo savaitės respublikos, regiono renginiuose, svariausių laimėjimų pasiekusių savivaldybės mokinių pagerbimo renginio organizavimas, bendradarbiavimas su kitomis institucijomis ir kitos veiklos, padedančios siekti numatyto uždavinio.</t>
  </si>
  <si>
    <t xml:space="preserve">Vaikų lopšelio-darželio „Auksinis raktelis“ jubiliejui </t>
  </si>
  <si>
    <t>Draugystės progimnazijos jubiliejui</t>
  </si>
  <si>
    <t>Vaikų lopšelio-darželio „Gintarėlis“  jubiliejui</t>
  </si>
  <si>
    <t>"Žiburio" pagrindinės mokyklos jubiliejui</t>
  </si>
  <si>
    <t>Atgimimo gimnazijos jubiliejui</t>
  </si>
  <si>
    <t>Atgimimo gimnazijos  (pajamos už egzaminus)</t>
  </si>
  <si>
    <t xml:space="preserve">Įstaigų pajamos iš viso 2025 m. 
</t>
  </si>
  <si>
    <t>įstaigos veikla</t>
  </si>
  <si>
    <t xml:space="preserve">Newton room veiklai užtikrinti </t>
  </si>
  <si>
    <t xml:space="preserve">Iš viso </t>
  </si>
  <si>
    <t>Projektas "Spalvotosios emocijos" (Colorful emotions) LAT-LIT</t>
  </si>
  <si>
    <t>BU mokyklos ir VSA</t>
  </si>
  <si>
    <t>SB nt (L)</t>
  </si>
  <si>
    <t xml:space="preserve">Vaikų lopšelis-darželis „Auksinis gaidelis“ </t>
  </si>
  <si>
    <t xml:space="preserve">Vaikų lopšelis-darželis „Auksinis raktelis “ </t>
  </si>
  <si>
    <t>Vaikų lopšelis-darželis „Ąžuoliukas“</t>
  </si>
  <si>
    <t>Vaikų lopšelis-darželis „Gintarėlis“</t>
  </si>
  <si>
    <t xml:space="preserve">Įrengtų STEAM patalpų skaičius </t>
  </si>
  <si>
    <t>1.4. Europos Sąjungos ir kitos tarptautinės finansinės paramos lėšos (ES, EGDP, VB)</t>
  </si>
  <si>
    <t>Kita veikla (SB)</t>
  </si>
  <si>
    <t xml:space="preserve">
2025</t>
  </si>
  <si>
    <t xml:space="preserve">
2027</t>
  </si>
  <si>
    <t>Specialioji dotacija (SD)</t>
  </si>
  <si>
    <t>Įstaigų pajamos</t>
  </si>
  <si>
    <t>Projektai (ES, VB)</t>
  </si>
  <si>
    <t>Valstybės dotacija (D)</t>
  </si>
  <si>
    <t>Specialioji (AA)</t>
  </si>
  <si>
    <t>Kiti šaltiniai</t>
  </si>
  <si>
    <t>Pagal Newton Rooms konceptą pradėtų įgyvendinti naujų modulių skaičius</t>
  </si>
  <si>
    <t xml:space="preserve">VšĮ Visagino plaukimo centras </t>
  </si>
  <si>
    <t xml:space="preserve">VŠĮ Visagino biatlono centras </t>
  </si>
  <si>
    <t>Įgyvendinant aukščiau numatytą priemonę bus užtikrintas viešųjų įstaigų Visagino sporto ir rekreacijos centro, Visagino krepšinio mokyklos, Visagino futbolo centro, Visagino graikų-romėnų imtynių centro, Visagino plaukimo centro, Visagino biatlono centro veiklos organizavimas ir ugdymo/treniruočių proceso užtikrinimas pagal finansavimo sutartis.</t>
  </si>
  <si>
    <t>Parengtų dokumentų  skaičius</t>
  </si>
  <si>
    <t xml:space="preserve">2024 m. lapkričio 21 d. Visagino savivaldybės tarybos sprendimu Nr. TS-191 „Dėl Visagino savivaldybės sporto veiklos finansavimo tvarkos aprašo patvirtinimo“, buvo patvirtinta Visagino savivaldybės sporto veiklos finansavimo tvarka, kurios pagrindu bus organizuojami konkursai bei bus prisidedama prie baseinų veiklos organizavmo užtikrinimo. </t>
  </si>
  <si>
    <t xml:space="preserve">Apdovanotų asmenų skaičius </t>
  </si>
  <si>
    <t xml:space="preserve"> Sporto komandų, kurios dalyvavo šalies aukščiausiojo lygio čempionatuose, tarptautiniuose turnyruose, skaičius (vnt.)</t>
  </si>
  <si>
    <t>Projektas „Sportuoti gali visi"“</t>
  </si>
  <si>
    <t>03.01.02.06-3 (TP)</t>
  </si>
  <si>
    <t>2024-11-21 VSA sprendimas Nr. TS-188</t>
  </si>
  <si>
    <t>Baseinų veiklos  užtikrinimas</t>
  </si>
  <si>
    <r>
      <t>2027</t>
    </r>
    <r>
      <rPr>
        <b/>
        <sz val="7"/>
        <rFont val="Arial"/>
        <family val="2"/>
      </rPr>
      <t xml:space="preserve"> metų asignavimai ir kitos lėšos</t>
    </r>
  </si>
  <si>
    <t>Visagino savivaldybės muziejus  Pagal 2023-03-10 TS-37 (2023-2025 m. programa)</t>
  </si>
  <si>
    <t xml:space="preserve">VšĮ Visagino miesto muziejus </t>
  </si>
  <si>
    <t xml:space="preserve">VšĮ Mados istorijos muziejus </t>
  </si>
  <si>
    <t xml:space="preserve">ĮP </t>
  </si>
  <si>
    <t xml:space="preserve">
Projektai (SB) ir SB (L)
</t>
  </si>
  <si>
    <t xml:space="preserve">
2025 SB (L)</t>
  </si>
  <si>
    <t xml:space="preserve">
2027 SB</t>
  </si>
  <si>
    <t>Lietuvos žaliųjų judėjimo Tarptautinei gamtosauginių mokyklų programai „Verdenės“ gimnazijoje koordinuoti</t>
  </si>
  <si>
    <t>AA( L)</t>
  </si>
  <si>
    <t xml:space="preserve">Visagino savivaldybės aplinkos monitoringo programos priemonėms  įgyvendinti </t>
  </si>
  <si>
    <t xml:space="preserve">Visagino savivaldybės aplinkos monitoringo duomenų bazei </t>
  </si>
  <si>
    <t>Reklamos stendų atnaujinimas</t>
  </si>
  <si>
    <t xml:space="preserve">Renovuoto daugiabučio namo, esančio Visagino g. 5 atraminių sienelių konstrukcijos  ekspertizės atlikimas </t>
  </si>
  <si>
    <t>Kultūros centras (komunalinės išlaidos)</t>
  </si>
  <si>
    <t xml:space="preserve">2020 m. lapkričio 9 d. tarp Savivaldybės ir AB „Energijos skirstymo operatorius“ buvo sudarytas elektros gamybos įrenginių prijungimo prie elektros skirstymo tinklų ketinimų protokolas Nr. 20-57591, kuriame prievolių įvykdymo užtikrinimui savivaldybė numatė  212 500 Eur sumą bei įgijo leidimą plėtoti elektros energijos gamybos pajėgumus 10Mw. Plėtros leidimas galioja iki 2027-05-20. </t>
  </si>
  <si>
    <t xml:space="preserve">Lopšelis darželis "Ąžuoliukas" baseino rekonstravimo projektui </t>
  </si>
  <si>
    <t xml:space="preserve">Įgyvendinant priemonę bus rengiama projektinė dokumentacija valdomam turtui atnaujinti pagal poreikį. 
</t>
  </si>
  <si>
    <t xml:space="preserve">Savininkų švietimas  ir apmokėimui už investicinius projektus </t>
  </si>
  <si>
    <t xml:space="preserve">taip </t>
  </si>
  <si>
    <t>E-10-03-06</t>
  </si>
  <si>
    <t xml:space="preserve">Skirtumas </t>
  </si>
  <si>
    <t>Draugystės 
progimnazija</t>
  </si>
  <si>
    <t>Stadiono geokupolo galimybių studija</t>
  </si>
  <si>
    <t xml:space="preserve">Visagino miesto muziejaus pastato paskirties keitimas </t>
  </si>
  <si>
    <t xml:space="preserve">Kita veikla </t>
  </si>
  <si>
    <t>Įstaigos veikla</t>
  </si>
  <si>
    <t>D. Kardelienė</t>
  </si>
  <si>
    <t>Pakuočių ir antrinių žaliavų surinkimo konteinerių įsigijimas</t>
  </si>
  <si>
    <t>Atliekų surinkimo konteinerių aikštelių, numatytų Atliekų surinkimo konteinerių aikštelių plėtros galimybių studijoje, projektavimas</t>
  </si>
  <si>
    <t xml:space="preserve">Kompostavimo konteineriai žaliosioms atliekoms </t>
  </si>
  <si>
    <t>Teisės aktų reikalavimų įgyvendinimas,siekiant suteikti atliekų turėtojams kokybiškas paslaugas. Parengus Atliekų surinkimo konteinerių aikštelių plėtros galimybių studiją, nustatyta, kad Visagine reikalinga papildomai įrengti 11 konteinerių aikštelių. Lėšų poreikis apskaičiuotas ir nurodytas minėtoje galimybių studijoje.</t>
  </si>
  <si>
    <t>600 vnt kompostavimo dėžių įsigyjimas, siekiant kompostuoti žaliąsias atliekas jų susidarymo vietoje (sodininkai). Pagal preliminarius komercinius pasiūlymus vieneto kaina 100 Eur.</t>
  </si>
  <si>
    <t>Miestų miškų sklypų suprojektavimas, suformavimas ir užregistravimas SD</t>
  </si>
  <si>
    <t>Visagino savivaldybės užimtumo didinimo programos įgyvendinimas D</t>
  </si>
  <si>
    <t>01.01.02.21. (TP)</t>
  </si>
  <si>
    <t>3200</t>
  </si>
  <si>
    <t>740</t>
  </si>
  <si>
    <t>Vadovaujantis Lietuvos Respublikos tikslinių kompensacijų įstatymu mokamos individualios pagalbos teikimo išlaidų kompensacijos, atliekamas senyvo amžiaus asmenų savarankiškumo kasdieninėje veikloje vertinimas.</t>
  </si>
  <si>
    <t>Vadovaujantis Lietuvos Respublikos išmokų vaikams įstatymu mokamos vienkartinės ir periodinės išmokos, užtikrinančios finansinę paramą šeimoms, auginančioms vaikus ar įvaikius, ir vaikams, netekusiems tėvų globos.</t>
  </si>
  <si>
    <t>6300</t>
  </si>
  <si>
    <t>6200</t>
  </si>
  <si>
    <t>6100</t>
  </si>
  <si>
    <t>17</t>
  </si>
  <si>
    <t>940</t>
  </si>
  <si>
    <t>2500</t>
  </si>
  <si>
    <t>2024-01-24 Asmens su negalia teisių apsaugos agentūra prie Lietuvos Respublikos socialinės apsaugos ir darbo ministerijos, Visagino svivaldybės administracija ir Visagino šeimos ir vaiko gerovės centras pasirašė projekto „Perėjimas nuo institucinės globos prie bendruomeninių paslaugų Sostinės regione, Vidurio ir vakarų Lietuvos regione“ įgyvendinimo sutartį Nr. 5-30.  Projekto pabaigos data planuojama iki 2029 m. IV ketvirčio pabaigos. 
Projekto  tikslas – užtikrinti Atvejo vadybos modelio taikymą asmenims, turintiems psichikos ir (ar) intelekto negalią, didinti jų socialinius ir darbinius įgūdžius, skatinti savarankiškumą ir gyvenimą bendruomenėje, atsižvelgiant į asmenų individualius poreikius, užimtumą atviroje darbo rinkoje.</t>
  </si>
  <si>
    <t>2400</t>
  </si>
  <si>
    <t xml:space="preserve">Finansuotų socialinių paslaugų skaičius  </t>
  </si>
  <si>
    <t xml:space="preserve">Komunalinėms paslaugoms </t>
  </si>
  <si>
    <t>Vietinės reikšmės maršrutų skaičius</t>
  </si>
  <si>
    <t>Skirtumas</t>
  </si>
  <si>
    <t>Paskola (SB)</t>
  </si>
  <si>
    <t>Panaudota dotacijos dalis, nuo visų laikino atokvėpio atlikimui numatytų lėšų procentais</t>
  </si>
  <si>
    <t xml:space="preserve"> Įvažiavimo į stadioną Parko g. 2C apšvietimo įrengimas</t>
  </si>
  <si>
    <t>2024 m. gruodžio 9 d. sutartis Nr.5-550</t>
  </si>
  <si>
    <t>Įrengtų vietų kolumbariume skaičius</t>
  </si>
  <si>
    <t>252</t>
  </si>
  <si>
    <t xml:space="preserve">Asmenų, kuriems suteikta laikino atokvėpio paslauga, skaičius </t>
  </si>
  <si>
    <t>16</t>
  </si>
  <si>
    <t xml:space="preserve">Visagino socialinių paslaugų centras </t>
  </si>
  <si>
    <t>Įgyvendinant šią priemonę ir  vykdant savarankiškąją savivaldybės socialinių paslaugų teikimo užtikrinimo planuojant ir organizuojant socialines paslaugas funkciją  bei valstybinę (valstybės perduotą savivaldybėms) funkciją, susijusią su socialinės globos teikimo asmenims su sunkia negalia organizavimu, užtikrinama socialines paslaugas Visagino savivaldybėje teikiančių įstaigų Visagino šeimos ir vaiko gerovės centro ir Visagino socialinių paslaugų centro veikla.</t>
  </si>
  <si>
    <t>Socialines paslaugas namuose gaunančių asmenų dalis nuo bendro socialinių paslaugų gavėjų skaičiaus, proc.</t>
  </si>
  <si>
    <t>Šeimose globojamų (rūpinamų) vaikų skaičius (asm.)</t>
  </si>
  <si>
    <t>48</t>
  </si>
  <si>
    <t>47</t>
  </si>
  <si>
    <t>Įgyvendinama  pažangos projektų:
Kompleksinės paslaugos KOPA
Integralios pagalbos teikimas ir plėtra Lietuvos savivaldybėse
Paslaugų, skatinančių ir efektyviai palaikančių globą šeimos aplinkoje, vystymas</t>
  </si>
  <si>
    <t>Socialinių paslaugų poreikio patenkinimas, proc.</t>
  </si>
  <si>
    <t>Įgyvendinama  pažangos projektų, skirtų socialinių paslaugų plėtrai:
-Institucinės globos pertvarka Visagino savivaldybėje (pagal Utenos regiono žemėlapį);
-Perėjimas nuo institucinės globos prie bendruomeninių paslaugų Sostinės regione, Vidurio ir Vakarų Lietuvos regione;
-Nestacionarių socialinių paslaugų, didinančių senyvo amžiaus asmenų gerovę, plėtra Visagino savivaldybėje.</t>
  </si>
  <si>
    <t>2025 m. išlaidų planas, tūkst. Eur</t>
  </si>
  <si>
    <t>VB (KT)</t>
  </si>
  <si>
    <r>
      <t>Sporto srityje įgyvendinamų projektų</t>
    </r>
    <r>
      <rPr>
        <sz val="9"/>
        <color rgb="FFFF0000"/>
        <rFont val="Arial"/>
        <family val="2"/>
      </rPr>
      <t>,</t>
    </r>
    <r>
      <rPr>
        <sz val="9"/>
        <rFont val="Arial"/>
        <family val="2"/>
      </rPr>
      <t xml:space="preserve"> skaičius </t>
    </r>
  </si>
  <si>
    <t xml:space="preserve">Užtikrintas paslaugos teikimas pagal poreikį </t>
  </si>
  <si>
    <t xml:space="preserve">Pagrindinis priemonės įgyvendinimo tikslas – pritraukti ir paskatinti trūkstamus specialistus dirbti Visagino savivaldybės biudžetinėse ir  viešosiose įstaigose, kurių savininkė arba dalininkė yra Visagino savivaldybė, kad būtų užtikrinti įstaigų veiklos poreikiai, teikiamų paslaugų gyventojams prieinamumas ir kokybė.  Priemonės įgyvendinimo ir finansavimo sąlygų aprašas tvirtinamas Visagino savivaldybės tarybos sprendimu. 
Priemonės įgyvendinimas prisidės prie Strateginio plėtros plano priemonės „Integruotos investuotojų pritraukimo ir aptarnavimo sistemos sukūrimas ir tikslingais kanalais informacijos apie ekonominę ir investicijų aplinką Visagino potencialiems investuotojams skleidimas“ įgyvendinimo. </t>
  </si>
  <si>
    <t xml:space="preserve">Biudžetas </t>
  </si>
  <si>
    <t xml:space="preserve">Biudzetas </t>
  </si>
  <si>
    <t>finansinis turtas</t>
  </si>
  <si>
    <t>Ugdymo reikmėms finansuoti (MK)</t>
  </si>
  <si>
    <t>Valstybės biudžeto lėšos ir kitos dotacijos  (SD)</t>
  </si>
  <si>
    <t>Įgyvendintų programų skaičius per metus</t>
  </si>
  <si>
    <t xml:space="preserve">Savivaldybės biudžeto dalis verslo konsultavimo viešajai paslaugai   finansuoti, proc. </t>
  </si>
  <si>
    <t>Informacinių seminarų ciklų skaičius</t>
  </si>
  <si>
    <t>Akseleravimo programos įgyvendinimas</t>
  </si>
  <si>
    <t>Atvirų durų renginių skaičius</t>
  </si>
  <si>
    <t>Mentorystės programos įgyvendinimas</t>
  </si>
  <si>
    <t>Aktyvių paslaugas gaunančių Klasterio narių skaičius</t>
  </si>
  <si>
    <t xml:space="preserve">Klasteryje planuojamų teikti naujų paslaugų skaičius </t>
  </si>
  <si>
    <t>Įstaiga įtraukta į Skaidrių asmens sveikatos priežiūros įstaigų sąrašą</t>
  </si>
  <si>
    <t>2025-2027 m.</t>
  </si>
  <si>
    <t>8000 (2024)</t>
  </si>
  <si>
    <t xml:space="preserve">0,1 (2024) </t>
  </si>
  <si>
    <t xml:space="preserve">4 (2024) </t>
  </si>
  <si>
    <t>1,64 (2024)</t>
  </si>
  <si>
    <t>21 (2024)</t>
  </si>
  <si>
    <t xml:space="preserve">3. </t>
  </si>
  <si>
    <t>Siekti supaparastinti procesus  vykdant teisės aktuose nustatytus informacinius įpareigojimus, peržiūrėti priimtus Visagino savivaldybės tarybos sprendimus, reglamentuojančius administracinių paslaugų teikimo aprašymus, ir įvertinus perteklinius informacinius įpareigojimus (ataskaitų teikimo dažnumą, popierinių dokumentų teikimą, terminus ir pan.) juos atnaujinti</t>
  </si>
  <si>
    <t>Esant poreikiui įvertinti teisės aktų sukeliamą administraciną naštą ir ją įvertinti</t>
  </si>
  <si>
    <t xml:space="preserve"> Pagal poreikį </t>
  </si>
  <si>
    <t>Įgyvendindama strateginius tikslus, savivaldybė vykdo investicinius projektus, kuriems finansuoti buvo imamos ilgalaikės paskolos iš bankų. Vykdant šią priemonę, mokamos paskolos ir palūkanos pagal pasirašytas kredito linijos sutartis ir banko paslaugos už sąskaitų aptarnavimą.</t>
  </si>
  <si>
    <t>Savivaldybės išorinės komunikacijos medijų skaičius</t>
  </si>
  <si>
    <t>Visagino savivaldybės užimtumo didinimo programos administravimas</t>
  </si>
  <si>
    <t>ES, KT</t>
  </si>
  <si>
    <t>es</t>
  </si>
  <si>
    <t xml:space="preserve">333 ugdytiniai </t>
  </si>
  <si>
    <t>12 (2024)</t>
  </si>
  <si>
    <t>1.1. savivaldybės biudžeto lėšos (nuosavos, be ankstesnių metų likučio), iš jų:</t>
  </si>
  <si>
    <t>1.2. Lietuvos Respublikos valstybės biudžeto dotacijos, iš jų:</t>
  </si>
  <si>
    <t>1.2.1. Valstybinės (valstybės perduotos savivaldybėms) funkcijos (D)</t>
  </si>
  <si>
    <t>1.1.2. Savivaldybių mokykloms (klasėms arba grupėms), skirtoms šalies (regiono) mokiniams, turintiems specialiųjų ugdymosi poreikių, ir kitoms savivaldybėms perduotoms įstaigoms išlaikyti</t>
  </si>
  <si>
    <t>1.1.3. Valstybės biudžeto lėšos ir kitos dotacijos  (SD)</t>
  </si>
  <si>
    <t>2025 m. Visagino savivaldybės asignavimai iš valstybės biudžeto specialios tikslinės dotacijos savivaldybių biudžetams lėšų (SB) D</t>
  </si>
  <si>
    <t>Visagino savivaldybės 2025 m. asignavimai iš valstybės biudžeto lėšų ir kitų dotacijų  (SD)</t>
  </si>
  <si>
    <t xml:space="preserve">Socialinės paramos programa  (06) </t>
  </si>
  <si>
    <t xml:space="preserve">Fizinių ar juridinių asmenų, perdavusių savo būstą ar patalpas neatlygintinai naudotis panaudos pagrindais dėl karinių veiksmų iš Ukrainos pasitraukusiems gyventojams kompensacijoms </t>
  </si>
  <si>
    <t xml:space="preserve">Įgyvendintų priemonių skaičius  </t>
  </si>
  <si>
    <t>Įgyvendinta priemonių, skatinančių komunalinių atliekų rūšiajamojo atliekų surinkimo pajėgumo plėtrą</t>
  </si>
  <si>
    <t xml:space="preserve">Užtikrinta fontano veikla ir priežiūra </t>
  </si>
  <si>
    <t xml:space="preserve">Įgyvendinamos programos  
pagal 2023-2030 m. plėtros plano prioritetinius tikslus </t>
  </si>
  <si>
    <t>2026 m. išlaidų planas, tūkst. Eur</t>
  </si>
  <si>
    <t>2027 m. išlaidų planas, tūkst. Eur</t>
  </si>
  <si>
    <t xml:space="preserve">Proc. nuo bendro poreikio tikslui įgyvendinti 2025 m. </t>
  </si>
  <si>
    <t xml:space="preserve">Proc. nuo bendro poreikio tikslui įgyvendinti 2026 m. </t>
  </si>
  <si>
    <t xml:space="preserve">Proc. nuo bendro poreikio tikslui įgyvendinti 2027 m. </t>
  </si>
  <si>
    <t>1475 Eur (2023)*</t>
  </si>
  <si>
    <t>908 Eur  (2023)*</t>
  </si>
  <si>
    <t>11,28 (2023)*</t>
  </si>
  <si>
    <t>232,7 (2023)*</t>
  </si>
  <si>
    <t>4 (2024)</t>
  </si>
  <si>
    <t>63,05 (2024)</t>
  </si>
  <si>
    <t>8,71 (2024)</t>
  </si>
  <si>
    <t>4 lentelė.  Valdymo tobulinimo programos  (01) uždaviniai, priemonės, asignavimai ir kitos lėšos (tūkst.eurų) ir jų stebėsenos rodikliai</t>
  </si>
  <si>
    <t>5 lentelė.Švietimo paslaugų plėtros programos  (02) uždaviniai, priemonės, asignavimai ir kitos lėšos (tūkst.eurų) ir jų stebėsenos rodikliai</t>
  </si>
  <si>
    <t>6 lentelė. Fizinio aktyvumo ir sporto plėtros programos  (03) uždaviniai, priemonės, asignavimai ir kitos lėšos (tūkst.eurų) ir jų stebėsenos rodikliai</t>
  </si>
  <si>
    <t>7 lentelė. Gyventojų kultūrinio aktyvumo skatinimo ir identiteto stiprinimo programos (04) uždaviniai, priemonės, asignavimai ir kitos lėšos (tūkst.eurų) ir jų stebėsenos rodikliai</t>
  </si>
  <si>
    <t>8 lentelė.Visagino savivaldybės bendruomeniškumo skatinimo programos (05) uždaviniai, priemonės, asignavimai ir kitos lėšos (tūkst.eurų) ir jų stebėsenos rodikliai</t>
  </si>
  <si>
    <t>9 lentelė. Socialinės paramos programos  (06) uždaviniai, priemonės, asignavimai ir kitos lėšos (tūkst.eurų) ir jų stebėsenos rodikliai</t>
  </si>
  <si>
    <t>10 lentelė. Visagino savivaldybės sveikatos apsaugos paslaugų kokybės gerinimo programos (07) uždaviniai, priemonės, asignavimai ir kitos lėšos (tūkst.eurų) ir jų stebėsenos rodikliai</t>
  </si>
  <si>
    <t>11 lentelė. Aplinkos apsaugos programos (08) uždaviniai, priemonės, asignavimai ir kitos lėšos (tūkst.eurų) ir jų stebėsenos rodikliai</t>
  </si>
  <si>
    <t>12 lentelė. Ekonominės plėtros programos (09) uždaviniai, priemonės, asignavimai ir kitos lėšos (tūkst.eurų) ir jų stebėsenos rodikliai</t>
  </si>
  <si>
    <t>13 lentelė. Viešosios infrastruktūros programos  (10) uždaviniai, priemonės, asignavimai ir kitos lėšos (tūkst.eurų) ir jų stebėsenos rodikliai</t>
  </si>
  <si>
    <t>14 lentelė. Planuojami pasiekti pagrindiniai įstaigų/įmonių veiklos rodikliai</t>
  </si>
  <si>
    <t>Naminių gyvūnų ir bešeimininkių gyvūnų gerovės užtikrinimas bei 
reikalingos infrastruktūros įrengimas</t>
  </si>
  <si>
    <t>1. Konkurencingo verslo skatinimas ir vietinės ekonomikos tvari plėtra
2. Socialinės gerovės kūrimas sumaniai, pažangiai, besimokančiai, moderniai ir laimingai bendruomenei
3. Tvarus, subalansuotas savivaldybės aplinkos vystymas ir plėtra</t>
  </si>
  <si>
    <t>Įgyvendinti priemones turinčias įtakos, ugdymo proceso kokybei, skirtas tęstiniam mokymuisi</t>
  </si>
  <si>
    <t>~1780</t>
  </si>
  <si>
    <t xml:space="preserve"> Socialines paslaugas gavusių asmenų skaičius proc. nuo bendro gyventojų skaičiaus</t>
  </si>
  <si>
    <t xml:space="preserve"> Visagino kaip monoindustrinio miesto urbanistikos, daugiatautį kultūros paveldą ir tradicijas perdavimas per turizmo ir edukacines veiklas</t>
  </si>
  <si>
    <t>10 (naujas planas)</t>
  </si>
  <si>
    <t>Visagino savivaldybės ugdymo įstaigų, dalyvavusių "Tūkstantmečio mokyklų" programos veiklose, skaičius</t>
  </si>
  <si>
    <t>Asmenų, dalyvavusių aukšto lygio sporto varžybose dalis proc. nuo visų gyventojų</t>
  </si>
  <si>
    <t>Visuomenės sveikatos stiprinimo veiklose dalyvavusios tikslinės grupės dalis (proc.)</t>
  </si>
  <si>
    <t>Didėjantis arba ne mažesnis kaip 80,0 proc. (2030)</t>
  </si>
  <si>
    <t>Didėjantis arba ne mažesnis kaip 25 proc. (2030)</t>
  </si>
  <si>
    <t>Teikiamų socialinių paslaugų rūšių (bendrųjų socialinių paslaugų, socialinės priežiūros paslaugų, socialinės globos paslaugų ir kt.) skaičius (vnt.)</t>
  </si>
  <si>
    <t>24 socialinės paslaugos pagal socialinių paslaugų katalogą + 3 paslaugos, kurios nepatenka į socialinių paslaugų katalogą, iš viso 27 (2024)</t>
  </si>
  <si>
    <t>Atnaujintų (modernizuotų) daugiabučių namų nuo bendro nerenovuotų daugiabučių namų skaičiaus dalis proc.</t>
  </si>
  <si>
    <t xml:space="preserve">
IV SKYRIUS
PLANUOJAMI PASIEKTI REZULTATAI
</t>
  </si>
  <si>
    <t xml:space="preserve">
V SKYRIUS
PROGRAMOS
</t>
  </si>
  <si>
    <t>Visagino kaip postbranduolinės erdvės paveldo išsaugojimas, aktualizavimas, pristatymas</t>
  </si>
  <si>
    <t xml:space="preserve"> Socialinės gerovės kūrimas sumaniai, pažangiai, besimokančiai, moderniai ir laimingai bendruomenei</t>
  </si>
  <si>
    <t>Ikimokyklinio ugdymo įstaigų tinklo, kuriant naujas ugdymo vietas, stiprinimas</t>
  </si>
  <si>
    <t>Asmens sveikatos priežiūros įstaigų paslaugų infrastruktūros bei įrangos, siekiant didesnės ir aukštesnės paslaugų aprėpties, įvairovės ir kokybės, plėtojimas, modernizavimas ir atnaujinimas (Visagino sveikatos centro veiklos vystymas)</t>
  </si>
  <si>
    <t>Vietos savivaldai priimant sprendimus integruotai ir tolygiai formuoti nevyriausybinių ir bendruomeninių organizacijų veiklai palankią aplinką savivaldybėje (Dalyvaujamojo biudžeto priemonių vykdymas )</t>
  </si>
  <si>
    <t>Viešosios naudos nevyriausybinių ir bendruomeninių organizacijų institucinio stiprinimo projektų (gebėjimai, lyderystė, sąlygos viešosios naudos organizacijų veiklos tvarumui užtikrinti, socialinis verslas ir kt. ) - vietos veiklos grupių strategijų įgyvendinimas</t>
  </si>
  <si>
    <t>Inovatyvių sprendimų ir būdų, savivaldybėje ir jos įstaigose galinčių padidinti viešojo efektyvumo valdymo efektyvumą diegimas (miesto dvynio informacinės sistemos sukūrimas)</t>
  </si>
  <si>
    <t xml:space="preserve"> Daugiafunkcių viešųjų erdvių poilsio, rekreacijos ir kultūros poreikiams įrengimas, modernizavimas ir /ar atnaujinimas </t>
  </si>
  <si>
    <t>Komunalinių, rūšiuojamųjų, žaliųjų atliekų, atliekų, tinkamų  paruošimui pakartotiniam naudojimui, surinkimo pajėgumų bei apdorojimo plėtra Visagino savivaldybėje, keičiant į kitus energetinius šaltinius</t>
  </si>
  <si>
    <t>Programos tikslas - įgyvendinti  Lietuvos Respublikos Konstitucijos ir įstatymų nustatytas, Lietuvos Respublikos vietos savivaldos įstatymo reglamentuotas savarankiškąsias savivaldybės bei valstybines (valstybės perduotas savivaldybei) funkcijas. Siekiant užtikrinti, kad minėtos funkcijos būtų vykdomos kokybiškai, ypatingas dėmesys skiriamas šiuolaikiniams vadybos metodams ir informacinėms technologijoms diegti savivaldybėje; vykdomų procedūrų viešumui ir skaidrumui; kontroliuoti ir prižiūrėti, ar teisėtai, efektyviai, ekonomiškai ir rezultatyviai valdomas ir naudojamas savivaldybės turtas ir patikėjimo teise valdomas valstybės turtas, kaip vykdomas savivaldybės biudžetas ir naudojami kiti piniginiai ištekliai. Efektyviai savivaldybės veiklai būtinas racionalus finansinių, materialinių ir žmogiškųjų išteklių paskirstymas, sistemingas veiklos planavimas</t>
  </si>
  <si>
    <t>Programos įgyvendinimo koordinatorė Jolita Kriaučiūnaitė, jolita.kriauciunaite@visaginas.lt, tel.  (0 386) 36 008</t>
  </si>
  <si>
    <t>Atliktų Visagino savivaldybės konsoliduotųjų ataskaitų rinkinio, savivaldybės biudžeto ir turto naudojimo, savivaldybės nuosavybės teise valdomo nekilnojamojo turto valdymo, naudojimo ir disponavimo juo efektyvumo auditų skaičius</t>
  </si>
  <si>
    <t>Užtikrinti valstybinių  (valstybės perduotų savivaldybėms) funkcijų vykdymą</t>
  </si>
  <si>
    <t xml:space="preserve">Projekto  „Unikalios skaitmeninės Visagino savivaldybės kapinių duomenų bazės sukūrimas, jos atvėrimas gyventojams ir laidojimo viešųjų paslaugų bei duomenų administravimo procesų skaitmeninimas" įgyvendinimas </t>
  </si>
  <si>
    <t>Užtikrintas teisės aktų reikalavimų laikymasis</t>
  </si>
  <si>
    <t>Įgyvendinat priemonę planuojama skirti daugiau dėmesio Visagino savivaldybės įvaizdžiui užsienio šalyse formuoti ir savivaldybės veiklos užsienio ryšių klausimams koordinuoti, taip pat kviesti miestų partnerių atstovus į kultūros ir sporto renginius, plėsti bendradarbiavimo su užsienio parneriais ratą. Stiprinti tarptautinį bendradarbiavimą bendradarbiaujant vietos valdžios institucijoms, keičiantis gerąja patirtimi, ieškant pažangių sprendimų, kuriant ir diegiant inovacijas ir kt.</t>
  </si>
  <si>
    <t>Programos įgyvendinimo koordinatorė Monika Gutė, monika.gute@visaginas.lt, tel. (0 386) 36 016</t>
  </si>
  <si>
    <t xml:space="preserve">Programos įgyvendinimo koordinatorė Kristina Gedžiūnaitė, kristina.gedziunaite@visaginas.lt, tel. ( 0 386) 33 415 
</t>
  </si>
  <si>
    <t xml:space="preserve">Programos įgyvendinimo koordinatorė Jolita Zabulytė, jolita.zabulyte@visaginas.lt, tel. (0 386) 36 007
</t>
  </si>
  <si>
    <t xml:space="preserve">Planuojamos įgyvendinti priemonės:
1) Visagino savivaldybės aplinkos monitoringo programos priemonių įgyvendinimas ir aplinkos monitoringo duomenų bazės tvarkymas ir priežiūra.
2) Visagino ežero dugno valymas (6000 kv.m)
3) Visagino ežero maudyklos vandens kokybės stebėsena ir paplūdimio smėlio tyrimai.
</t>
  </si>
  <si>
    <t xml:space="preserve">
Programos įgyvendinimo koordinatorės
Danutė Kardelienė, danute.kardeliene@visaginas.lt, tel. (0 386) 61 092
Alicija Gailevskaja, alicija.gailevskaja@visaginas.lt, tel. (0 386) 71 332
</t>
  </si>
  <si>
    <t xml:space="preserve">Įrengtų priedangų skaičius </t>
  </si>
  <si>
    <t xml:space="preserve">Ši priemonė skirta paskatinti gabius Visagino savivaldybės švietimo įstaigose besimokančius mokinius ir jų mokytojus, per vienus mokslo metus pasiekusius puikių rezultatų akademinėje, meno, technologijos srityse. Piniginės išmokos mokamos iš Savivaldybės biudžeto asignavimų, skirtų Savivaldybės strateginio veiklos plano Švietimo paslaugų plėtros programai įgyvendinti.
</t>
  </si>
  <si>
    <t>Visagino savivaldybės bendrojo ugdymo mokyklų tinklo pertvarkos plane numatytų įgyvendinti  priemonių proc., nuo visų planuotų įgyvendinti</t>
  </si>
  <si>
    <t>„Tūkstantmečio mokyklų" Visagino ir Ignalinos rajono savivaldybių švietimo pažangos plane Visagino savivaldybei numatytų priemonių įgyvendinimas proc., nuo visų planuotų įgyvendinti</t>
  </si>
  <si>
    <r>
      <t xml:space="preserve">Projekto „Švietimo ir ugdymo paslaugų plėtra, vystant STEAM ugdymo modelį" įgyvendinimas </t>
    </r>
    <r>
      <rPr>
        <b/>
        <sz val="9"/>
        <color rgb="FFFF0000"/>
        <rFont val="Arial"/>
        <family val="2"/>
      </rPr>
      <t xml:space="preserve">
</t>
    </r>
  </si>
  <si>
    <t>Mokyklų, kuriose buvo įdiegtos universalaus dizaino ir kitos inžinerinės priemonės, aplinką pritaikant asmenims, su negalia, dalis nuo visų mokyklų“ / procentas</t>
  </si>
  <si>
    <t>Mokyklos, kuriose buvo įdiegtos universalaus dizaino ir kitos inžinerinės priemonės, pritaikant aplinką asmenims, su negalia“ / skaičius</t>
  </si>
  <si>
    <t xml:space="preserve">1) Siekiant įgyvendinti šią priemonę numatytos dvi kryptys:
- 2024 m. lapkričio 21 d. Visagino savivaldybės taryba sprendimu Nr. TS-186 „Dėl Kultūros ir meno projektų finansavimo Visagino savivaldybės biudžeto lėšomis tvarkos aprašo patvirtinimo“ patvirtino Visagino savivaldybės kultūros ir meno projektų finansavimo konkurso tvarkos aprašą, pagrindinis tikslas skatinti kultūros ir meno įvairovę, sklaidą, prieinamumą įvairioms visuomenės grupėms Visagino savivaldybėje. Konkurso būdu lėšos bus skiriamos finansuoti projektams, kuriais numatoma įgyvendinti sritis: „Visagine rengiami kultūros ir meno festivaliai“; „Visagine įgyvendinami kultūros ir meno projektai“.
2)Taip pat šios priemonės lėšomis užtikrinamas Lietuvos kultūros tarybai teikiamų projektų nuosavai lėšų daliai padengti reikalingas kofinansavimas (nuo 10 iki 30 proc.). Tam Visagino savivaldybės administracijos direktoriaus 2020 m. liepos 17 d. įsakymu ĮV-E-389 yra patvirtintas Kultūros rėmimo fondo lėšomis finansuojamų projektų, įgyvendinamų Visagino savivaldybėje, bendrafinansavimo tvarkos aprašas. </t>
  </si>
  <si>
    <t>Visagino turizmo plėtros centras</t>
  </si>
  <si>
    <t>Visagino socialinių paslaugų centras</t>
  </si>
  <si>
    <t>Buvusios mokyklos pastato Draugystės g. 10 ir aplinkinės teritorijos konversija pritaikant ją daugiafunkcės sporto arenos  sukūrimui</t>
  </si>
  <si>
    <t xml:space="preserve">Sporto, projektų finansuojamų savivaldybės biudžeto lėšomis, skaičius </t>
  </si>
  <si>
    <t xml:space="preserve">Įgyvendinant šią priemonę planuojama prisidėti prie esamų sporto bazių plėtros, priežiūros ir remonto bei užtikrinti dalinį finansavimą Sporto rėmimo fondo lėšomis finansuojamiems projektams. Teikiamų projektų tikslas – prisidėti prie sporto bazių prieinamumo didinimo, sąlygų įvairaus amžiaus ir poreikių asmenų fiziniam aktyvumui gerinimo ir organizuotai sportuojančių asmenų skaičiaus didėjimo.
</t>
  </si>
  <si>
    <t xml:space="preserve">2022-08-26 Visagino savivaldybės taryba sprendimu Nr. TS-148 „Dėl Visagino savivaldybės pradinių klasių mokinių mokymo plaukti programos patvirtinimo“ buvo patvirtinta Visagino savivaldybės pradinių klasių mokinių mokymo plaukti programa, kurios pagrindinis tikslas mažinti skendimų skaičių, ugdyti sveiką mokinį ir formuoti sveikos bei fiziškai aktyvios mokinių gyvensenos įgūdžius.
</t>
  </si>
  <si>
    <t>Skatinti geriausius sportininkus ir jų trenerius už savivaldybės garsinimą ir sporto laimėjimus šalies, tarptautinėse varžybose, aktyvinti savivaldybės gyventojų sportinę veiklą</t>
  </si>
  <si>
    <t>Asmenų, kurie dalyvavo šalies aukščiausiojo lygio čempionatuose, tarptautiniuose turnyruose, skaičius (vnt.)</t>
  </si>
  <si>
    <t xml:space="preserve">Visagino savivaldybės tarybos 2024-11-21 sprendimu Nr. TS-192 „Dėl Visagino savivaldybės sportininkų ir jų trenerių apdovanojimo tvarkos aprašo patvirtinimo“, patvirtinto Visagino savivaldybės sportininkų ir jų trenerių apdovanojimo tvarkos aprašo įgyvendinimo užtikrinimas. </t>
  </si>
  <si>
    <t xml:space="preserve">Įgyvendinant šią priemonę bus vykdoma 2023-03-10 Visagino savivaldybės tarybos sprendimu Nr. TS-37 „Dėl Muziejinės veiklos tęstinumo Visagino savivaldybėje programos patvirtinimo" patvirtinta Muziejinės veiklos tęstinumo Visagino savivaldybėje programa ir užtikrintas 2024 m. lapkričio 21 d. tarybos sprendimu Nr. TS-186 patvirtinto Kultūros ir meno projektų finansavimo Visagino savivaldybės biudžeto lėšomis tvarkos aprašo 18.3 srities  „Muziejinės veiklos stiprinimas Visagino savivaldybėje" įgyvendinimas. </t>
  </si>
  <si>
    <t xml:space="preserve">Kolektyvų, dalyvavusių Dainų šventės šimtmetyje, skaičius </t>
  </si>
  <si>
    <t>Įgyvendinant šią priemonę bus vykdomi renginiai, 
susiję su kalendorinėmis šventėmis (Sekminės, Joninės ir kt.)</t>
  </si>
  <si>
    <t xml:space="preserve">Įgyvendinant šią priemonę bus organizuojama metų nominacijų šventė „Mano miestas – Visaginas“. Taip pat minimos įvairios Visagino bendruomenėms svarbios datos bei profesinės šventės. </t>
  </si>
  <si>
    <t xml:space="preserve">Priemonė bus įgyvendinama pagal poreikį. </t>
  </si>
  <si>
    <t>Įgyvendinant šią priemonę bus organizuojami Miesto eglės įžiebimo, Kalėdų šventės ir kalėdinio laikotarpio renginiai, miesto papuošimui reikalingų instaliacijų įsigijimas.</t>
  </si>
  <si>
    <t xml:space="preserve">Organizuotų sociokultūrinius bendruomenės poreikius tenkinančių renginių skaičius </t>
  </si>
  <si>
    <t>Užsiregistravimas Lietuvos integralioje
muziejų informacinėje sistemoje (LIMIS) – sistemoje pradėtos registruoti saugomos vertybės</t>
  </si>
  <si>
    <t xml:space="preserve">*Duomenys skelbiami  tik už 2023 m. </t>
  </si>
  <si>
    <t xml:space="preserve">NVO tarybos veiklos efektyvumo užtikrinimas
</t>
  </si>
  <si>
    <r>
      <t xml:space="preserve">IŠ VISO programoms finansuoti pagal finansavimo šaltinius </t>
    </r>
    <r>
      <rPr>
        <b/>
        <i/>
        <sz val="7"/>
        <rFont val="Arial"/>
        <family val="2"/>
      </rPr>
      <t>(1 ir 2 punktai)</t>
    </r>
  </si>
  <si>
    <t>796</t>
  </si>
  <si>
    <t xml:space="preserve">Civilinės saugos administravimas
</t>
  </si>
  <si>
    <t xml:space="preserve">Savivaldybei priskirtos valstybinės žemės ir kito valstybės turto valdymas, naudojimas ir disponavimas juo patikėjimo teise 
</t>
  </si>
  <si>
    <t xml:space="preserve">Laikino atokvėpio paslaugos administravimas 
</t>
  </si>
  <si>
    <t xml:space="preserve">Visagino savivaldybės sportininkų ir jų trenerių apdovanojimas 
</t>
  </si>
  <si>
    <t xml:space="preserve">Jaunimo savanoriškos veiklos stiprinimas </t>
  </si>
  <si>
    <t xml:space="preserve">Viešosios tvarkos ir gyventojų saugumo užtikrinimas  
</t>
  </si>
  <si>
    <t xml:space="preserve">Projekto „Užsienio kilmės Lietuvos gyventojų integracijos procesų koordinavimo plėtra Lietuvos Respublikos savivaldybėse“ įgyvendinimas
</t>
  </si>
  <si>
    <t xml:space="preserve">Socialinių paslaugų, dėl kurių sudarytos finansavimo sutartys, teikimo organizavimo užtikrinimas 
</t>
  </si>
  <si>
    <t xml:space="preserve">Laikino atokvėpio paslaugų teikimo užtikrinimas 
</t>
  </si>
  <si>
    <t xml:space="preserve">Savivaldybėje trūkstamų socialinių paslaugų poreikio užtikrinimas finansuojant nevyriausybinių organizacijų projektinę veiklą bei perkant socialines paslaugas
</t>
  </si>
  <si>
    <t xml:space="preserve">Projekto „Visagino socialinių paslaugų centro infrastruktūros, skirtos senyvo amžiaus asmenims, modernizavimas" įgyvendinimas
</t>
  </si>
  <si>
    <t xml:space="preserve">08.01.02.02. (TP)
</t>
  </si>
  <si>
    <t>Visagino, Ignalinos ir Zarasų rajonų savivaldybių funkcinės zonos  strategijos neinvesticinių veiksmų įgyvendinimas</t>
  </si>
  <si>
    <t>Keleivių vežimo nuostolių padengimas, lengvatinis keleivių  vežimas bei autobusų stoties administravimas</t>
  </si>
  <si>
    <t xml:space="preserve">10.01.02.02. (PP)
</t>
  </si>
  <si>
    <t xml:space="preserve">10.01.02.03. (PP)
</t>
  </si>
  <si>
    <t xml:space="preserve">10.03.06.01. (PP)
</t>
  </si>
  <si>
    <t xml:space="preserve">Projekto „Priedangų infrastruktūros plėtra Visagino savivaldybėje" įgyvendinimas </t>
  </si>
  <si>
    <t>Projektas „Dviračių ir pėsčiųjų takų plėtra  Visagine, II etapas"</t>
  </si>
  <si>
    <t xml:space="preserve">Projektas „Dviračių ir pėsčiųjų takų plėtra  Visagine, I etapas" </t>
  </si>
  <si>
    <t xml:space="preserve">Projektas „Darnaus ir saugaus judumo vystymas Visagine" </t>
  </si>
  <si>
    <t xml:space="preserve">Projekto „Bendrabučio tipo pastato, esančio Kosmoso g. 28 Visagine, patalpų pritaikymas socialinio būsto įrengimui-II etapas" įgyvendinimas </t>
  </si>
  <si>
    <t xml:space="preserve">Projekto „Vaikų raidos ir elgesio sutrikimų kompleksinės pagalbos ir paslaugų šeimai centro įkūrimas" įgyvendinimas </t>
  </si>
  <si>
    <t>Projekto „Integralios pagalbos namuose tiekimas ir plėtra Visagino savivaldybėje" įgyvendinimas</t>
  </si>
  <si>
    <t>1.1.1. Aplinkos apsaugos rėmimo specialiosios programos lėšos su ankstesnių metų likučiu</t>
  </si>
  <si>
    <t>1.3. Pajamų įmokos ir kitos pajamos su ankstesnių metų likučiu</t>
  </si>
  <si>
    <t>1.4. Europos Sąjungos ir kitos tarptautinės finansinės paramos lėšos su ankstesnių metų likučiu (ES, EGDAP)</t>
  </si>
  <si>
    <t>85 (2027)</t>
  </si>
  <si>
    <t xml:space="preserve">05.04.01.03. (TP)
</t>
  </si>
  <si>
    <t>aplinkoa apsauga</t>
  </si>
  <si>
    <t>Įgyvendinant šią priemonę Visagino kultūros centras organizuos Visagino erdvių festivalį, šiuolaikinio cirko festivalį „Naujojo cirko stotelė“, tarptautinį monospektaklių festivalį „Atspindys“.</t>
  </si>
  <si>
    <t>Planuojama skirti lėšas (konkurso tvarka) Visagino savivaldybėje veikiančių tradicinių religinių bendrijų ir bendruomenių projektams, kurių įgyvendinimu gerinama kulto pastatų ir juos supančių viešųjų erdvių infrastruktūra, realizuojami sociokultūriniai tikslai, remti. Projektų konkursų finansavimo sąlygų aprašas tvirtinamas teisės aktų nustatyta tvarka.</t>
  </si>
  <si>
    <t>Dalyvavimas vietos veiklos grupių veikloje, viešosios naudos nevyriausybinių ir bendruomeninių organizacijų institucinio stiprinimo projektų (gebėjimai, lyderystė, sąlygos viešosios naudos organizacijų veiklos tvarumui užtikrinti, socialinis verslas ir kt.) finansavimas</t>
  </si>
  <si>
    <t>Vietos veiklos grupių, kurių veikloje dalyvaujama, skaičius</t>
  </si>
  <si>
    <t xml:space="preserve">Butų-patalpų, pastatų, esančių Visagine, išpirkimas iš savininkų neskelbiamų derybų būdu
</t>
  </si>
  <si>
    <t xml:space="preserve">2024-12-13 Visagino savivaldybės administracija ir Socialinių paslaugų priežiūros departamentas prie Socialinės apsaugos ir darbo ministerijos pasirašė sutartį (Nr. 5-562) dėl projekto „Užsienio kilmės Lietuvos gyventojų integracijos procesų koordinavimo plėtra Lietuvos Respublikos savivaldybėse“ įgyvendinimo bei mero potvarkiu VšĮ VEPA buvo paskirta atsakinga už užsienio kilmės Lietuvos gyventojų integracijos koordinavimą Visagino savivaldybėje. Projekto veiklų įgyvendinimo pabaiga 2028-12-31. 
Bendra projekto vertė, tenkanti Visagino savivaldybės administracijai, 114348,86 Eur. </t>
  </si>
  <si>
    <t xml:space="preserve">Įgyvendinti diasporos politikos  strategines gaires „Globali Lietuva" 2023 - 2030 m. </t>
  </si>
  <si>
    <t xml:space="preserve">Įgyvendinant priemonę bus propaguojama etninės kultūros sklaida, senųjų tradicijų, papročių populiarinimas, gyvybingumo puoselėjimas  bei įgyvendinami tokie renginiai kaip Lietuvos liaudies meno paroda - konkursas „Aukso vainikas“, Lietuvos vaikų ir jaunimo liaudies meno paroda - konkursas „Sidabro vainikėlis“, Lietuvių bendruomenės renginys „Kaimynėli, būki sveikas", Tarptautinis tautinių kultūrų festivalis „Rudeninės“ ir kt. </t>
  </si>
  <si>
    <t>Nevyriausybinių organizacijų, organizavusių užsiėmimus diasporos atstovams, skaičius</t>
  </si>
  <si>
    <t>Gyvenamojo būsto, priskiriamo įvairioms socialinėms reikmėms, priežiūra</t>
  </si>
  <si>
    <t>Šeimos gerovę užtikrinančių paslaugų ir priemonių sistemos įgyvendinimas</t>
  </si>
  <si>
    <t>Įkurtų Kompleksinių paslaugų sutrikusios raidos vaikams bei pagalbos jų šeimoms centrų skaičius</t>
  </si>
  <si>
    <t>Teikiama pagalba suteikiant galimybę pailsėti asmeniui (šeimai), prižiūrinčiam (-iai) asmenį, kuriam nustatytas individualios pagalbos teikimo išlaidų kompensacijos poreikis (iki 2023 m. gruodžio 31 d.  – specialusis nuolatinės slaugos ar priežiūros (pagalbos) poreikis).</t>
  </si>
  <si>
    <t xml:space="preserve">Asmenų, turinčių intelekto ir (ar) psichikos negalią, gavusių paslaugas naujoje ar modernizuotoje infrastruktūroje, skaičius per metus, asmenys per metus </t>
  </si>
  <si>
    <t xml:space="preserve">Sveikos gyvensenos įgūdžių bendruomenėse stiprinimas bei visuomenės sveikatos stebėsenos savivaldybėje vykdymas </t>
  </si>
  <si>
    <t xml:space="preserve">Neveiksnių asmenų būklės peržiūrėjimo užtikrinimas 
</t>
  </si>
  <si>
    <t>Projekto „Sveikatos priežiūros specialistų rengimas/pritraukimas dirbti  Visagino savivaldybės sveikatos įstaigose" įgyvendinimas</t>
  </si>
  <si>
    <t xml:space="preserve">Projekto „Ambulatorinės slaugos paslaugas namuose teikiančių mobilių komandų aprūpinimas įranga ir transporto priemonėmis“ įgyvendinimas </t>
  </si>
  <si>
    <t>Projekto „Visagino savivaldybės sveikatos centro veiklos modelio diegimas" įgyvendinimas</t>
  </si>
  <si>
    <t>Naujos arba modernizuotos sveikatos priežiūros infrastruktūros talpumas (pirminio)</t>
  </si>
  <si>
    <t>Naujos arba modernizuotos sveikatos priežiūros infrastruktūros talpumas (antrinio)</t>
  </si>
  <si>
    <t>Naujos arba modernizuotos sveikatos priežiūros infrastruktūros naudotojų skaičius per metus (pirminio)</t>
  </si>
  <si>
    <t xml:space="preserve">Naujos arba modernizuotos sveikatos priežiūros infrastruktūros naudotojų skaičius per metus (antrinio) </t>
  </si>
  <si>
    <t>Šios priemonės įgyvendinimu bus užtikrintas Lietuvos Respublikos Vyriausybės 2022 m. lapkričio 30 d. nutarimas Nr. 1196 „Dėl Pacientų pavėžėjimo paslaugų organizavimo ir teikimo tvarkos aprašo patvirtinimo".</t>
  </si>
  <si>
    <t xml:space="preserve">Sveikatos apsaugos ministerija parengė Sveikatos priežiūros specialistų pritraukimo ir išlaikymo veiksmų 2024–2029 metų planą. Plane numatytos tokios priemonės, kaip studijų kainos finansavimas, sveikatos priežiūros specialistų įgalinimo, pritraukimo ir išlaikymo sveikatos priežiūros įstaigoje modelio sukūrimas ir įdiegimas, labiausiai trūkstamų profesinių kvalifikacijų ir specializacijų prestižo didinimas, profesinis orientavimas ir kt. Įgyvendinant plane numatytas priemones, šalies savivaldybės gali pretenduoti į finansavimą tokioms veikloms:
-darbo užmokesčio priedo mokėjimą gydytojams rezidentams, gydytojams odontologams rezidentams, kurie rezidentūros studijų ciklus atliks rezidentūros bazėje, esančioje ne Vilniaus ir Kauno miesto savivaldybėse, ne trumpiau nei 6 mėn. (nepertraukiamai);
-gydytojų rezidentų, gydytojų odontologų rezidentų rezidentūros studijų, aukštųjų mokyklų studentų išplėstinės praktikos slaugos, odontologinės priežiūros studijų, slaugos specializacijų neformaliojo švietimo programų, profesinio mokymo įstaigų mokinių slaugytojo padėjėjo modulinės profesinio mokymo programos kainos finansavimui;
-vidaus ligų gydytojų antrosios profesinės kvalifikacijos įgijimo (persikvalifikavimo), baigiant trumpesnę šeimos medicinos arba skubiosios medicinos rezidentūros studijų programą, finansavimui; 
-stipendijų mokėjimui gydytojams rezidentams, gydytojams odontologams rezidentams, kurie mokosi tose rezidentūros studijų programose, į kurias sunkiausia pritraukti norinčius studijuoti (geriatrija, teismo medicina, vaikų odontologija), taip pat profesinio mokymo mokiniams (slaugytojo padėjėjo modulinė profesinio mokymo programa, paramediko modulinė profesinio mokymo programa), pirmosios pakopos studijų studentams (odontologinė priežiūra), antrosios pakopos studijų studentams (išplėstinės praktikos slauga);
-aukštųjų mokyklų studentų bendrosios praktikos slaugos, slaugos studijų kainos finansavimui;
-stipendijų skyrimui studijuojantiems pirmosios pakopos studijų studentams (bendrosios praktikos slauga, slauga).
Maksimali projekto įgyvendinimo vertė - 355111,34 Eur, iš jų finansuojamąją  dalį  sudaro 100 proc. dotacija. Projektas bus  įgyvendinamas su 3 partneriais (VšĮ Visagino ligoninė, VšĮ Visagino pirminės sveikatos priežiūros centras, UAB Sedulinos sveikatos centras). Veiklos turi būti baigtos įgyvendinti iki 2029 m. rugpjūčio 31 d. </t>
  </si>
  <si>
    <r>
      <t>Projektą įgyvendinamas  2021-2027 m. Europos Sąjungos investicijų programos lėšomis. Projekto tikslas - užtikrinti efektyvesnį, kokybiškesnį psichiatrijos sveikatos paslaugų teikimą Visagino savivaldybėje.
Projekto uždaviniai:
- Suremontuoti ir įrengti Visagino PSPC II aukšto patalpas.
- Įsigyti psichikos sveikatos priežiūros paslaugų teikimui reikalingą įrangą ir baldus.
- Įsteigti 12 vietų dienos stacionarą Visagino PSPC.
-  Pagerinti psichikos sveikatos priežiūros paslaugų prieinamumą Visagino PSPC.  Projektą įgyvendina VšĮ Visagino pirminės sveikatos priežiūros</t>
    </r>
    <r>
      <rPr>
        <sz val="9"/>
        <color rgb="FFFF0000"/>
        <rFont val="Arial"/>
        <family val="2"/>
      </rPr>
      <t xml:space="preserve"> </t>
    </r>
    <r>
      <rPr>
        <sz val="9"/>
        <rFont val="Arial"/>
        <family val="2"/>
      </rPr>
      <t xml:space="preserve">centras. Bendra projekto tinkamų finansuoti išlaidų suma 151 807,43 Eur.  Projekto veiklų vykdymo pabaiga 2025-01-31. </t>
    </r>
  </si>
  <si>
    <t xml:space="preserve">Projektas vykdomas įgyvendinant Lietuvos Respublikos sveikatos apsaugos ministro  2022 m. gegužės 20 d. įsakyme Nr. V-988 „Dėl 2022–2030 metų plėtros programos valdytojos Lietuvos Respublikos sveikatos apsaugos ministerijos sveikatos priežiūros kokybės ir efektyvumo didinimo plėtros programos pažangos priemonės Nr. 11-002-02-11-01 „Gerinti sveikatos priežiūros paslaugų kokybę ir prieinamumą“ aprašo patvirtinimo“ numatytas veiklas.  Projektą įgyvendina VšĮ Visagino ligoninė. Projekto tikslas  – VšĮ Visagino ligoninės pasirengimo ekstremaliosioms situacijoms didinimas, atliekant kapitalinį Reanimacijos/intensyvios terapijos skyriaus patalpų remontą bei atnaujinant Reanimacijos / intensyvios terapijos skyriaus įrangą bei baldus. Bendra projekto tinkamų finansuoti išlaidų suma 2 935 605,93 Eur.  Projekto veiklų vykdymo pabaiga 2027-10-31. </t>
  </si>
  <si>
    <t>Paramą gavusių nacionalinio, regionų ar vietos lygmens viešojo administravimo ar viešąsias paslaugas teikiančių įstaigų skaičius, subjektai</t>
  </si>
  <si>
    <t xml:space="preserve"> Įgyvendinant priemonę vykdomas 12918 mokėtojų administravimas.  Taip pat įgyvendinama 2022-12-01 Komunalinių atliekų surinkimo Visagino savivaldybės teritorijoje ir jų vežimo į apdorojimo įrenginius paslaugų sutartis Nr. 5-574,  2023-06-15 Visaginos savivaldybės tarybos sprendimas Nr. TS-131 „Dėl Visagino savivaldybės tarybos 2021 m. gruodžio 23 d. sprendimo Nr. TS-266 „Dėl Visagino savivaldybės vietinės rinkliavos už komunalinių atliekų surinkimą iš atliekų turėtojų ir atliekų tvarkymą dydžio nustatymo metodikos, Visagino savivaldybės vietinės rinkliavos už komunalinių atliekų surinkimą iš atliekų turėtojų ir atliekų tvarkymą nuostatų patvirtinimo“ pakeitimo" ir 2022-11-24 Visaginos savivaldybės tarybos sprendimas Nr. TS-198 „Dėl uždarosios akcinės bendrovės „Visagino būstas“ teikiamų komunalinių atliekų tvarkymo paslaugų kainų sąrašo patvirtinimo".</t>
  </si>
  <si>
    <t>Išvalyta užterštų teritorijų, kv.m.</t>
  </si>
  <si>
    <t>Aplinkos monitoringo, prevencinių, aplinkos atkūrimo priemonių įgyvendinimas</t>
  </si>
  <si>
    <t>Įgyvendinant šią priemonę planuojama:
1) Finansuoti visuomenės švietimo bei mokymo aplinkosauginius projektus.
2) Užtikrinti Lietuvos žaliųjų judėjimo Tarptautinės gamtosauginių mokyklų programos „Verdenės" gimnazijoje koordinavimą.
3) Įgyvendinti Visagino savivaldybės atliekų prevencijos ir  tvarkymo 2021-2027 m. plane numatytas  visuomenės informavimo priemones.</t>
  </si>
  <si>
    <t xml:space="preserve">Miško sklypų savininkų, valdytojų ir naudotojų, įgyvendinančių medžiojamųjų gyvūnų daromos žalos miškui apsaugos priemones, kuriomis jie siekia išvengti medžiojamųjų gyvūnų daromos žalos miškui, rėmimas </t>
  </si>
  <si>
    <t>Žemės sklypų, kuriuose medžioklė nėra uždrausta, savininkų, valdytojų ir naudotojų įgyvendinamos žalos prevencijos priemonės, kuriomis jie siekia išvengti medžiojamųjų gyvūnų daromos žalos.
Žemės sklypų savininkams, valdytojams ir naudotojams, įgyvendinantiems medžiojamų gyvūnų daromos žalos apsaugos priemones, kuriomis jie siekia išvengti medžiojamųjų gyvūnų daromos žalos, remti.
Kartografinės ir kitos medžiagos, reikalingos pagal Medžioklės įstatymo reikalavimus rengiamiems medžioklės plotų vienetų sudarymo ar jų ribų pakeitimo projektams parengti, priemonės.</t>
  </si>
  <si>
    <t xml:space="preserve">
Įgyvendinant priemonę bus įgyvendinamas 2022-11-24 Visagino savivaldybės tarybos sprendimo Nr. TS- 195 „Dėl Visagino savivaldybės tarybos 2009 m. spalio 8 d. sprendimo Nr. TS-211 „Dėl Triukšmo prevencijos Visagino savivaldybės viešosiose vietose taisyklių patvirtinimo“ pakeitimo"  bei esant poreikiui bus atliekami triukšmo, kylančio atliekant statybos darbus gyvenamosiose patalpose ir gyvenamosiose teritorijose, taip pat patalpose ir  teritorijose, kuriose privaloma laikytis nustatytų triukšmo ribinių dydžių, matavimai.</t>
  </si>
  <si>
    <t xml:space="preserve">Projekto „Visagino savivaldybės teritorijos (-ų) pritaikymas pramonės, komercijos, paslaugų verslo  investicijoms" įgyvendinimas </t>
  </si>
  <si>
    <t>Bendradarbystės centro  „Spiečius" veiklos užtikrinimas</t>
  </si>
  <si>
    <t xml:space="preserve">Bendradarbystės centras „Spiečius“ – tai VšĮ Inovacijų agentūros sukurta netradicinio tipo verslo vystymosi erdvė, pritaikyta smulkiojo ir vidutinio verslo subjektams, vykdantiems veiklą ne ilgiau kaip 5 metus, bendradarbiauti tarpusavyje ir plėstis. „Spiečiai“ orientuoti į skaitmeninio ir kūrybinių industrijų verslų atstovus. Šiuose centruose verslininkams yra suteikiamos nemokamos kompiuterizuotos darbo vietos su įranga, teikiamos skaitmeninio, kūrybinių industrijų vystymo, socialinio verslo konsultacijos, vykdomos praktinės mentorių sesijos, organizuojami verslo ugdymo mokymai ir įgyvendinamos kitos verslo skatinimo ir plėtros iniciatyvos. Verslo plėtros konsultacijas bendradarbystės centruose įsikūrusioms įmonėms teikia į Verslo konsultantų tinklą atrinktos įmonės ir įstaigos. Pagal Visagino savivaldybės prisiimtus įpareigojimus bendradarbystės centras „Spiečius“ Visagine veiks nuo 2021 m. sausio mėn. iki 2026 m. gruodžio mėn. Bendradarbystės erdvės „Spiečius“ veiklos organizavimas pavestas VšĮ Visagino ekonomikos plėtros agentūrai. 
</t>
  </si>
  <si>
    <t xml:space="preserve">Kūrybinių industrijų 2023–2027 m. programos įgyvendinimas
</t>
  </si>
  <si>
    <t xml:space="preserve">Projekto „Miestų miškų sklypų suprojektavimas, suformavimas ir užregistravimas nekilnojamojo turto registre" įgyvendinimas </t>
  </si>
  <si>
    <t>Projekto „Laisvalaikio ir aktyvaus poilsio erdvės sukūrimas Jaunystės g. 4, Visagine" įgyvendinimas</t>
  </si>
  <si>
    <t>Projektas „Visagino gamtos objektų pritaikymas lankymui"</t>
  </si>
  <si>
    <t>Projektas „Visagino kultūros objektų pritaikymas lankymui, įrengiant būtiną viešąją infrastruktūrą"</t>
  </si>
  <si>
    <t xml:space="preserve">Projekto „Interreg V-A Latvia – Lithuania  programme 2021– 2027 the project "SnowPower" " įgyvendinimas
</t>
  </si>
  <si>
    <t xml:space="preserve">Turizmo, rekreacijos ir poilsio viešųjų paslaugų teikimas per Visagino rekreacijos paslaugų centro filialą „Visagino parkas“ </t>
  </si>
  <si>
    <t>Įgyvendinti Funkcinės zonos Visagino, Ignalinos ir Zarasų rajonų savivaldybių teritorijose strategiją</t>
  </si>
  <si>
    <t>Dalyvių ir paslaugų gavėjų skaičius, fiksuojamas konsultacijų bei renginių dalyvių sąrašuose</t>
  </si>
  <si>
    <t>Įrengtas elektros energijos gamybos iš atsinaujinančios energijos objektas, MW</t>
  </si>
  <si>
    <t>P-Sukurtos arba atkurtos atviros erdvės, kv. m</t>
  </si>
  <si>
    <t>Besikreipusių į VšĮ Visagino turizmo plėtros centrą dėl viešųjų paslaugų suteikimo asmenų skaičius</t>
  </si>
  <si>
    <t>Mokinių, kuriems padengtos kelionės (bilietų) išlaidos į (iš) mokyklą (-os), skaičius</t>
  </si>
  <si>
    <t xml:space="preserve">Lietuvos Respublikos vietos savivaldos įstatymo 6 straipsnio 7 punktas numato bendrojo ugdymo mokyklų mokinių, gyvenančių kaimo gyvenamosiose vietovėse, neatlygintino pavėžėjimo į mokyklas ir į namus organizavimą. </t>
  </si>
  <si>
    <t xml:space="preserve">Dviračiams skirta infrastruktūra, kuriai suteikta parama (kilometrai) </t>
  </si>
  <si>
    <t>Dviračiams skirtos infrastruktūros naudotojų skaičius per metus (naudotojai per metus)</t>
  </si>
  <si>
    <t>Sutvarkytų miesto šaligatvių skaičius kv. m</t>
  </si>
  <si>
    <t xml:space="preserve">Visagino savivaldybės daugiabučių namų atnaujinimo (modernizavimo) programos įgyvendinimas ir daugiabučių namų savininkų bendrijų valdymo organų švietimas </t>
  </si>
  <si>
    <t>Visagino miesto apšvietimo tinkluose suvartojamos elektros energijos kiekio sutaupymas, lyginant su praėjusiu laikotarpiu, proc.</t>
  </si>
  <si>
    <t>Naujų objektų, sukurtų projektų įgyvendinimo metu, prijungimas prie AB ESO elektros skirstomųjų tinklų, esamų VSA objektų galių didinimas ir esamų kabelių iškėlimo paslaugos</t>
  </si>
  <si>
    <t>Įgyvendinant šią priemonę planuojama atlikti Visagino senų kapinių kelių ir laiptų remontą, Magūnų kapinių laiptų remontą.</t>
  </si>
  <si>
    <t xml:space="preserve">Projekto „Kapinių Dūkšto kel. 62 plėtra“ įgyvendinimas  </t>
  </si>
  <si>
    <t>Kraštovaizdžio ekologinės pusiausvyros formavimas, išardant nebaigtos statybos arba nereikalingus, netinkamus naudoti statinius Visagino savivaldybėje</t>
  </si>
  <si>
    <t xml:space="preserve">Užtikrintas  pasirengimas valdyti krizes ir ekstremaliąsias situacijas ir jų padarinių šainimas </t>
  </si>
  <si>
    <t xml:space="preserve">Organizacijų, kurių veikloje dalyvaujama, skaičius </t>
  </si>
  <si>
    <t xml:space="preserve">Asmenų, dalyvavusių varžybose, skaičius </t>
  </si>
  <si>
    <t>Sukurtos interneto svetainės struktūra ir turinys atitinka reikalavimus proc.</t>
  </si>
  <si>
    <t>Renginių, kuriuose dalyvavo turizmo informacijos centras, skaičius</t>
  </si>
  <si>
    <t>Organizuotų (organizatoriaus ir partnerio teisėmis) Visagino savivaldybės turizmo išteklius 
populiarinančių renginių skaičius</t>
  </si>
  <si>
    <t>Prie turizmo plėtros ir vystymo Visagino savivaldybėje pritrauktų jaunimo savanorių (praktikantų) skaičius</t>
  </si>
  <si>
    <t>Naujų „Spiečiaus“ narių skaičius</t>
  </si>
  <si>
    <t xml:space="preserve">„Spiečiaus“  nariams suteiktų konsultacijų skaičius </t>
  </si>
  <si>
    <t>Įgyvendinamų  ES lėšomis  finansuojamų projektų skaičius</t>
  </si>
  <si>
    <t>Įstaigos funkcijų vykdymo išlaidos. Planuojamos naujos įrangos įsigijimui ir  naudojamos įrangos remontui planuojamos lėšos</t>
  </si>
  <si>
    <t>85100 Eur</t>
  </si>
  <si>
    <t>87653 Eur</t>
  </si>
  <si>
    <t>ASP duomenų perkėlimas į debesiją, IT veikimui reikiamų resursų nuoma  (Nematerialiojo turto IT sistemų palaikymo išlaidos)</t>
  </si>
  <si>
    <t>Įstaigos funkcijų vykdymo išlaidos (Darbo užmokesčio  didinimo išlaidos dėl minimalios algos didinimo, sisteminis sveikatos priežiūros specialistų atlyginimų didinimas)</t>
  </si>
  <si>
    <t>Siekti, kad įstaigoje teikiamos antrinės ambulatorinės sveikatos priežiūros paslaugos būtų atliekamos ne vėliau kaip per 30 kalendorinių dienų</t>
  </si>
  <si>
    <t>Siekti, kad įstaigoje teikiamos stacionarinės, dienos stacionaro ir (ar) dienos chirurgijos sveikatos priežiūros paslaugos planinės pagalbos atveju būtų atliekamos  ne vėliau kaip per 60 kalendorinių dienų</t>
  </si>
  <si>
    <t>Siekti, kad įstaigoje teikiamos pirminės ambulatorinės sveikatos priežiūros paslaugos sveikatos apsaugos ministro nustatytų ūmių būklių atveju būtų atliekamos  ne vėliau kaip per 24 valandas</t>
  </si>
  <si>
    <t>2025 metais 
siekti atlikti ne mažiau kaip 2 pacientų apklausas ir 1 darbuotojų apklausą.</t>
  </si>
  <si>
    <t>2026 metais 
siekti atlikti ne mažiau kaip 2 pacientų apklausas ir 1 darbuotojų apklausą.</t>
  </si>
  <si>
    <t>2027 metais 
siekti atlikti ne mažiau kaip 2 pacientų apklausas ir 1 darbuotojų apklausą.</t>
  </si>
  <si>
    <t xml:space="preserve">Gyventojų informuotumo užtikrinimas. Ligoninės interneto svetainės pagal šiuolaikinius standartus atnaujinimas </t>
  </si>
  <si>
    <t>Paskiepytų vaikų dalis nuo visų prirašytų įstaigoje vaikų, proc.</t>
  </si>
  <si>
    <t>Vaikų, patikrintų profilaktiškai dalis, proc.</t>
  </si>
  <si>
    <t>Pirminio lygio ambulatorinėms asmens sveikatos priežiūros paslaugoms gauti registracijų atliekama IPR IS, proc. dalis</t>
  </si>
  <si>
    <t>Įstaigos naudojamos medicininės įrangos dalis nuo visos įstaigos naudojamos įrangos ne senesnė nei 5 m., proc.</t>
  </si>
  <si>
    <t>Projektas „Individualių namų kvartalo nuotekų surinkimo infrastruktūros sukūrimas, prijungiant prie Visagino miesto centralizuoto tinklo", km</t>
  </si>
  <si>
    <t>Atlikti Visagino savivaldybės kapinių skaitmeninimą (atliktas kapinių skaitmeninimas leis administracijai šiuolaikiškai ir greitai atsakyti į gyventojų užklausas, suteikti reikalingas paslaugas, išduoti leidimus laidoti ir kaupti visus duomenis, susijusius su kapaviečių priežiūra)</t>
  </si>
  <si>
    <t>Dalyvavusių varžybose ugdytinių skaičius</t>
  </si>
  <si>
    <t>Ugdytinių / sportininkų skaičius</t>
  </si>
  <si>
    <t>Grupių skaičius</t>
  </si>
  <si>
    <t>prie VSA 6,500</t>
  </si>
  <si>
    <t>R-01-01-02-21</t>
  </si>
  <si>
    <t xml:space="preserve">VISAGINO SAVIVALDYBĖS  2026-2028 METŲ STRATEGINIS VEIKLOS PLANAS </t>
  </si>
  <si>
    <t>2028 metai</t>
  </si>
  <si>
    <t>Faktinė stebėsenos rodiklio reikšmė (2025)</t>
  </si>
  <si>
    <t xml:space="preserve">III SKYRIUS. LĖŠŲ DALIS, TENKANTI 2026-2028 M. STRATEGINIAME VEIKLOS PLANE, SKIRTA  2023-2030 M. SAVIVALDYBĖS PLĖTROS PLANE 
NUMATYTIEMS PRIORITETINIAMS TIKSLAMS ĮGYVENDINTI </t>
  </si>
  <si>
    <t xml:space="preserve">Proc. nuo bendro poreikio tikslui įgyvendinti 2028 m. </t>
  </si>
  <si>
    <t>2028 m. išlaidų planas, tūkst. Eur</t>
  </si>
  <si>
    <t xml:space="preserve">Didinant įstaigų veiklos efektyvumą, atsakomybę ir viešumą, 2026-2028 m. planuojama gerinti valdymo struktūrą ir  stiprinti valdymo kokybę, didinti viešojo administravimo efektyvumą, ekonomiškai ir rezultatyviai valdyti ir naudoti savivaldybės turtą, biudžetą ir kitus piniginius išteklius. Numatoma vykdyti priemones ugdymo, kūno kultūros ir fizinio aktyvumo, socialinių paslaugų kokybei gerinti  ir jų įvairovei didinti. Siekti, kad gerėtų viešųjų erdvių kokybė, sudaryti sąlygas inžinerinės infrastruktūros ir susisiekimo komunikacijų gerinimui, jų plėtrai padidinant miesto viešųjų erdvių patrauklumą, užtikrinant  švarą ir tvarką, teikti gyventojams kokybiškas komunalines paslaugas, prižiūrėti ir modernizuoti miesto inžinerinės ir rekreacinės infrastruktūros objektus, suformuoti efektyviai veikiančią verslo paramos sistemą, skleisti verslo informaciją, skatinti verslumą bei iniciatyvas. Taip pat bus siekiama vykdyti architektūros ir teritorijų planavimo veiklą,  kurti palankią aplinką turizmui, plėsti turizmo, rekreacijos, poilsio ir paslaugų infrastruktūrą, užtikrinti turizmo informacijos sklaidą. </t>
  </si>
  <si>
    <t>Įgyvendinant Visagino savivaldybės 2026-2028 m. strateginį veiklos planą,  vadovaujamasi 2023-2030 m.  strateginiame plėtros plane numatytais prioritetais tikslais ir planuojamais pasiekti rezultatais:</t>
  </si>
  <si>
    <t>2028 m.asignavimai ir kitos lėšos, tūkst. Eur</t>
  </si>
  <si>
    <t>2026 m.asignavimai ir kitos lėšos, tūkst. Eur
(poreikis)</t>
  </si>
  <si>
    <t>2027 m.asignavimai ir kitos lėšos, tūkst. Eur
(poreikis)</t>
  </si>
  <si>
    <t>2028 m.asignavimai ir kitos lėšos, tūkst. Eur
(poreikis)</t>
  </si>
  <si>
    <t xml:space="preserve">Programos įgyvendinimo laikotarpis 2026-2028 m. </t>
  </si>
  <si>
    <t xml:space="preserve">Programos įgyvendinimo laikotarpis  2026-2028 m. </t>
  </si>
  <si>
    <t>Rodiklio reikšmė
2028</t>
  </si>
  <si>
    <t xml:space="preserve">
Programos įgyvendinimo koordinatorė Evelina Visockytė, evelina.visockyte@visaginas.lt, tel.  (0 386) 36 016
</t>
  </si>
  <si>
    <t xml:space="preserve">2 lentelė. Lėšų dalis, tenkanti 2026-2028 m. SVP 2023-2030 m. plėtros plano prioritetiniams tikslams įgyvendinti </t>
  </si>
  <si>
    <r>
      <t>2028</t>
    </r>
    <r>
      <rPr>
        <b/>
        <sz val="7"/>
        <rFont val="Arial"/>
        <family val="2"/>
      </rPr>
      <t xml:space="preserve"> metų asignavimai ir kitos lėšos</t>
    </r>
  </si>
  <si>
    <t>Visagino savivaldybės 2026–2028 metų strateginį veiklos planą sudaro 10 įvairius savivaldybės veiklos sektorius apimančių programų. Kiekvienoje programoje iškelti trejų metų veiklos strateginiai uždaviniai, suformuluotos priemonės ir konkretizuoti rezultatų pasiekimo rodikliai. Programos buvo pasirinktos,susisteminus ir apibendrinus  vietos savivaldos principus, savivaldybės instituciją ir jos kompetenciją, numatytas vykdyti funkcijas, savivaldybės mero, savivaldybės tarybos nario statusą, savivaldybių ūkinės ir finansinės veiklos pagrindus, taip pat išanalizavus viešojo administravimo sritis, viešojo administravimo subjektų sistemą ir administracinės procedūros organizavimo pagrindus.</t>
  </si>
  <si>
    <t xml:space="preserve">3 lentelė. 2026-2028 metų asignavimų ir kitų lėšų pasiskirstymas pagal programas (tūkst. eurų) </t>
  </si>
  <si>
    <t xml:space="preserve">Didėja /mažėja lyginant su 2025 m.  proc. </t>
  </si>
  <si>
    <t>Pagal 2025-04-01 sutartį su AB „Lietuvos draudimas" Nr. 5-144, kuri galioja iki 2026-04-01, nekilnojamojo turto draudimui skirta 18395,88 Eur; pagal 2025-03-28 žodinį susitarimą su AB "Lietuvos draudimas", kuris galioja iki 2026-03-30, elektromobilių įkrovimo stotelių draudimui skirta 332,27 Eur. Iš viso draudimui skirta 18728,15 Eur. Atsižvelgiant į tai, kad esant draudiminiams įvykiams draudimo įmoka didėja, ateinančiais metais šiai priemonei planuojama  25000 Eur</t>
  </si>
  <si>
    <t xml:space="preserve">Aplinkos tvarkymo skyrius </t>
  </si>
  <si>
    <t>Maydymosi įrangos neįgaliesiems priežiūros užtikirinimas</t>
  </si>
  <si>
    <t xml:space="preserve"> Žaidimo aikštelių metinė patikra</t>
  </si>
  <si>
    <t>Finansavimas iš ministerijos skiriamas einamųjų metų I ketv. Valstybės deleguojamos lėšos.</t>
  </si>
  <si>
    <t xml:space="preserve"> Šios programos tikslas padėti jaunimui įsitraukti į darbo rinką, įgyti reikiamos patirties vasaros atostogų laikotarpiu, o darbdaviams padėti išlaikyti jaunuolius darbo vietoje.  Programa patvirtinta Visagino savivaldybės tarybos 2021 m. kovo 25 d. sprendimu Nr. TS-66 „Dėl Visagino savivaldybės jaunimo vasaros užimtumo įgyvendinimo programos patvirtinimo“. 2025 m. buvo gautos 43 jaunuolių anketos ir 18 darbdavių. Patvirtinti 32 jaunuoliai. 2026 m. planuoujama įdarbinti 40 jaunuolių.</t>
  </si>
  <si>
    <t xml:space="preserve">VSS sistemos dispečerių vaizdo stebėjimas - nauja kaina nuo 2023-09-01 dienos 130 Eur su PVM per parą, tai 47450 metams. Sutartis galioja iki 2026.08.31. Vėliau bus naujas viešojo pirkimo konkursas, todėl lėšų poreikis planuojamas didesnis. </t>
  </si>
  <si>
    <t>05.05.02. (T)</t>
  </si>
  <si>
    <t>05.05.03. (T)</t>
  </si>
  <si>
    <t>05.05.04. (T)</t>
  </si>
  <si>
    <t xml:space="preserve">Įgyvendinti Lietuvos Respublikos lygių galimybių įstatymo nuostatas </t>
  </si>
  <si>
    <t xml:space="preserve">Lygių galimybių politikos įgyvendinimas savivaldybėje </t>
  </si>
  <si>
    <t>Pagrindinis priemonės įgyvendinimo tikslas – padėti atpažinti lyčių nelygybės problemas ir ieškoti sprendimo būdų.
Įgyvendinant priemonę Visagino savivaldybėje bus įgyvendinamos priemonės, skirtos lygioms galimybėms užtikrinti nepaisant lyties, rasės, tautybės, pilietybės, kalbos, kilmės, socialinės padėties, tikėjimo, įsitikinimų ar pažiūrų, amžiaus, lytinės orientacijos, negalios, etninės priklausomybės, religijos t.y. bus skelbiama  situacijos analizė apie lygias galimybes savivaldybės administracijoje, nauji administracijos darbuotojai bus supažindinami su Lygių galimybių politika, organizuojami mokomieji seminarai ir / ar grupinės diskusijos lygių galimybių, lyčių lygybės tema padedančia identifikuoti diskriminacijos apraiškas darbo aplinkoje administracijos, biudžetinių ir viešųjų savivaldybės įstaigų darbuotojams.</t>
  </si>
  <si>
    <t>Įgyvendinti Lietuvos Respublikos moterų ir vyrų lygių galimybių įstatymo nuostatas savivaldybėje</t>
  </si>
  <si>
    <t xml:space="preserve">Moterų ir vyrų lygių galimybių politikos įgyvendinimas
</t>
  </si>
  <si>
    <t>Įgyvendinti palankias sąlygas Vaiko gerovei, padedant jo tėvams (globėjams, rūpintojams) kurti saugią aplinką, užtikrinti gyvenimo, asmeninių bei socialinių ryšių kokybę</t>
  </si>
  <si>
    <t xml:space="preserve">Visagino savivaldybės koordinuotai teikiamų švietimo pagalbos, socialinių ir sveikatos priežiūros paslaugų 2026–2030 m. plėtros plano įgyvendinimo užtikrinimas </t>
  </si>
  <si>
    <t xml:space="preserve">Lietuvos Respublikos apsaugos 
nuo smurto artimoje aplinkoje įstatymo nuostatų įgyvendinimas </t>
  </si>
  <si>
    <t xml:space="preserve">Programos įgyvendinimo koordinatorė Inga Bernotėnė, inga.bernotėnė@visaginas.lt, tel. (0 386) 36 054
</t>
  </si>
  <si>
    <t>Nauja priemonė
07.01.01.07. (TP)</t>
  </si>
  <si>
    <t>Gerinti Visagino sveikatos priežiūros įstaigų infrastuktūrą ir paslaugų kokybę</t>
  </si>
  <si>
    <t>Suplanuotos lėšos bus naudojamos mišrioms statybinėms atliekoms, pavojingoms atliekoms,nenaudojamoms padangoms ir kitoms atliekoms, kai nežinomas atliekų tvarkytojas arba kai atliekas būtina sutvarkyti nedelsiant, siekiant išvengti neigiamo poveikio aplinkai, tvarkyti, surinkti ir šalinti. Priemonė bus įgyvendinama pagal  2025-07-14 paslaugų teikimo sutartį Nr. 5-386. Planuojama sutvarkyti apie 56 t  atliekų.</t>
  </si>
  <si>
    <t xml:space="preserve">Tekstilės konteinerių įsigijimas </t>
  </si>
  <si>
    <t>Atliekų surinkimo konteinerių aikštelių, numatytų Atliekų surinkimo konteinerių aikštelių plėtros galimybių studijoje, įrengimas:</t>
  </si>
  <si>
    <t xml:space="preserve">Konteinerių įsigijimas </t>
  </si>
  <si>
    <t xml:space="preserve">Aikštelių įrengimas </t>
  </si>
  <si>
    <t>Maisto/virtuvės atliekų surinkimo kibirėlių įsigijimas</t>
  </si>
  <si>
    <t>Numatoma įsigyti 10000 maisto/virtuvės atliekų surinkimo kibirėlių (6-7 litrų talpos) ir išdalinti butų savininkams, siekiant pagerinti maisto / virtuvės atliekų surinkimą (1 vnt. x7,00 Eur)</t>
  </si>
  <si>
    <t xml:space="preserve">Planuojama: įsigyti 80 vnt. antžeminius pakuočių atliekų  ir antrinių žaliavų surinkimo konteinerius (80 vnt. x 692 Eur.), nes netinkami naudoti;  10 vnt. tekstilės konteinerių (10 vnt. x 1600 Eur), nes netinkami naudoti; įrengti  11 atliekų surinkimo konteinerių aikštelių, numatytų Atliekų surinkimo konteinerių aikštelių plėtros galimybių studijoje bei šioms aikštelėms įsigyti 55 vnt. konteinerių (skaičiavimai pateikti minėtoje galimybių studijoje, kurioje nurodyta, kad  vienoje aikštelėje bus 5 konteineriai: 5 vnt. x 24926 Eur, 1 aikštelės statybos montavimo darbai: 1 vnt. x 14990 Eur . </t>
  </si>
  <si>
    <t xml:space="preserve">Planuojama: įsigyti 80 vnt. antžeminius pakuočių atliekų  ir antrinių žaliavų surinkimo konteinerius (80 vnt. x 692 Eur.), nes netinkami naudoti; </t>
  </si>
  <si>
    <t>Atsižvelgiant į praėjusius metus Visagino savivaldybėje yra pagaunama 100-150 bešeimininkių gyvūnų (2021 m. - 140, 2022 m. - 129/43, 2023 m. - 114/139, 2024 m. 106/159), dalis jų yra kastruojama/sterilizuojama ir paleidžiami atgal, dalis lieka gyvūnų globos namuose ar atiduodami kitiems globėjams, dalis yra ženklinami mikroschemomis. Vadovaujantis 2025-05-02 sutartimi Nr. 5-209 vieno gyvūno sugavimas ir laikymas kainuoja 384,6 Eur., gyvūno ženklinimas 20 Eur.,  kastravimas/sterilizavimas ir paleidimas atgal 100 Eur. Jeigu 2026 m. bus pagauta 100, kastruota/sterilizuota 100 ir pažimėta  mikroschema 80, tai kainuotų 50060 Eur, kadangi gali būti sugauta ir daugiau gyvūnų siūlau planuoti 55000 Eur.</t>
  </si>
  <si>
    <t>Namukai į bešeimininkių kačių šėrimo (poilsio) vietas bei jų įrengimas</t>
  </si>
  <si>
    <t>Planuojama įrengti dvi naujas bešeimininkių kačių šėrimo (poilsio) vietas, kuriose reiks pastatyti namukus, taip pat reikia atnaujinti namukus ir senosiose vietose. Planuojama įrengti 5 naujus namukus (vieno namuko kaina apie 500 Eur). Vietos įrengimui planuojami 2500 Eur (gruntas, atitvėrimai ir pan.).</t>
  </si>
  <si>
    <t>Atliktų matavimų skaičius esant poreikiui</t>
  </si>
  <si>
    <t>VVadovaujantis 2024-05-30 sutartimi Nr. 5-245 2026 m. planuojams reisų skaičius į sodininkų bendrijas 460. Maršrutų ilgis 66,8 km. Vieno km savikaina (perskaičiuojama kas metus) 1,33 Eur., rentabilumas 4 proc. 460x66,8x1,33x1,04=42502,97 Eur. 2026 m. planuojamas reisų skaičius į kapines 20. Maršruto ilgis 40 km. Vieno km savikaina 1,33 Eur., rentabilumas 4 proc. 20x40x1,33x1,04=1108,56 Eur. Bendros išlaidos aptarnauti maršrutus į SB ir kapines: 42502,97+1108,56=43609,53 Eur. 
Atsižvelgiant į tai jog kiekvienais metais gali būti perskaičiuotas kilometro įkainis ar padidintas reisų skaičius, išlaidas prašome padidinti apie 15 proc. tai yra iki 50 000 Eur.</t>
  </si>
  <si>
    <t>2026 m. planuojams reisų skaičius 400 reisų. Maršruto ilgis 27 km. Vieno km savikaina (perskaičiuojama kas metus) 1,37 Eur., rentabilumas 5 proc. 400x27x1,37x1,05=15535,8 Eur. Vadovaujantis 2023-06-14 sutartimi Nr.5-303 maksimalus galimas reisų skaičius 456, taigi galimos išlaidos: 456x27x1,37x1,05=17710,81 Eur. 
2026 m. pasibaigs sutartis, todėl bus vykdomas naujas pirkimas, o atsižvelgiant į kylančias kainas siūlome maršrutui aptarnauti numatyti 20000 Eur (456x27x1,55x1,05=20037,78)</t>
  </si>
  <si>
    <t>Vadovaujantis 2024-06-18 sutartimi Nr. 5-274 šiuo metu per dieną vykdomi  5 reisai, kurių bendras ilgis 151 km., kilometro savikaina 1,22 Eur. rentabilumas 4 proc. 365x151x1,22x1,04=69929,91 Eur. Atsižvelgiant į tai jog gali būti perskaičiuota kilometro savikaina ar didesnis reisų skaičius išlaidas siūlau padidinti bent 15 proc. tai yra apytiksliai iki 80 000 Eur.
Atsižvelgiant į tai, kad maršrutui nustatyta bilieto kaina 1 Eur (mėnesinio bilieto 30 Eur), kas mėnesį parduotama apie 105 mėnesinius bilietus (105x30x12=37800 Eur) ir 100 vienkartinių (100x1x12=1200 Eur) planuojama, kad 2026 m. bus surinkta apie 50000 Eur. Atsižvelgiant į išdėstytą planuojame, kad maršrutui aptarnauti reiks apie 30000 Eur.</t>
  </si>
  <si>
    <t xml:space="preserve"> Vietinio (miesto/priemiestinio) reguliaraus susisiekimo maršrutai (Visgaino miestas-sodininkų bendrijos "Pavasaris", "Statybininkas", "Vyšnia", "Lapušiškės", "Kapinės", Visagino miesto maršrutas ir maršrutas Visaginas - Makaravo kaimas (pramonės zona))</t>
  </si>
  <si>
    <t>Suma preliminari, planuojama atsižvelgiant į ankstesnius metus, nes nėra aišku kiek Visagino mokyklų ar Visagino technologijos ir verslo profesinio mokymo centro mokinių naudosis autobusų parkų ar Lietuvos geležinkelių paslaugomis. Planuojami 8000 Eur, nes nuo 2026 m. pradžios galima būtų vaikus iš Dūkšto ir jo apylinkių vežti ne mokykliniu autobusu, o naudojantis Lietuvos geležinkelių paslaugomis, jeigu mokyklos sutiktų pradėti pokakas vėliau (1 bilieto kaina 1,10 Eur, tačiau galima pirkti mėnesinius, kurie vidutiniškai kainuoja 15 Eur vienam mokiniui, preliminarus vaikų skaičius 52 vaikai, mokslo metai 10 mėn., 15x52x10=7800 Eur. Jeigu mokinius bus nuspręsta vežti autobusu (perkant paslaugą) tuomet reiktų skirti daugiau lėšų RPC. Mokiniai, kurie naudojasi Ignalinos ar Zarasų autobusų parkų paslaugomis yra vežami nemokamai, nes Ignalinos ir Zarasų autobusų parkai vietinius (priemiestinius) maršrutus vykdo namokamai.</t>
  </si>
  <si>
    <t>Įvažiavimas į kiemą Nr. 308 (Nr. VIS 064).</t>
  </si>
  <si>
    <t>Įvažiavimų į daugiabučių namų kiemus paprastasis remontas</t>
  </si>
  <si>
    <t xml:space="preserve">2026 m. užbaigti rengti TDP. Statyba bus vykdomas KPPP programos lėšomis. Netinkamos finansuoti lėšos iš KPPP- medžiai, šulinių pakėlimas ir mažioji architektūra. </t>
  </si>
  <si>
    <t>Planuojama pirkti modernizavimo darbų techninį darbo projektą. 2024 m. parengtas energenio vartojimo auditas už 5082,00 eurų su PVM. 2026 m. planuojama pirkti modernizavimo darbų techninį darbo projektą. Planuojama 2026 m. įvykdyti darbų pirkimą. Darbus planuojama pradėti 2027-2028 metais.</t>
  </si>
  <si>
    <t>2026 metais bus rengiamas techninis darbo projektas. 2025 metais parengta energijos vartojomo audito ataskaita</t>
  </si>
  <si>
    <t>Paslaugų paskirties pastato Taikos pr. 23, Visagine, modernizavimas</t>
  </si>
  <si>
    <t>2026 metais bus rengiamas techninis darbo projektas. 2025 metais parengta energijos vartojomo audito ataskaita. Planuojama perimti iš  VŠĮ sporto ir rekreacijos centro pastatą, esantį Kosmoso g 28 A, Visagine ir sudaryti su ten veikiančia asociacija panaudos sutartį. Planuojama pastatą apšiltinti. 2026 metais bus rengiamas TDP</t>
  </si>
  <si>
    <t>Organizuoti stadione esančių bėgimo takų remontą</t>
  </si>
  <si>
    <t xml:space="preserve">Pagerinti sąlygas sportuoti, suprojektuoti šiuolaikinius futbolo standartus atitinkančią dirbtinės dangos futbolo aikštę ir uždengti fotbolo aikštę maniežu </t>
  </si>
  <si>
    <t xml:space="preserve">Neaišku dėl vietos </t>
  </si>
  <si>
    <t>Projekto „Kitos paskirties inžinerinių statinių - Gerbūvio teritorijos nuo Kosmoso g. iki Partizanų g. rekonstravimas “ įgyvendinimas</t>
  </si>
  <si>
    <t xml:space="preserve">Naujų vaikų žaidimų aikštelių įrengimas </t>
  </si>
  <si>
    <t>Auksinis gaidelis</t>
  </si>
  <si>
    <t>Įgyvendinant priemonę bus vykdoma Sedulinos alėjos fontano „Saulutė" priežiūra, sudarant paslaugų priežiūros sutartį sekančiam laikotarpiui, išlaidų poreikis komunalinėms paslaugos paskaičiuotas įvertinus išlaidas 2025 m. 8 mėn.</t>
  </si>
  <si>
    <t xml:space="preserve">Teritorijos, esančios šalia pastato Parko g. 14 projektavimo ir teritorijos sutvarkymo darbai
</t>
  </si>
  <si>
    <t>Pastato Sedulinos al. 69A, Visagine, kapitalinis remontas, pritaikant asmenų su negalia poreikiams</t>
  </si>
  <si>
    <t>Sutvarkytų patalpų plotas, m2</t>
  </si>
  <si>
    <t>Pastato Taikos pr. 15, Visagine, kapitalinis remontas (keičiant pastato paskirtį iš gydymo į kultūros) atnaujinant  Visagino mados muziejaus patalpas</t>
  </si>
  <si>
    <t>Kabelis- 560 m, apšvietimo atrama- 1 vnt, valdymo spintos -2 vnt, šviestuvų keitimas į LED- 96 vnt  Nauja priemonė, reikalinga dėl vis</t>
  </si>
  <si>
    <t>Kiemo apšvietimo įrengimas prie daugiabučio gyvenamojo namo Partizanų g. 12</t>
  </si>
  <si>
    <t>Kiemo apšvietimo įrengimas tarp daugiabučių gyvenamųjų namų Visagino g. 10 ir Visagino g. 12</t>
  </si>
  <si>
    <t>Kabelis- 33 m, LED šviestuvas su pamatu ir atrama- 1 vnt</t>
  </si>
  <si>
    <t>Kabelis- 36 m, LED šviestuvas su pamatu ir atrama- 2 vnt</t>
  </si>
  <si>
    <t>Pėsčiųjų takų apšvietimo įrengimas tarp daugiabučių gyvenamųjų namų Taikos pr. 74 .... Draugystės g. 15</t>
  </si>
  <si>
    <t>Užrašo ,,Visaginas" Visagino g. apšvietimo įrengimas</t>
  </si>
  <si>
    <t xml:space="preserve"> Parko tarp daugiabučių gyvenamųjų namų Tarybų g. 3, Tarybų g. 7, Veteranų g. 10 apšvietimo įrengimas</t>
  </si>
  <si>
    <t>Parko tarp daugiabučių gyvenamųjų namų Statybininkų g. 9 ...13 apšvietimo įrengimas</t>
  </si>
  <si>
    <t xml:space="preserve"> Pėsčiųjų tako apšvietimo įrengimas nuo Norfos parduotuvės Taikos pr. 10 link vaikų darželio Taikos pr. 20</t>
  </si>
  <si>
    <t>Parko tarp daugiabučių gyvenamųjų namų Taikos pr. 12 ir Taikos pr. 16 apšvietimo įrengimas</t>
  </si>
  <si>
    <t xml:space="preserve"> Parko, esančio tarp daugiabučių namų Partizanų g. 5- Partizanų g. 15 apšvietimo įrengimas</t>
  </si>
  <si>
    <t>Kabelis- 165 m, LED šviestuvai su atrama- 5 vnt</t>
  </si>
  <si>
    <t>Kabelis- 120 m., LED šviestuvai su pamatu ir atrama- 4 vnt</t>
  </si>
  <si>
    <t>Kabelis- 209 m., LED šviestuvai su pamatu ir atrama- 7 vnt</t>
  </si>
  <si>
    <t xml:space="preserve">Neplanuoja </t>
  </si>
  <si>
    <t>Butų-patalpų, pastatų, esančių Visagine, išpirkimas iš savininkų neskelbiamų derybų būdu</t>
  </si>
  <si>
    <t xml:space="preserve">Projekto „Priedangų infrastruktūros plėtra Visagino savivaldybėje - II etapas" įgyvendinimas </t>
  </si>
  <si>
    <t>10.03.06.02. (PP)
Nauja priemonė</t>
  </si>
  <si>
    <t xml:space="preserve">Apskaitos skyriaus poreikis </t>
  </si>
  <si>
    <t>Vykdant šią priemonę, planuojama ir grąžinama dotacija, skirta Visagino savivaldybės projektams įgyvendinti. Skirta dotacija turi būti grąžinta po projekto įgyvendinimo. Grąžintiną dotacijos sumą nustato UAB Viešųjų investicijų plėtros agentūra (VIPA) vadovaudamasi Aprašo priede nustatyta vertinimo metodika. Dotacija pradedama grąžinti ateinančiais metais po projekto įgyvendinimo pabaigos. 2016–2021  metais buvo pasirašyta 12 sutarčių dėl dotacijų skyrimo. Pagal patvirtintą grafiką 2026 m. dalimis bus grąžinamos dotacijos pagal 10 projektus, 2027 m. - pagal 7 projektus, 2028 m. - pagal 5 projektus.</t>
  </si>
  <si>
    <t>Bendrosios dotacijos kompensacijos grąžinimas nuo planuotos, procentai</t>
  </si>
  <si>
    <t>Priešgaisrinės signalizacijos tinklų aptarnavimas</t>
  </si>
  <si>
    <t>2025-02-24 Sutartis Nr. 5-91</t>
  </si>
  <si>
    <t>2024-11-06 Sutartis Nr. CPO319981; 2025-09-02 Sutartis Nr. CPO354608</t>
  </si>
  <si>
    <t>2024-10-25 Sutartis Nr. 5-491; 2024-11-14 Sutartis Nr. 5-515</t>
  </si>
  <si>
    <t>Parko g. 14 lifto priežiūra, patikra, remontas</t>
  </si>
  <si>
    <t>2025-08-20 Pirkimas Nr. 10797-1</t>
  </si>
  <si>
    <t>2025-02-11 Sutartis Nr. 5-73;2025-03-25 Sutartis Nr. 5-129</t>
  </si>
  <si>
    <t xml:space="preserve">Kapinių informacinės sistemos aptarnavimas </t>
  </si>
  <si>
    <t>Įstaigos veiklos užtikrinimas (kompiuterinė įranga, IS priežiūros ir palaikymo sutartys ir kt. )</t>
  </si>
  <si>
    <t>Dokumentų valdymo sistemos, kitų IS modernizavimas/tobulinimas</t>
  </si>
  <si>
    <t xml:space="preserve">Rinkimai </t>
  </si>
  <si>
    <t xml:space="preserve">Vidaus administravimo 
ir informacinių technologijų skyriaus </t>
  </si>
  <si>
    <t>2027 m. pavasarį savivaldybių tarybų ir merų rinkimai
2028 m. spalio 8 d. Lietuvos Respublikos Seimo rinkimai</t>
  </si>
  <si>
    <t xml:space="preserve">Savivaldybės posėdžių sistemų atnaujinimas, modernizavimas, plėtra, priežiūra
Spausdintuvų įsigijimas
Kompiuterinė įranga </t>
  </si>
  <si>
    <t>visaginas.lt svetainės atnaujinimas (dalyvaujamojo biudžeto IS)</t>
  </si>
  <si>
    <t>Susitikimų kambario konferencinė įranga</t>
  </si>
  <si>
    <t>Administracijos personalo motyvavimo programos įgyvendinimas</t>
  </si>
  <si>
    <t>VšĮ Visagino ekonomikos plėtros agentūrai buvo perduotas administruoti miesto LED ekranas. 
Lėšų poreikis apskaičiuotas taip: ekrano elektros sąnaudos: 250 Eur/mėn. x 12 mėn. = 3000 Eur; Ryšio paslaugos: 50 Eur/mėn. x 12mėn. = 600 Eur; techninė ekrano priežiūra ir nenumatytos išlaidos - 1000 Eur/metus; informacinės medžiagos parengimas - 730 vaizdo ir statinio vaizdo pranešimų per metus x vidutiniškai 20 Eur/žinutė = 14600 Eur</t>
  </si>
  <si>
    <t>Įgyvendinant priemonę užtikrinama komunikacinė savivaldybės veikla.</t>
  </si>
  <si>
    <t>Vyksta tyrimas dėl viešųjų pirkimų pažeidimo. Jei bus taikoma maksimali korekcija poreikis grąžintinų lėšų gali būti apie 14000 Eur. Bendra sutarties vertė 55566.02*25 proc. =13891,5</t>
  </si>
  <si>
    <t xml:space="preserve">Ąžuoliukas  4 mokiniai </t>
  </si>
  <si>
    <t>63 vaikai gauna lengvatą</t>
  </si>
  <si>
    <t xml:space="preserve">40 vaikų </t>
  </si>
  <si>
    <t>3 mokiniai</t>
  </si>
  <si>
    <t>"Drugelių" grupės patalpos (plane pažymėta 2-1;2-2; 2-3; 2-4; 1-74)
Administracinių patalpų remontas</t>
  </si>
  <si>
    <t>Sporto salės ir darbuotojų poilsio kambario remontas. I aukšto bendro naudojimo  tualeto remontas ir  pertvarkymas į sanitarinį mazgą, pritaikant jį žmonėms su negalia. Atnaujintos patalpos pagerins vaikų ugdymo sąlygas, sporto salė bus saugesnė ir jaukesnė vaikams, poilsio kambaryje darbuotojai galės pailsėti ir pavalgyti. Tualetas atitiks reikalavimus dėl įstaigos patalpų pritaikymo žmonėms su negalia.</t>
  </si>
  <si>
    <t xml:space="preserve">Atgimimo </t>
  </si>
  <si>
    <t>Remonto darbai: fasado atnaujinimo darbai po pagrindinio įėjimo remonto darbų; pagrindinio įėjimo atraminių sienų remontas bei metalinio aptvėrimo antikorozinė apsauga; vidinio kiemo įėjimo į pastatą laptų ir kiemo dangos remonto darbai; grindų dangos keitimas  gimnazijos 22, 24, 32, 36, 42, 46, 53 kabinetuose.</t>
  </si>
  <si>
    <t>Įgyvendinant šią priemonę progimnazijoje planuojama padaryti tokie darbai: 3 pradinių klasių ir šalia esančios rekreacijos remonto darbai. Lėšos bus naudojamos pagal poreikį.</t>
  </si>
  <si>
    <t xml:space="preserve">Įgyvendinant šią priemonę progimnazijoje planuojama padaryti tokie darbai: pradinių klasių remonto darbai, pastato lietaus nuotėkyno stovo keitimas. Lėšos bus naudojamos pagal poreikį. </t>
  </si>
  <si>
    <t xml:space="preserve"> Užtikrinti besimokančiųjų galimybes dalyvauti konkursuose, olimpiadose ir kitose ugdymo veiklose</t>
  </si>
  <si>
    <t xml:space="preserve"> Gavus asignavimus iš savivaldybės biudžeto, organizuoti viešuosius pirkimus numatytiems įstaigoje 2026-2028 metais remonto darbams</t>
  </si>
  <si>
    <t>Gavus asignavimus iš savivaldybės biudžeto, organizuoti viešuosius pirkimus numatytiems įstaigoje 2026-2028 metais remonto darbams.</t>
  </si>
  <si>
    <t>Vilties g.16  Kelio užtvaros įrengimas transporto priemonių patekimo kontrolei. Rūsio dalies grindų betonavimas dėl patvinimo per liūtis, sulyginant su likusia pakelta rūsio dalimi (genda apsemtas inventorius, antihigieninės sąlygos, tvaikus kvapas, kas neleistina vaikų mokymo įstaigoje)   178,75 m2                                                                                                                                                                       Festivalio g.6A         Tualetų (berniukų ir mergaičių) pertvarkymas I aukšte (sumontuoti 3+2 naujus klozetus su nuplovimo bakeliais,  3+2 santechkabinų iš HPL plokščių montavimas, 2+1 vnt. praustuvų ir pisuaro montavimas,  pakylos griovimas, naujų vamzdžių klojimas ir slėpimas, pažeistos apdailos atstatymas) - 20,55 m2. I aukšto 1-13 patalpos remontas (sienos apšepusios, suskilinėjusios, šviestuvų keitimas, lubų remontas, elektros laidų keitimas, pakeisti įskilusį lango stiklo paketą) 25,2m2                                                         Festivalio g.3A Rūbinės remontas ( seno linoleumo nuėmimas ir tarketo paklojimas, išlyginant grindų pagrindą (19 m2),  lubų dažymas - 35 m2 ). Akustinių sienų įrengimas kabinetuose triukšmo izoliavimui su gyvenamuoju namu (gavome skundus nuo gyventojų) 83,6 m2 per keturis aukštus (aptaisom po vieną sieną kabinete, kuri yra bendra su gyvenamuoju namu). Salės grindų, lubų remontas (kadangi šioje salėje vyksta koncertai, akustikos gerinimui reikia pakeisti lubas, taip pat grindis, kurios nuo menkiausio judėjimo skleidžia garsus, kas maišo tiek atlikėjams, tiek žiūrovams (grindys blogame stovyje, balkiai papuvę, yra pavojus, kad pralūžus grindims gali susižeisti vaikai ir suaugę; danga kiliminė neimpregnuota, kelia pavojų žmonių gyvybei, pažeisti priešgaisriniai reikalavimai). Neveikia ventiliacija, kas prieštarauja higienos reikalavimams. Salė (214,14 m2) neremontuota jau daugelį metų ir ji prašosi pertvarkymo. Atlikti darbus 2 etapais: I etapas - grindys; II etapas - lubos. Koridorių remontas - sienų perdažymas. Holas su koridoriumi - 113 m2, keturių aukštų koridorių sienos - 172 m2. Sienos seniai nedažytos, nesigauna nuplauti purvinas dėmes, kadangi sienų apdaila rauplėta. Siekiant pagerinti mokymosi sąlygas, sujungiamos patalpos, griaunant sienas, nes klasės yra labai mažos, tvankios; garso slopinimui bei akustikos gerinimui reikia pertvarkyti sienų apdailą specialiomis priemonėmis, kad per užsiėmimus mokiniai vieni kitiems netrukdytų (sujungiamos patalpos I a.1-29 +1-27; 1-10+1-11; II a. 131+103; III a.135+110; IV a.139+117; V a.142+124 )</t>
  </si>
  <si>
    <t>21</t>
  </si>
  <si>
    <t xml:space="preserve">Projekto „Robotikos ir dronų konstravimo ir pilotavimo kompetencijų ugdymas kaip socialinės įtraukties metodas Latgalos, Visagino ir Ignalinos pasienio regionuose“ įgyvendinimas </t>
  </si>
  <si>
    <t>Sudaryti sąlygas  ugdyti vaikus ikimokyklinio, bendrojo ugdymo ir neformalaus vaikų švietimo įstaigose pagal patvirtintas ugdymo programas, teikti pedagoginę, psichologinę, metodinę, aprūpinimo transportu ir kitą pagalbą mokiniams, mokytojams ir mokykloms</t>
  </si>
  <si>
    <t xml:space="preserve">Visagino savivaldybės švietimo stebėsenos rodiklių sąraše, patvirtintame 2022-03-14 Visagino savivaldybės administracijos direktoriaus įsakymu Nr. ĮV-E-123 „Dėl Visagino savivaldybės švietimo stebėsenos rodiklių sąrašo patvirtinimo" įgyvendintų rodiklių skaičius </t>
  </si>
  <si>
    <t>Lopšelio-darželio „Auksinis gaidelis“ (VPC), vaikų lopšelių-darželių „Auksinis raktelis“, „Ąžuoliukas“, „Gintarėlis“, „Žiburio“ pagrindinės mokyklos, „Atgimimo“ ir „Verdenės“ gimnazijų, Draugystės ir „Gerosios vilties“ progimnazijų, Visagino kūrybos ir menų akademijos, Švietimo pagalbos tarnybos veiklos organizavimas ir paslaugų užtikrinimas.  Priemonės įgyvendinimui stebėti stebėsenos rodikliai patvirtinti Visagino savivaldybės švietimo stebėsenos rodiklių sąraše, patvirtintame 2022-03-14 Visagino savivaldybės administracijos direktoriaus įsakymu Nr. ĮV-E-123 „Dėl Visagino savivaldybės švietimo stebėsenos rodiklių sąrašo patvirtinimo".</t>
  </si>
  <si>
    <t>Mokinių, besimokančių lopšelyje-darželyje „Auksinis gaidelis“ (VPC), vaikų lopšeliuose-darželiuose „Auksinis raktelis“, „Ąžuoliukas“, „Gintarėlis“  pagal ikimokyklinio ir priešmokyklinio ugdymo programas, „Verdenės“ gimnazijoje, „Žiburio“ pagrindinėje mokykloje, „Atgimimo“ ir „Verdenės“ gimnazijose, Draugystės ir „Gerosios vilties“ progimnazijose pagal pradinio, pagrindinio ir vidurinio ugdymo programas mokymo reikmėms tenkinti, Visagino kūrybos ir menų akademijos neformaliojo vaikų bei formalųjį švietimą papildančio ugdymo programoms įgyvendinti, Švietimo pagalbos tarnybos neformaliojo suaugusiųjų švietimo programoms įgyvendinti, pedagoginei psichologinei pagalbai teikti.  Priemonės įgyvendinimui stebėti stebėsenos rodikliai, patvirtinti Visagino savivaldybės švietimo stebėsenos rodiklių sąraše, patvirtintame 2022-03-14 Visagino savivaldybės administracijos direktoriaus įsakymu Nr. ĮV-E-123 „Dėl Visagino savivaldybės švietimo stebėsenos rodiklių sąrašo patvirtinimo".</t>
  </si>
  <si>
    <t>Suaugusiųjų neformaliojo švietimo ir tęstinio mokymosi programų 
atrankos konkurso organizavimas ir finansavimas, įgyvendinimo priežiūra, dalyvavimas Nacionalinėje suaugusiųjų mokymosi savaitėje ir jos renginių organizavimas.  Mokinių ir mokytojų dalyvavimas ugdymosi, saviugdos, pažinimo, saviraiškos ir kituose renginiuose, regiono, šalies konkursuose.  Svariausių laimėjimų pasiekusių savivaldybės mokinių pagerbimo renginio organizavimas, bendradarbiavimas su kitomis institucijomis ir kitos veiklos, padedančios siekti numatyto uždavinio</t>
  </si>
  <si>
    <t xml:space="preserve">Lopšelio-darželio „Auksinis gaidelis“ (VPC) jubiliejui </t>
  </si>
  <si>
    <t xml:space="preserve">Švietimo pagalbos tarnybos jubiliejui </t>
  </si>
  <si>
    <t>Nacionalinių mokinių pasiekimų patikrinimų, pagrindinio ugdymo pasiekimų patikrinimo, valstybinių brandos egzaminų organizavimas ir vykdymas</t>
  </si>
  <si>
    <t>Parengiamieji ir mokinių pasiekimų patikrinimų organizavimo ir vykdymo darbai (dalyvavimas mokymuose, organizavimo ir vykdymo, kitos veiklos, padedančios siekti numatyto uždavinio, apmokėjimas už valstybinių brandos egzaminų vykdymą, kandidatų ir vertintojų pavėžėjimas (kai egzaminas vyksta kitoje savivaldybėje)).</t>
  </si>
  <si>
    <t>Parengiamieji ir mokinių pasiekimų patikrinimų organizavimo ir vykdymo darbai (dalyvavimas mokymuose, organizavimo ir vykdymo, kitos veiklos, padedančios siekti numatyto uždavinio, kandidatų ir vertintojų pavėžėjimas (kai egzaminas vyksta kitoje savivaldybėje)).</t>
  </si>
  <si>
    <t xml:space="preserve">Ši priemonė įgyvendinama vadovaujantis Neformaliojo vaikų švietimo programų finansavimo ir administravimo tvarkos aprašu, patvirtintu Lietuvos Respublikos švietimo, mokslo ir sporto ministro 2022 m. sausio 10 d. įsakymu Nr. V-46 „Dėl Neformaliojo vaikų švietimo programų finansavimo ir administravimo tvarkos aprašo patvirtinimo“. Neformaliojo vaikų švietimo lėšos savivaldybei skiriamos Lietuvos Respublikos švietimo, mokslo ir sporto ministro įsakymu einamiesiems kalendoriniams metams. Šios lėšos savivaldybei apskaičiuojamos visas neformaliojo vaikų švietimo lėšas padalinus iš Lietuvos mokinių, kurie praėjusių kalendorinių metų rugsėjo 1 d. mokėsi pagal bendrojo ugdymo programas, skaičiaus ir padauginus iš savivaldybėje praėjusių kalendorinių metų rugsėjo 1 d. besimokiusių mokinių skaičiaus. Neformaliojo vaikų švietimo lėšas savivaldybė naudoja neformaliojo vaikų švietimo programoms finansuoti ir aukščiau minėto aprašo įgyvendinimui administruoti, neviršijant 3 proc. savivaldybei skirtos lėšų sumos. Taip pat šia priemone vadovaujantis Visagino savivaldybės biudžeto lėšų, skiriamų neformaliajam vaikų švietimui ir sportiniam rengimui, planavimo, apskaičiavimo ir naudojimo tvarkos aprašu, patvirtintu Visagino savivaldybės tarybos 2022 m. lapkričio 24 d. sprendimu Nr. TS-189 „Dėl Visagino savivaldybės biudžeto lėšų, skiriamų neformaliajam vaikų švietimui ir sportiniam rengimui, planavimo, apskaičiavimo ir naudojimo tvarkos aprašo patvirtinimo“, bus užtikrintas viešosios įstaigos Visagino edukacijų centro viešųjų paslaugų ir biudžetinės įstaigos Visagino kūrybos ir menų akademijos ugdymo paslaugų teikimas. </t>
  </si>
  <si>
    <t>Neformaliojo vaikų švietimo galimybėmis pasinaudojusių mokinių, skaičius  dalis</t>
  </si>
  <si>
    <t xml:space="preserve">~1780  61 </t>
  </si>
  <si>
    <t>~1780 61</t>
  </si>
  <si>
    <t>Įgyvendinant šią priemonę bus užtikrintas Visagino savivaldybės bendrojo ugdymo mokyklų tinklo pertvarkos priemonių plano, patvirtinto 2022 m. kovo 31 d. Visagino savivaldybės tarybos Nr. TS-33 „Dėl Visagino savivaldybės bendrojo ugdymo mokyklų tinklo pertvarkos 2022–2026 metų bendrojo plano patvirtinimo“, įgyvendinimas. Vykdomi svarstymai dėl Visagino bendrojo ugdymo mokyklų tinklo optimizavimo. Pradedamas rengti 2027-2031 metų bendrojo ugdymo plano projektas.</t>
  </si>
  <si>
    <t>2024-05-14 Visagino savivaldybės administracija kartu Nacionaline švietimo agentūra pasirašė jungtinės veiklos sutartį dėl 2021–2030 m. plėtros programos valdytojos Lietuvos Respublikos švietimo, mokslo ir sporto ministerijos švietimo plėtros programos pažangos priemonės Nr. 12-003-03-01-03 „Užtikrinti visiems prieinamą šiuolaikinį ugdymo turinį“  projekto „Ugdymo priemonės mokykloms“ įgyvendinimo. Sutartimi Šalys, susitarė apjungti savo pastangas, darbą ir žinias, siekiant veikti bendrai, turėdamos tikslą įgyvendinti Projekto veiklas, aprūpinant bendrojo ugdymo mokyklas kompiuteriais ir jų įkrovimo dėžėmis ir mokymui skirtomis priemonėmis ir įranga. Maksimali projekto įgyvendinimo vertė tenkanti Visagino savivaldybei – 367011,12 Eur, iš jų finansuojamąją  dalį  sudaro 100 proc. dotacija. Projekte numatytas veiklas planuojama baigti įgyvendinti  2026 m., tačiau  galutinis projekto įgyvendinimo terminas pagal sutartinius įsipareigojimus yra 2028 m. balandžio 30 d., nes nuo 2026 m. iki 2028 m. bus vykdoma projekte numatytų pasiekti rodiklių stebėsena.  
 Įgyvendindama projektą Visagino savivaldybės administracija teikia ir derina gaunamo turto sąrašus ir turto pristatymo vietas pagal sutarties priede nustatytą mokyklų sąrašą, koordinuoja priemonių ir kompiuterių pasirinkimo procesus mokyklose, užtikrina tinkamą turto priėmimą mokyklose, įgytą turtą teisės aktų nustatyta tvarka perduoda mokykloms valdyti, užtikrina tinkamą turto apskaitą, perdavimo dokumentų tvarkymą, jo naudojimą ir saugojimą, prireikus, atstato ir atkuria prarastą turtą.</t>
  </si>
  <si>
    <t>1860/
5</t>
  </si>
  <si>
    <t>1860
/5</t>
  </si>
  <si>
    <t>Vaikų ir jaunimo vasaros poilsio organizavimas vykdant projektų konkursus, laimėjusių projektų finansavimą ir įgyvendinimo priežiūrą, užtikrinant turiningą, saugų ir įtraukų vasaros poilsį vaikams ir jaunimui, ypač atsižvelgiant į jų socialinius, emocinius, edukacinius poreikius ir kompetencijų ugdymą. Svarbus dėmesys  skiriamas įtraukties principų užtikrinimui, kai stovyklų veiklose dalyvauja vaikai su specialiaisias ugdymosi poreikiais, vaikai iš socialiai jautrių šeimų ir socialinę atskirtį patiriantys vaikai.</t>
  </si>
  <si>
    <t xml:space="preserve">2025 m.  parengta galimybių studija. 2026 m. rengiamas investicijų projektas ir pradėtos viešojo ir privataus sektoriaus partnerystės projekto derinimo procedūros. </t>
  </si>
  <si>
    <t xml:space="preserve">Visagino viešoji bibliotekos filialas, Sedulinos al. 14/3: 1.Elektros intaliacijos ir apšvietimo keitimas (avariniai darbai). 2. Medinių langų keitimas Sedulinos al. 14/3,  8 langai,  66 m2                                                                                                                                                        VVB, Taikos pr. 52: 1. Pagrindiniam bibliotekos pastatui ir filialui rekalingas smulkus grindų, sienų, lubų remontas. 2. Medinių durų keitimas į plastikines (6 vnt. suaugusių sk.), 20 m2. 3. Medinių durų keitimas į plastikines (5 vnt. vaikų sk.), 10 m2. 4 .Koridoriaus remontas, 20 m2.        </t>
  </si>
  <si>
    <t>Pasiruošimas Dainų šventei (drabužių įsigijimas, komandiruotės kolektyvų vadovams, instrumentai, atributika)</t>
  </si>
  <si>
    <t>Lietuvos liaudies meno paroda-konkursas "Aukso vainikas", Lietuvos vaikų ir jaunimo liaudies meno paroda-konkursas "Sidabro vainikėlis", Etniniai-pažintiniai renginiai, lietuvių bendruomenės renginys "Kaimynėli, būki sveikas", Tarptautinis tautinių kultūrų festivalis "Rudeninės"</t>
  </si>
  <si>
    <t>Šventės: Sekminės, Troica, velykinis renginys, Joninės</t>
  </si>
  <si>
    <t>Nematerialaus kultūros paveldo sklaida ("Sabantuj" - totorių kultūros diena), nematerialaus kultūros paveldo apsaugos funkcijos užtikrinimas, administravimas</t>
  </si>
  <si>
    <t>Kultūros centro 20-metis,  kolektyvų jubiliejai</t>
  </si>
  <si>
    <t>Visagino erdvių festivalis, XXI tarptautinis monospektaklių festivalis "Atspindys"</t>
  </si>
  <si>
    <t>Lietuvos laisvės gynėjų diena, Valstybės atkūrimo diena, Lietuvos nepriklausomybės atkūrimo diena, Valstybės diena</t>
  </si>
  <si>
    <t>M. Valančiaus metams paminėti skirti renginiai</t>
  </si>
  <si>
    <t>Gatvės muzikos iena, mėgėjų meno sklaida savivaldybėje, renginių ciklas "Vandens muzika"</t>
  </si>
  <si>
    <t>Visagino miesto šventė "Visaginui-51"</t>
  </si>
  <si>
    <t>Moksleivių dainų šventė-8000
Dainų dainelė II etapas 2000 
Dalyvavimas Dainų šventėje (2028) 6000
Lietuvos Dainų šventė vyksta kas ketverius metus. 2024 m. įvyko jubiliejinė 100-mečio šventė, todėl lėšų poreikis dėl dalyvavimo planuojamas tik 2028 m.
2028 metais vyks 101-oji Dainų šventė, lėšos planuojamos transportui, rekvizitams ir apgyvendinimui</t>
  </si>
  <si>
    <t>Visagino savivaldybės
atstovavimas renginiuose, konkursuose, festivaliuose (kolektyvai, kultūros specialistai).</t>
  </si>
  <si>
    <t>Profesinės šventės, minėtinos dienos (Buhalterių d., Valstybės tarnautojų d., Kultūros d., Socialinių darbuotojų d., Mokytojų d., Savivaldos d., Kalėdinis žiburėlis. Kitos bendruomenės iniciatyvos (Prekės ir paslaugos, transporto išlaidos). 2025 metais įvyko Nominacijų vakaras (organizuojamas kas 3 metus, teikiamas siūlymas darytik kas 5 m., minint jubiliejus)</t>
  </si>
  <si>
    <t>Lietuvos kultūros tarybos finansuojamų projektų kofinansavimas iki 30 proc.
Lietuvos kultūros tarybai Tolygios kultūrinės raidos teikiamų projektų bendrafinansavimas (30 proc.)
Žinomas poreikis: VšĮ "Meno ir švietimo pasaulis"  VIII-ojo tarptautinio Aldonos Dvarionaitės pianistų konkursas-festivalis 8,7 tūks.
VšĮ Depazonas teikė muzikos sričiai, gali būti papildomas poreikis - 10 proc. nuo 9000 eur. (10 proc., tai būtų bent 900 eur.)</t>
  </si>
  <si>
    <t>Planuojamas finansavimas konkurso budu įsteigus MIM (Mados istorijos muziejus) vadovaujantis TS-186 "Dėl Kultūros ir meno projektų finansavimo Visagino savivaldybės biudžeto lėšomis tvarkos aprašo patvirtinimo"</t>
  </si>
  <si>
    <t xml:space="preserve">Jau 2 metus iš eilės perkami bilietai į monospektalių festivalį "Atspindys" (saviavldybės darbuotojams)
2025 m. poreikis buvo - 35 vnt. abonementų. (1000 Eur)
Nenumatytų renginių, iniciatyvų organizavimui (prekės ir paslaugos)
Pvz. Mūralų sienų paruošimas (2025 m. 5000 eur. ir dar trūko)
Koldūnų šventė, Vasario 24 d. Ukrainos orkestras (2024 m. poreikis buvo 5000 +1800 eur.)
</t>
  </si>
  <si>
    <t xml:space="preserve">Kovos su prekyba žmonėmis politikos nuostatų įgyvendinimas </t>
  </si>
  <si>
    <t xml:space="preserve">Tautinių mažumų projektų savivaldybėje įgyvendinimo skatinimas </t>
  </si>
  <si>
    <r>
      <t xml:space="preserve">05.01.01.07. (TP)
</t>
    </r>
    <r>
      <rPr>
        <b/>
        <sz val="9"/>
        <rFont val="Arial"/>
        <family val="2"/>
      </rPr>
      <t>Nauja priemonė</t>
    </r>
    <r>
      <rPr>
        <sz val="9"/>
        <rFont val="Arial"/>
        <family val="2"/>
      </rPr>
      <t xml:space="preserve"> </t>
    </r>
  </si>
  <si>
    <t xml:space="preserve">05.05.02.01. (TP)
Nauja priemonė </t>
  </si>
  <si>
    <t>05.05.03.01. (TP)
Nauja priemonė</t>
  </si>
  <si>
    <t xml:space="preserve">05.05.04.01. (TP)
Nauja priemonė </t>
  </si>
  <si>
    <t xml:space="preserve">05.03.01.05 (TP)
Nauja priemonė </t>
  </si>
  <si>
    <t xml:space="preserve">05.03.01.06 (TP)
Nauja priemonė </t>
  </si>
  <si>
    <t>R-05-01-01-07</t>
  </si>
  <si>
    <t>Paremtų projektų skaičius</t>
  </si>
  <si>
    <t>Švietimo,sporto ir  kultūros skyrius</t>
  </si>
  <si>
    <t xml:space="preserve">Energetikų gatvės kalėdinis apšvietimas </t>
  </si>
  <si>
    <t xml:space="preserve">Lopšelio-darželio „Auksinis gaidelis“ </t>
  </si>
  <si>
    <t xml:space="preserve">Lopšelio-darželio „Auksinis raktelis“ </t>
  </si>
  <si>
    <t>Respublikinis Lietuvos vaikų lopšelių-darželių "Gintarėlis" sambūris "Kur miškai žaliuoja, ežerai tyvuliuoja" -  konferencija. Tradicinis kasmetinis renginys, kasmet vykstantis vis kitame Lietuvos lopšelyje-darželyje "Gintarėlis". Šiame renginyje kiekviena ugdymo įstaiga pristatys savo regiono tapatumo svarbą ugdymo procese, susipažins su išskirtine Visagino miesto kultūra ir jos įtaka ugdyme,papročių ir tradicijų puoselėjime. Dalyviai dalyvaus edukacinėje programoje.</t>
  </si>
  <si>
    <t xml:space="preserve">Savivaldybės administracijos ir/arba savivaldybės švietimo įstaigų dalyvavimas Švietimo, mokslo ir sporto ministerijos ar jos reguliavimo sričiai priskirtų įstaigų įgyvendinamuose projektuose partnerių pozicijoje tobulinant žmogiškuosius išteklius bei turtinant ugdymo aplinkas, dalyvavimas kituose projektuose, taip pat ir tarptautiniuose. </t>
  </si>
  <si>
    <t xml:space="preserve">Vaikai, kuriems suteiktos švietimo paslaugos/sudarytų sutarčių kiekis </t>
  </si>
  <si>
    <t xml:space="preserve">Darbotvarkės  „Tvari mokykla 2030“ įgyvendinimas </t>
  </si>
  <si>
    <t>490 ugdytiniai</t>
  </si>
  <si>
    <t>382 ugdytiniai</t>
  </si>
  <si>
    <t xml:space="preserve">187 ugdytinių </t>
  </si>
  <si>
    <t xml:space="preserve">140 ugdytiniai </t>
  </si>
  <si>
    <t>38 ugdytiniai</t>
  </si>
  <si>
    <t>57ugdytiniai</t>
  </si>
  <si>
    <t xml:space="preserve">Dalyvavusių asmenų skaičius, vnt. </t>
  </si>
  <si>
    <t>600</t>
  </si>
  <si>
    <t>800</t>
  </si>
  <si>
    <t>03.01.02.04. (TP)
Nauja priemonė</t>
  </si>
  <si>
    <t>2024-11-21 Nr. TS-191 Dėl Visagino savivaldybės sporto veiklos finansavimo tvarkos
aprašo patvirtinimo
Visagino ralis, lauko tenisas, šachmatai, tinklinis, miesto krepšinio pirmenybės, futbols ir kiti, (vienam projektui iki 30000 Eur)</t>
  </si>
  <si>
    <r>
      <t>2024-11-21 Nr. TS-191 Dėl Visagino savivaldybės sporto veiklos finansavimo tvarkos
aprašo patvirtinimo</t>
    </r>
    <r>
      <rPr>
        <i/>
        <sz val="9"/>
        <color rgb="FF7030A0"/>
        <rFont val="Arial"/>
        <family val="2"/>
      </rPr>
      <t xml:space="preserve"> (vienam projektui iki 3000 Eur)</t>
    </r>
  </si>
  <si>
    <t xml:space="preserve">Sporto rėmimo fondas regioninis fizinio aktyvumo </t>
  </si>
  <si>
    <t xml:space="preserve">Teikiama paraiška  sporto rėmimo fondą (Evelinos poreikis) </t>
  </si>
  <si>
    <t xml:space="preserve">priemonės įgyvendinimas perkeltas į 10.02.04.01. rengiamas techninis projektas </t>
  </si>
  <si>
    <t>2024-11-21 Nr. TS-191 Dėl Visagino savivaldybės sporto veiklos finansavimo tvarkos
aprašo patvirtinimo (vienam projektui iki 5000 Eur, Maksim Fomin, Nadežda Kočergina - biatlonas, irkluotojai)</t>
  </si>
  <si>
    <t xml:space="preserve">Lietuvos mokyklų ir seniūnijų sporto žaidynių organizavimas  visuomenės grupėms </t>
  </si>
  <si>
    <t>2026 (Vietinio ūkio skyrius)</t>
  </si>
  <si>
    <t>Prieplaukos remontas, čiuožyklos siurblio keitimas, stogelio įrengimas ant gelbėtojo bokštelio</t>
  </si>
  <si>
    <t>Darbų atlikimo terminas iki 2026-05-30</t>
  </si>
  <si>
    <t>Drūkšių ežeras: Prieplaukos remontas</t>
  </si>
  <si>
    <t xml:space="preserve">Įgyvendinant Funkcinės zonos Visagino savivaldybės, Ignalinos ir Zarasų rajonų savivaldybių teritorijose (VIZA) 2024–2029 m. strategiją,  2025 m. buvo pradėtas įgyvendinti projektas „Visagino savivaldybės teritorijos (-ų) pritaikymas pramonės, komercijos, paslaugų verslo  investicijoms".  Projekto įgyvendinimo metu bus tvarkomos teritorijos, esančios pramoninėje teritorijoje Visagino mieste (tarp teritorijų Dūkšto kel. 84A–Dūkšto kel. 100) ir pritaikomos investicijoms. Pagrindinės projekto veiklos: teritorijų išvalymas, sklypo suformavimas, sklypo išlyginimas, reikiamos inžinerinės ir susisiekimo infrastruktūros įrengimas. Projekto pradžia 2025 m. IV ketvirtis, planuojama pabaiga 2027 m. IV ketvirtis. Bendra projekto vertė 517 554,70 Eur, iš jų Europos Sąjungos lėšos 439 921,49 Eur, savivaldybės biudžeto lėšos  77 633,2 1Eur.
2026 m. planuojamas projekto veiklų įgyvendinimas.   Projekto pareiškėjas ir vykdytojas Visagino savivaldybės administracija. </t>
  </si>
  <si>
    <t>Programos įgyvendinimo laikotarpis – nuo 2026 m. vasario mėn. iki 2026 m. gruodžio mėn. Programos tikslai: padėti norintiems integruotis į darbo rinką ieškantiems darbo asmenims įsidarbinti ir uždirbti pragyvenimui būtinas lėšas; mažinti socialinę įtampą ir atskirtį tarp bendruomenės narių; atnaujinti ieškančių darbo asmenų darbinius įgūdžius; padidinti ieškančių darbo asmenų galimybes susirasti nuolatinį darbą; didinti Visagino savivaldybės gyventojų užimtumą.</t>
  </si>
  <si>
    <t xml:space="preserve">Asmenų, pasinaudojusių viešojo transporto paslaugomis proc. nuo bendro gyventojų skaičiaus </t>
  </si>
  <si>
    <t>150</t>
  </si>
  <si>
    <t>Tualeto senosiose kapinėse demontavimo ir pastatymo naujo  darbai</t>
  </si>
  <si>
    <t>2026 (Aplinkos tvarkymo skyrius)</t>
  </si>
  <si>
    <t xml:space="preserve">Visagino ežero paplūdimio persirengimo kabinų remontas </t>
  </si>
  <si>
    <t>Sąmatos nėra</t>
  </si>
  <si>
    <t xml:space="preserve">Jaunimo verslumo su profesinio orientavimo veiklomis programos įgyvendinimas </t>
  </si>
  <si>
    <t xml:space="preserve">Visagino savivaldybė nusprendė projekto 07.1.1-CPVA-V-902-01-0006 metu rekonstruotą pastatą, adresu Dūkšto kel. 84, Visagino sav., pritaikyti ir naudoti Jaunimo verslumo su profesinio orientavimo veiklomis centrui, kuriame bus įgyvendinama Jaunimo verslumo su profesinio orientavimo veiklomis programa. Programos įgyvendinimą koordinuos VšĮ Visagino ekonomikos plėtros agentūra kartu su partneriais jungtinės veiklos sutarčių pagrindu. Veiklos bus organizuojamos pastate adresu Dūkšto kel. 84, Visagino sav. Įgyvendinant programą 2026 m. planuojami 3 vizitai į verslo įmones; 1 vizitas į interaktyvią karjeros erdvę Vilniuje; 7 dienos mokomųjų dirbtuvių; 1 baigiamasis renginys. Programa bus įgyvendinama iki 2030 m. </t>
  </si>
  <si>
    <t>Įgyvendinant savivaldybės urbanistinio ir teritorijų planavimo plėtrą ir tobulinimą, vykdant šią priemonę pagal poreikį bus rengiami teritorijų planavimo dokumentai, įgyvendinantys Visagino savivaldybės ir Visagino miesto bendrųjų planų sprendinius, atsižvelgiant į savivaldybės poreikį. Taip pat bus atliktas Visagino savivaldybės šilumos ir dujų ūkių (infrastruktūros plėtros) specialiojo plano keitimas. 
Priemonės įgyvendinimas prisidės prie Strateginio plėtros plano priemonės „Savivaldybės urbanistinio ir teritorijų planavimo plėtra ir tobulinimas“, kurioje planuojami veiksmai: Visagino savivaldybės ir miesto bendrųjų planų keitimas; kitų, pagal poreikį parengtų,  reikalingų teritorijų planavimo dokumentų parengimas; Visagino savivaldybės miškotvarkos planų parengimas.</t>
  </si>
  <si>
    <t xml:space="preserve">Mažųjų formų skulptūrų įrengimas miesto viešose erdvėse, vertė  ~10 000 EUR. Miesto erdvių (aikščių, skverų, paminklinių erdvių, paminklų ir skulptūrų) suformavimo konkursų organizavimas ~4 000 EUR. Esamų mažosios architektūros elementų remontas ir tvarkymas ~6 000 EUR </t>
  </si>
  <si>
    <t>R-09-01-01-07</t>
  </si>
  <si>
    <t xml:space="preserve">Įgyvendinant priemonę pagal poreikį bus rengiami investicijų planai, paraiškos ir kita reikalinga dokumentacija projektų įgyvendinimui. </t>
  </si>
  <si>
    <t xml:space="preserve">Įgyvendinant Funkcinės zonos Visagino savivaldybės, Ignalinos ir Zarasų rajonų savivaldybių teritorijose (VIZA) 2024–2029 m. strategiją, patvirtintą Visagino savivaldybės tarybos 2024 m. birželio 20 d. sprendimu Nr. TS-105 „Dėl Funkcinės zonos Visagino savivaldybės, Ignalinos ir Zarasų rajonų savivaldybių teritorijose (VIZA) 2024–2029 m. strategijos patvirtinimo“, 2026 m. įgyvendinant investicinius  veiksmus, vyks pasiruošimas ir neinvesticinių veiksmų įgyvendinimui.  </t>
  </si>
  <si>
    <t>Įgyvendinant šią priemonę bus įgyvendinama viena iš Visagino savivaldybėje išskiriamų 2020–2030 metams prioritetinės ekonomikos plėtros krypčių „Kūrybinė industrija“, plėtros gairės buvo patvirtintos Visagino savivaldybės tarybos 2019 m. spalio 30 d. sprendimu Nr. TS-253 „Dėl Visagino savivaldybės 2020–2030 m. ekonominės plėtros gairių patvirtinimo“. Priemonę įgyvendins viešoji įstaiga Visagino ekonomikos plėtros agentūra. 
Programos tikslas – sukuriant palankias sąlygas skatinti kūrybinių industrijų verslumo vystymąsi mieste, pritraukti į miestą naujų šio sektoriaus įmonių ir talentų bei fasilituoti visų suinteresuotų šalių bendradarbiavimą, kuris užtikrintų darnią ekonomikos plėtrą bei Visagino gyventojų gerovę.
Kūrybinės industrijos sudaro naują ir augantį bei stiprėjantį ekonomikos sektorių, kuris ženkliai prisideda prie miestų bei regionų konkurencingumo stiprinimo. Įgyvendinant priemonę bus užtikrinta Visagino inovacijų klasterio veikla.</t>
  </si>
  <si>
    <t xml:space="preserve">2026 (Architektūros ir  teritorijų planavimo skyrius) </t>
  </si>
  <si>
    <t xml:space="preserve">2026 (Architektūros ir teritorijų planavimo skyrius) </t>
  </si>
  <si>
    <t xml:space="preserve">Įgyvendinant priemonę planuojama konkurso tvarka remti projektus, susijusius su visuomeninių organizacijų ir pilietinės bendruomenės, kitų institucijų, skatinimu, organizuojant bei vykdant nusikaltimų prevenciją ir kontrolę Visagino savivaldybėje. Projektų konkursų finansavimo sąlygų aprašas tvirtinamas teisės aktų nustayta tvarka. Konkurso tikslas – skatinti Visagino savivaldybės gyventojų nusikalstamų veikų ir kitų teisės pažeidimų prevenciją, t. y. priemones, kuriomis siekiama užkirsti kelią nusikalstamoms veikoms ir kitiems teisės pažeidimams, nustatant pažeidimus ir pašalinant jų priežastis ir sąlygas. Konkurse gali dalyvauti ir projektų paraiškas finansavimui teikti vieši juridiniai asmenys, kurie vykdo nusikaltimų prevenciją ir kontrolę, užtikrina viešosios tvarkos, gyventojų saugumo ir eismo saugumo priežiūros funkcijas bei įgyvendina bendrąsias teises ir pareigas, susijusias su teritorijos ir joje esančių bendrojo naudojimo objektų valdymu, priežiūra ir naudojimu.
Vienam projektui gali būti skiriama ne daugiau kaip 8 000 Eur.  </t>
  </si>
  <si>
    <t>Pasibaigus užimtumo didinimo programoms, po 6 mėnesių dirbs arba vykdys savarankišką veiklą asmenų skaičius</t>
  </si>
  <si>
    <t>R-05-03-01-05</t>
  </si>
  <si>
    <t>R-05-03-01-06</t>
  </si>
  <si>
    <t xml:space="preserve">05.03.01.07 (TP)
Nauja priemonė </t>
  </si>
  <si>
    <t xml:space="preserve">Trūkstamų policijos pareigūnų rėmimo programos įgyvendinimas </t>
  </si>
  <si>
    <t>R-05-03-01-07</t>
  </si>
  <si>
    <t xml:space="preserve">Įgyvendintų viešinimo priemonių skaičius </t>
  </si>
  <si>
    <t>Pritrauktų policijos pareigūnų skaičius</t>
  </si>
  <si>
    <t xml:space="preserve">Įgyvendinant kovos su prekyba žmonėmis politikos nuostatus bus organizuojamos   visuomenės švietimo ir informavimo kampanijos: informacija bus skleidžiama per socialinius tinklus,  plakatus ir skrajutės. Taip pat išleisti leidinius skirtus mokykloms ir bendruomenėms. </t>
  </si>
  <si>
    <t>Įgyvendinant Lietuvos Respublikos apsaugos nuo smurto artimoje aplinkoje įstatymo nuostatas bus organizuojami užsiėmimai su mokiniais apie smurtą, jo formas ir pasėkmes, organizuojamos interaktyvios pamokos apie sveikus santykius, pagarbą ir lyčių lygybę, lyčių stereotipus, kūrybinės dirbtuvės (pvz. filmų peržiūros, diskusijos, teatro, stund up  metodų taikymas).</t>
  </si>
  <si>
    <t xml:space="preserve">Visagino savivaldybės administracija kartu su Projekto partneriu Daugpilio miesto savivaldybe 2023 m. kovo 27 d. pateikė paraišką pagal Interreg VI-A Latvia–Lithuania Programą 2021–2027 (toliau – LatLit programa), kurios siektini rezultatai atitinka LatLit programos IV prioriteto – „Ekonominis turizmo ir paveldo potencialas“.Projekto trukmė – 24 mėn. 2023 m. lapkričio 10 d. buvo gautas iš Latvijos Respublikos aplinkos apsaugos ir regioninės plėtros ministerijos sprendimas Nr. 5-54/6462, kuris informavo dėl Projekto finansavimo skyrimo.
2024 m. buvo sutvarkyta slidinėjimo trasa miško masyve 1761,12 m., Visagine, nupirktas ir pristatytas keturratis bei įvyko mokymai Daugpilyje, skirti turizmo specialistams ir savivaldybių darbuotojams, dirbantiems miestų plėtros srityje. 2025 buvo įsigyta 6 vnt. slidžių  ir 6 vnt. riedslidžių komplektų, įvyko slidinėjimo trasos atidarymas, buvo organizuoti gerosios patirties vizitai su Daugpilio savivaldybe (pagrindiniu partneriu) ir nufilmuoti vaizdo įrašai apie Visagino ir Daugpilio žiemos turizmą. Projektų veiklų įgyvendinimas baigiaisi 2026 m. sausio 31 d. 
</t>
  </si>
  <si>
    <t>1761,12</t>
  </si>
  <si>
    <t>Koordinuotai teikiamų paslaugų tikslas – sudaryti palankias sąlygas vaiko gerovei, padedant jo tėvams (globėjams, rūpintojams) kurti saugią aplinką, užtikrinti gyvenimo, asmeninių bei socialinių ryšių kokybę.
Koordinuotai teikiamų paslaugų vaikams ir jų tėvams (globėjams, rūpintojams) poreikis atsiranda, kai pavienės, atskirai teiktos ar teikiamos švietimo pagalbos, socialinės ar sveikatos priežiūros paslaugos yra neveiksmingos, neefektyvios ir neužtikrina vaiko gerovės.
Koordinuotai teikiamų paslaugų vaikui ir šeimai plėtros tikslai:
1. Plėtoti trūkstamas bei nepakankama apimtimi teikiamas, tačiau reikalingas švietimo pagalbos, socialinės ir sveikatos priežiūros paslaugas įtraukties didinimui.
2. Didinti prevencinių švietimo pagalbos, socialinės ir sveikatos priežiūros paslaugų kokybę ir prieinamumą, ieškant inovatyvių paslaugų teikimo formų bei įvairesnių teikėjų.
3. Didinti tarpinstitucinį bendradarbiavimą, užtikrinant informacijos apie koordinuotai teikiamas paslaugas prieinamumą.</t>
  </si>
  <si>
    <t>R-05-05-04-01</t>
  </si>
  <si>
    <r>
      <t>2026</t>
    </r>
    <r>
      <rPr>
        <b/>
        <sz val="7"/>
        <color rgb="FF7030A0"/>
        <rFont val="Arial"/>
        <family val="2"/>
      </rPr>
      <t xml:space="preserve"> metų asignavimų ir kitų lėšų poreikis</t>
    </r>
  </si>
  <si>
    <r>
      <t>2027</t>
    </r>
    <r>
      <rPr>
        <b/>
        <sz val="7"/>
        <color rgb="FF7030A0"/>
        <rFont val="Arial"/>
        <family val="2"/>
      </rPr>
      <t xml:space="preserve"> metų asignavimų ir kitų lėšų poreikis</t>
    </r>
  </si>
  <si>
    <r>
      <t>2028</t>
    </r>
    <r>
      <rPr>
        <b/>
        <sz val="7"/>
        <color rgb="FF7030A0"/>
        <rFont val="Arial"/>
        <family val="2"/>
      </rPr>
      <t xml:space="preserve"> metų asignavimų ir kitų lėšų poreikis</t>
    </r>
  </si>
  <si>
    <t xml:space="preserve">03.01.02.01. (TP)
Pakoreguotas priemonės pavadinimas </t>
  </si>
  <si>
    <t xml:space="preserve">Komercinis pasiūlymas su PVM . Darbų prijungimo sąmata reikalinga </t>
  </si>
  <si>
    <t xml:space="preserve">2025 m. greičiausiai nebus baigtas. Dalis lėšų bus reikalinga 2026 m. </t>
  </si>
  <si>
    <t>2025-10-20 ((4.101 Mr)-9-1676</t>
  </si>
  <si>
    <t xml:space="preserve">Biudžetinių įstaigų poreikis </t>
  </si>
  <si>
    <t>2025-10-21 (4.101 Mr)-1686</t>
  </si>
  <si>
    <t xml:space="preserve">Viešųjų įstaigų poreikis </t>
  </si>
  <si>
    <t>10.02.05.04. (TP)
Nauja priemonė</t>
  </si>
  <si>
    <t>10.02.05.05. (TP)
Nauja priemonė</t>
  </si>
  <si>
    <t>10.02.05.03. (TP)
Nauja priemonė</t>
  </si>
  <si>
    <t>R-10-02-05-05</t>
  </si>
  <si>
    <t>R-10-02-05-04</t>
  </si>
  <si>
    <t>R-10-02-05-03</t>
  </si>
  <si>
    <t xml:space="preserve">10.02.04.01. (TP)
Nauja priemonė </t>
  </si>
  <si>
    <t>100/20</t>
  </si>
  <si>
    <t xml:space="preserve">5000 reali suma pagal Mazintės apskaičiavimus </t>
  </si>
  <si>
    <t xml:space="preserve">Parengtų techninių projektų skaičius </t>
  </si>
  <si>
    <r>
      <rPr>
        <i/>
        <sz val="9"/>
        <color theme="1"/>
        <rFont val="Arial"/>
        <family val="2"/>
      </rPr>
      <t>2025 metais įrengiamo apšvietimo kabelio ilgis 2072m, įrengiamos 5 metrų aukščio cinkuotos plieninės apšvietimo 
atramos su šviestuva</t>
    </r>
    <r>
      <rPr>
        <i/>
        <sz val="9"/>
        <rFont val="Arial"/>
        <family val="2"/>
      </rPr>
      <t xml:space="preserve">is 67 vnt, ir 8 metrų aukščio cinkuotos plieninės apšvietimo atramos su šviestuvais 3 vnt.  </t>
    </r>
    <r>
      <rPr>
        <b/>
        <i/>
        <sz val="9"/>
        <color rgb="FF7030A0"/>
        <rFont val="Arial"/>
        <family val="2"/>
      </rPr>
      <t xml:space="preserve">
Likusi trasos apšvietimo dalis bus daroma iš funkcinės zonos VIZA projekto  ir spinta bei kitos išlaidos </t>
    </r>
  </si>
  <si>
    <t>Kosmoso g. rekonstravimas</t>
  </si>
  <si>
    <t xml:space="preserve">Savivaldybės viešųjų pastatų, taikant energijos išteklių panaudojimo efektyvumo didinimo priemones, modernizavimas
</t>
  </si>
  <si>
    <t xml:space="preserve">VšĮ Visagino ekonomikos plėtros agentūros poreikis </t>
  </si>
  <si>
    <t>R-02-01-02-07</t>
  </si>
  <si>
    <r>
      <t xml:space="preserve">02.01.02.07 (PP)
</t>
    </r>
    <r>
      <rPr>
        <b/>
        <sz val="9"/>
        <color theme="1"/>
        <rFont val="Arial"/>
        <family val="2"/>
      </rPr>
      <t xml:space="preserve">Nauja priemonė </t>
    </r>
  </si>
  <si>
    <r>
      <t xml:space="preserve">02.01.02.06 (PP)
</t>
    </r>
    <r>
      <rPr>
        <b/>
        <sz val="9"/>
        <color theme="1"/>
        <rFont val="Arial"/>
        <family val="2"/>
      </rPr>
      <t xml:space="preserve">Nauja priemonė </t>
    </r>
  </si>
  <si>
    <t>R-02-01-02-06</t>
  </si>
  <si>
    <t xml:space="preserve">Visagino savivaldybei papildomai perduotų, vietinės reikšmės kelių priežiūrai </t>
  </si>
  <si>
    <t xml:space="preserve">Sanitarija </t>
  </si>
  <si>
    <t>Tūkstantmečio mokyklų Visagino ir Ignalinos rajono savivaldybių švietimo pažangos plane Visagino savivaldybei numatytų priemonių įgyvendinimas proc., nuo visų planuotų įgyvendinti (AŠ NEŽINAU KAIP PARAŠYTI RODIKLIUS. IŠ VISO RODIKLIŲ BUVO 19 (4 BAZINIAI, 6 PASIRINKTI IR 9 UNIKALUS). NEPASIEKTI 3.5. RODIKLIAI. TAI PROCENTALIAI ĮGYVENDINTA APIE 81,6 PROC.)</t>
  </si>
  <si>
    <t>81,6</t>
  </si>
  <si>
    <t xml:space="preserve">Moksleivių dainų šventė 120 dalyvių
</t>
  </si>
  <si>
    <t>Lietuvos vaikų ir jaunimo chorų festivalis "Skambantys šilai"  (organizavimas). Planuojama, kad dalyvaus 10 chorų</t>
  </si>
  <si>
    <t>Kelių priežiūros ir plėtros programa</t>
  </si>
  <si>
    <t>2025-03-24 Via Lietuva generalinio direktoriaus įsakymas Nr. VE-25-40 2026, 2027 metais preliminariai planuojama Visagino savivaldybei skirti 1.087,3 tūkst. Eu</t>
  </si>
  <si>
    <t>Nauja priemonė, eismo saugumui užtikrinti. Netinkamos finansuoti lėšos iš KPPP, įvažiavimai į kiemus Nr. 121 ir Nr.127</t>
  </si>
  <si>
    <t>Reikia tikslinti miesto bendrąjį planą, geokupolo galimybių studijos rengti nereikia, nes ir taip aišku, kad  mažojo futbolo stadiono nėra dabar galimybės uždengti geokupolu</t>
  </si>
  <si>
    <t>10.02.05.06. (TP)
Nauja priemonė</t>
  </si>
  <si>
    <t>R-10-02-05-06</t>
  </si>
  <si>
    <t xml:space="preserve">Visagino miesto švieslentės su skulptūra „Gervė“ projektavimo ir remonto darbai </t>
  </si>
  <si>
    <t>1) Sedulinos al. 13 namo išpirkimas iš savininko. 2) Butų ir kitų patalpų išpirkimas iš Festivalio g. 6,8 namų savininkų</t>
  </si>
  <si>
    <t>Nauja priemonė, kraštovaizdžiui sutvarkyti, 2025-09-18 TS-144 (Sedulinos al. 13 namo griovimas)</t>
  </si>
  <si>
    <t xml:space="preserve">Projekto veiklų įgyvendinimas baigtas 2025 m. birželio 30 d. </t>
  </si>
  <si>
    <t xml:space="preserve">Įgyvendinant Funkcinės zonos Visagino savivaldybės, Ignalinos ir Zarasų rajonų savivaldybių teritorijose (VIZA) 2024–2029 m. strategiją, patvirtintą Visagino savivaldybės tarybos 2024 m. birželio 20 d. sprendimu Nr. TS-105 „Dėl Funkcinės zonos Visagino savivaldybės, Ignalinos ir Zarasų rajonų savivaldybių teritorijose (VIZA) 2024–2029 m. strategijos patvirtinimo“ 2026 m. bus tęsiamas projekto veiklų įgyvendinimas. 2025 m. buvo pateikta paraiška projekto finansavimui gauti  ir pasirašyta projekto finansavimo ir administravimo sutartis. Planuojama kompensuoti 141 987, 06 Eur už jau atliktas veiklas  (planuojama deklaruoti suma sudaro  214 340 Eur).  Vykdant Niutono kambarių plėtrą planuojama įrengti likusią patalpų dalį, įsigyti  4 naujus modulius: modulis „Išradėjas“; 2) modulis „Paieška ir Gelbėjimas“; 3) modulis „Misija įmanoma“ 4) modulis „Skaičiai pakibę ore“. Projekto pradžia 2025 m. II ketvirtis, pabaiga 2027 m. II ketvirtis. Bendra projekto vertė 482 353 Eur, iš jų Europos Sąjungos lėšos  410 000  Eur, savivaldybės biudžeto lėšos 72 353 Eur.  Projekto pareiškėjas ir vykdytojas Visagino savivaldybės administracija. </t>
  </si>
  <si>
    <t xml:space="preserve">Projekto veiklose dalyvavusių ugdymo įstaigų skaičius </t>
  </si>
  <si>
    <t>Sociokultūrinių bendruomenės poreikių
 tenkinimas, laisvalaikioorganizavimas</t>
  </si>
  <si>
    <t>Neįgaliųjų asmenų poilsiui užtikrinti sukurtos infrastruktūros priežiūra</t>
  </si>
  <si>
    <t xml:space="preserve">Teritorijų priežiūra Sanitarija </t>
  </si>
  <si>
    <t xml:space="preserve">Programoje numatytų įgyvendinti priemonių įgyvendinimas, proc. /
Dalyvavusių asmenų skaičius </t>
  </si>
  <si>
    <t xml:space="preserve">05.03.01.08 (TP)
Nauja priemonė </t>
  </si>
  <si>
    <t>295069,90</t>
  </si>
  <si>
    <t>578,56</t>
  </si>
  <si>
    <t>1649221,73</t>
  </si>
  <si>
    <r>
      <t xml:space="preserve"> </t>
    </r>
    <r>
      <rPr>
        <sz val="9"/>
        <rFont val="Arial"/>
        <family val="2"/>
      </rPr>
      <t>Sveikatos priežiūros įstaigos, įgyvendinusios sveikatos priežiūros specialistų įgalinimo, pritraukimo ir išlaikymo projektus</t>
    </r>
  </si>
  <si>
    <t xml:space="preserve">Lietuvos Respublikos sveikatos apsaugos ministerija patvirtino  Sveikatos priežiūros kokybės ir efektyvumo didinimo plėtros programos pažangos priemonės Nr. 11-002-02-11-01 „Gerinti sveikatos priežiūros paslaugų kokybę ir prieinamumą“ finansavimo sąlygų aprašą bei iki 2024 m. rugsėjo 30 d. savivaldybes buvo kviečiamos  teikti projektų įgyvendinimo planus. Pagal finansavimo sąlygų aprašą gali būti remiamos šios veiklos:
- sveikatos centro efektyvaus veiklos organizavimo ir įgyvendinimo užtikrinimas;
 - sveikatos centro paslaugų teikimą koordinuojančiosios asmens sveikatos priežiūros įstaigos, nurodytos sveikatos centro bendradarbiavimo sutartyje, funkcijų vykdymo užtikrinimas;
- efektyvių paslaugų teikimo modelių (metodų), gerinančių sveikatos priežiūros paslaugų kokybę ir prieinamumą pacientams, sergantiems viena ar keliomis lėtinėmis neinfekcinėmis ligomis;
-pacientų srautų valdymo ir (ar) paslaugų teikimo priemonių, kad konkrečiam pacientui būtų užtikrintas vientisas (taikant žaliojo koridoriaus principą) visų reikiamų sveikatos centro paslaugų sąrašo paslaugų suteikimas per kuo trumpesnius terminus, įgyvendinimas;
Maksimali projekto įgyvendinimo vertė - 276410 Eur, iš jų finansuojamąją  dalį  sudaro 100 proc. dotacija. Veiklos turi būti baigtos įgyvendinti iki 2028 m. vasario 29 d.  Projekto partneris - Visagino savivaldybės sveikatos centras. </t>
  </si>
  <si>
    <t>Parengtų techninių projektų skakičius</t>
  </si>
  <si>
    <t xml:space="preserve">Visagino savivaldybės 2026 m. aplinkos apsaugos rėmimo specialiosios programos biudžeto išlaidos </t>
  </si>
  <si>
    <t>Visagino savivaldybės 2025 m. aplinkos apsaugos rėmimo specialiosios programos biudžeto išlaidos (likučio lėšos)</t>
  </si>
  <si>
    <t>Įgyvendinant šią priemonę numatoma modernizuoti Visagino savivaldybės asmens sveikatos priežiūros įstaigų infrastruktūrą, atnaujinti medicininę įrangą ir diegti šiuolaikinius technologinius sprendimus, siekiant didinti teikiamų paslaugų kokybę, prieinamumą ir pacientų saugą. Šios veiklos prisidės prie efektyvesnio paslaugų teikimo, geresnių darbo sąlygų sveikatos priežiūros specialistams bei tolygesnės sveikatos priežiūros plėtros savivaldybėje.</t>
  </si>
  <si>
    <t>29</t>
  </si>
  <si>
    <t>3020</t>
  </si>
  <si>
    <t>2920</t>
  </si>
  <si>
    <t>2856</t>
  </si>
  <si>
    <t>672</t>
  </si>
  <si>
    <t>16,25</t>
  </si>
  <si>
    <t xml:space="preserve">Vadovaujantis Lietuvos Respublikos socialinės paramos mokiniams įstatymu mokiniams, kurių vidutinės bendrai gyvenančių asmenų pajamos vienam asmeniui per mėnesį mažesnės kaip 1,5 VRP, išimties atvejais mažesnės kaip 2 VRP arba 2,5 VRP, skiriamas nemokamas maitinimas mokykloje. Įgyvendinant šią priemonę dalyvauja: lopšelis-darželis „Auksinis raktelis“,  lopšelis-darželis „Gintarėlis“, lopšelis-darželis „Ąžuoliukas“, Visagino „Žiburio“ pagrindinė mokykla, Visagino „Atgimimo“ gimnazija, Visagino Draugystės progimnazija, Visagino „Gerosios vilties“ progimnazija, Visagino „Verdenės“ gimnazija.  Mokinai, kurie mokosi mokyklose pagal priešmokyklinio ugdymo programą ir pagal pradinio ugdymo programą pirmoje ir antroje klasėse, turi teisę į nemokamus pietus nevertinant pajamų. </t>
  </si>
  <si>
    <t>975</t>
  </si>
  <si>
    <t>970</t>
  </si>
  <si>
    <t>967</t>
  </si>
  <si>
    <t>535</t>
  </si>
  <si>
    <t>103</t>
  </si>
  <si>
    <t>109</t>
  </si>
  <si>
    <t>8/43</t>
  </si>
  <si>
    <t>2800</t>
  </si>
  <si>
    <t>2300</t>
  </si>
  <si>
    <t>38</t>
  </si>
  <si>
    <t>39</t>
  </si>
  <si>
    <t>VPSPC, Visagino ligoninė, Sedulinos SC</t>
  </si>
  <si>
    <t xml:space="preserve">Projektas  įgyvendinamas 2021-2027 m.  Europos Sąjungos investicijų programos lėšomis.  2025 m. spalio 13 d. projekto veiklų vykdymo pradžia. Projekto pabaiga 2027 m. spalio 31 d. Projektą įgyvendina UAB Utenos regiono atliekų tvarkymo centras. Projekto partneris - Visagino savivaldybės administracija. Įgyvendinant projektą planuojamos šios veiklos:
1) Numatoma įrengti 1 naują DGASA aikštelę Visagine;
2) Visuomenės, regiono ir (ar) savivaldybės gyventojų informavimas skatinant rūšiuojamąjį atliekų surinkimą.
Bendra projekto vertė 1769,456 Eur, iš jų ES lėšos 1504,038, įmonės lėšos 265,418 Eur. </t>
  </si>
  <si>
    <t xml:space="preserve">2024-09-04 CPVA ir Visagino savivaldybės administracija pasirašė projekto „Visagino savivaldybės sveikatos centro sveikatos priežiūros paslaugoms teikti reikiamos infrastruktūros modernizavimas“ Nr. 09-022-P-0024 sutartį. Projekto tikslas - bendradarbiaujant Visagino savivaldybėje veikiančioms sveikatos priežiūros įstaigoms užtikrinti savivaldybėje gyvenantiems pacientams prieinamas ir kokybiškas  sveikatos priežiūros paslaugas. Projekto veiklų įgyvendinimo pabaiga 2026 m. Bendra projekto įgyvendinimo vertė 870 668,98 Eur ES ir bendrojo finansavimo lėšų. Projekto partneriai VšĮ Visagino ligoninė ir VšĮ Visagino pirminės sveikatos priežiūros centras. 
</t>
  </si>
  <si>
    <t>Visagino savivaldybės 2025 metų konsoliduotųjų ataskaitų rinkinio, savivaldybės lėšų ir turto naudojimo, savivaldybės rinkliavų veiklos ir viešojo sektoriaus subjekto/įmonės veiklos auditai</t>
  </si>
  <si>
    <r>
      <t xml:space="preserve">Autobusų stoties veiklos užtikrinimas. </t>
    </r>
    <r>
      <rPr>
        <b/>
        <i/>
        <sz val="9"/>
        <color rgb="FFFF0000"/>
        <rFont val="Arial"/>
        <family val="2"/>
      </rPr>
      <t xml:space="preserve"> </t>
    </r>
  </si>
  <si>
    <t xml:space="preserve">Įgyvendinant šią priemonę bus užtikrintas transporto paslaugų teikimas biudžetinėms ir pagal galimybes viešosioms įstaigoms, kurioms skirtas finansavimas iš savivaldybės biudžeto.
</t>
  </si>
  <si>
    <r>
      <t xml:space="preserve">PATVIRTINTA
Visagino savivaldybės tarybos                                        2026 m. vasario ___  d. sprendimu Nr. TS-_____
</t>
    </r>
    <r>
      <rPr>
        <sz val="9"/>
        <color rgb="FFFF0000"/>
        <rFont val="Arial"/>
        <family val="2"/>
      </rPr>
      <t xml:space="preserve">
</t>
    </r>
    <r>
      <rPr>
        <b/>
        <sz val="9"/>
        <color rgb="FFFF0000"/>
        <rFont val="Arial"/>
        <family val="2"/>
      </rPr>
      <t>PROJEKTAS</t>
    </r>
  </si>
  <si>
    <t>7,68</t>
  </si>
  <si>
    <t xml:space="preserve">Visagino "Gerosios vilties" progimnazija </t>
  </si>
  <si>
    <t>Transportas 3000 Eur.
Atributika ir kitos prekės ir paslaugos 500 Eur. (Planuojamas
dalyvavimas: vienas kolektyvas, visomis dienoms)</t>
  </si>
  <si>
    <t>Vilties gatvės laiptai į vaikų žaidimų miestelį</t>
  </si>
  <si>
    <t>Techninių eismo reguliavimo priemonių priežiūros ir įrengimo paslaugai</t>
  </si>
  <si>
    <t xml:space="preserve">Siekiant įgyvendinti šią priemonę 2026-2028 m. planuojama rengti strateginio planavimo bei rinkodaros dokumentus.  Įgyvendinant šią priemonę, pagal poreikį planuojama rengti savivaldybės objektų kompleksinio sutvarkymo koncepcijas ir vizualizacijas. Taip pat planuojama užsakyti saugos eismo auditą. </t>
  </si>
  <si>
    <t>07.01.01.05. (TP)
Nauja priemonė</t>
  </si>
  <si>
    <t xml:space="preserve">Įgyvendinant šią priemonę planuojama įrengti automatinius išorinius defibriliatorius (AID) Visagino savivaldybės   įstaigose. 2026 m. planuojama įrengti pastatuose, esančiuose Vilties g. 5A, Draugystės g. 10 B ir Parko g. 7. </t>
  </si>
  <si>
    <t>Įrengtų automatinių išorinių defibriliatorių (AID) skaičius</t>
  </si>
  <si>
    <t>rezervas d4l perskai2iavimo</t>
  </si>
  <si>
    <t xml:space="preserve">Projektai </t>
  </si>
  <si>
    <t xml:space="preserve">Įstaigos veikla </t>
  </si>
  <si>
    <t xml:space="preserve">2025 skirta </t>
  </si>
  <si>
    <t xml:space="preserve">2026 poreikis </t>
  </si>
  <si>
    <t>2026 siūloma skirti</t>
  </si>
  <si>
    <t>Savivaldybės 
biudžeto lėšos</t>
  </si>
  <si>
    <t>Jaunojo pedagogo klubas buvo 5000 Eur, prašoma 10000 Eur
Olimpadoms 4000 Eur
Robotikos olimpiada 3000 Eur
Mokinių laimėjusių olimpiadose apdovanojimui 1 000 Eur</t>
  </si>
  <si>
    <t>Mokesčių už komunalines paslaugas kompensavimas asmenims su negalia</t>
  </si>
  <si>
    <t>Gyvenamojo namą (unikalus Nr. 4400-0278-9502) Sedulinos al. 13 griovimas ir teritorijos sutvarkymas+Vilties g. 1 tvoros griovimas</t>
  </si>
  <si>
    <r>
      <t>Visagino savivaldybės administracija
(UAB Igalinos autobusų parkas,UAB ,,Zarasų autobusai",  UAB ,,Kautra", AB  Lietuvos geležinkeliai)</t>
    </r>
    <r>
      <rPr>
        <b/>
        <i/>
        <sz val="9"/>
        <color theme="1"/>
        <rFont val="Arial"/>
        <family val="2"/>
      </rPr>
      <t>(įstaigos veikla)</t>
    </r>
  </si>
  <si>
    <r>
      <t>Visagino rekreacijos paslaugų centras</t>
    </r>
    <r>
      <rPr>
        <b/>
        <i/>
        <sz val="9"/>
        <rFont val="Arial"/>
        <family val="2"/>
      </rPr>
      <t xml:space="preserve"> (įstaigos veikla)</t>
    </r>
  </si>
  <si>
    <t>Transporto paslaugų teikimas savivaldybės biudžetinėms įstaigoms, kitiems juridiniams ir fiziniams asmenims (įstaigos veikla)</t>
  </si>
  <si>
    <t>Gerinti sąlygas ugdyti fiziškai aktyvią visuomenę, remontuojant, atnaujinant (modernizuojant) ir (arba) rekonstruojant esamų sporto bazių infrastruktūrą Visagino savivaldybėje</t>
  </si>
  <si>
    <t xml:space="preserve">Organizuoti paviljono  (siurblinės) , vandens ėmyklos su siurblinės įranga, vandentiekio tinklų tieisimo, privažiavimo (aptarnavimo) kelio įrengimo darbus ir kontroliuoti jų vykdymą </t>
  </si>
  <si>
    <t xml:space="preserve">be medicinos įstaigų </t>
  </si>
  <si>
    <t xml:space="preserve">Įgyvendinant priemonę planuojama pasiekti Visagino centrinio stadiono A lygos kategoriją.
Paviljono  (siurblinės) , vandens ėmyklos su siurblinės įranga, vandentiekio tinklų tieisimo, privažiavimo (aptarnavimo) kelio įrengimo darbai sukontraktuoti 2025 metais (2025-10-31 sutartis Nr. 5-534 UAB "Gensera").  </t>
  </si>
  <si>
    <r>
      <t xml:space="preserve">skirtumas tarp
 skirto 2025 ir siūlomo skirti 2026 Eur  </t>
    </r>
    <r>
      <rPr>
        <b/>
        <sz val="10"/>
        <rFont val="Arial"/>
        <family val="2"/>
      </rPr>
      <t>(KITA VEIKLA)</t>
    </r>
  </si>
  <si>
    <r>
      <t xml:space="preserve">skirtumas tarp
 skirto 2025 ir siūlomo skirti 2026 Eur  </t>
    </r>
    <r>
      <rPr>
        <b/>
        <sz val="10"/>
        <rFont val="Arial"/>
        <family val="2"/>
      </rPr>
      <t>(PROJEKTAI)</t>
    </r>
  </si>
  <si>
    <t>Viso Eur</t>
  </si>
  <si>
    <r>
      <t xml:space="preserve">Miesto viešųjų erdvių mažosios
architektūros įrengimas ir tvarkymas </t>
    </r>
    <r>
      <rPr>
        <b/>
        <i/>
        <sz val="9"/>
        <color rgb="FF7030A0"/>
        <rFont val="Arial"/>
        <family val="2"/>
      </rPr>
      <t>(skulptūra)</t>
    </r>
  </si>
  <si>
    <t xml:space="preserve">Projekto „Rūpestingos bendruomenės" įgyvendinimas </t>
  </si>
  <si>
    <t>07.01.01.04.-1 (TP)</t>
  </si>
  <si>
    <t xml:space="preserve">191342858 </t>
  </si>
  <si>
    <t xml:space="preserve">Naujų informacinių sistemų įsigijimas, kūrimas, plėtra, palaikymas </t>
  </si>
  <si>
    <t xml:space="preserve">90 proc. </t>
  </si>
  <si>
    <t>≥80</t>
  </si>
  <si>
    <t xml:space="preserve">VšĮ Visagino biatlono centras </t>
  </si>
  <si>
    <t>Gręžinių pastatų atnaujinimas</t>
  </si>
  <si>
    <t>Eksponatų, rinkinių fondo sisteminimas, registravimas Lietuvos integralioje muziejų
infmacinėje sistemoje (LIMIS) - sistemoje užregistruotų saugomų vertybių skaičius per
metus</t>
  </si>
  <si>
    <t>Įgyvendintų iniciatyvų  skaičius</t>
  </si>
  <si>
    <t>Lankytojų skaičius per metus</t>
  </si>
  <si>
    <t>iš viso darželiams</t>
  </si>
  <si>
    <t xml:space="preserve">iš viso mokykloms </t>
  </si>
  <si>
    <t>Kūrybos menų akademija</t>
  </si>
  <si>
    <t>ŠPT</t>
  </si>
  <si>
    <t xml:space="preserve">VšĮ Visagino futbolo centras </t>
  </si>
  <si>
    <t>reprezentaciniu komandu finansavimas</t>
  </si>
  <si>
    <t>Socialinių paslaugų centras (kita veikla)</t>
  </si>
  <si>
    <t>Šeimos ir vaiko gerovės centras (kita  veikla)</t>
  </si>
  <si>
    <t>SB (ŠP)</t>
  </si>
  <si>
    <t>Savivaldybės administracijos nepaskirstytos lėšos 2,4 proc</t>
  </si>
  <si>
    <t>SB 
(ŠP-KV)</t>
  </si>
  <si>
    <r>
      <t>Autobusų stoties veiklos užtikrinimas (</t>
    </r>
    <r>
      <rPr>
        <b/>
        <i/>
        <sz val="9"/>
        <rFont val="Arial"/>
        <family val="2"/>
      </rPr>
      <t>įstaigos  veikla</t>
    </r>
    <r>
      <rPr>
        <i/>
        <sz val="9"/>
        <rFont val="Arial"/>
        <family val="2"/>
      </rPr>
      <t>)</t>
    </r>
  </si>
  <si>
    <t>06.02.01.11. (PP)</t>
  </si>
  <si>
    <t>Projekto „Pagalba vaikams su negalia Lietuvoje” įgyvendinimas 
(Nauja priemonė)</t>
  </si>
  <si>
    <t>Vaikų su  negalia skaičius, kuriems turi būti suteiktos bendruomeninės ilgalaikės kompleksinės pagalbos 
paslaugos per Projekto laikotarpį</t>
  </si>
  <si>
    <t>Pokytis Eur</t>
  </si>
  <si>
    <t>Pokytis Proc</t>
  </si>
  <si>
    <t xml:space="preserve">
2028  SB</t>
  </si>
  <si>
    <t xml:space="preserve">Siekiant kurti palankią gyvenamąją aplinką, gerinti fizinio aktyvumo sąlygas bei pritaikyti sporto infrastruktūrą aukščiausio lygio futbolo varžyboms Visagine atnaujinamas centrinis stadionas. Po atnaujinimo darbų Visaginas taps patrauklia vieta rengti aukšto lygio sporto renginiams. Įgyvendinant priemonę planuojama pasiekti Visagino centrinio stadiono A lygos kategoriją.
2026 m. bus baigti įgyvendinti paviljono  (siurblinės), vandens ėmyklos su siurblinės įranga, vandentiekio tinklų tieisimo, privažiavimo (aptarnavimo) kelio įrengimo darbai. Sutartis darbų atlikimui pasirašyta 2025 metais (2025-10-31 sutartis Nr. 5-534 UAB "Gensera").  
</t>
  </si>
  <si>
    <t>Vienkartinių, tikslinių, periodinių ir sąlyginių pašalpų ukrainiečių gyventojams teikimas</t>
  </si>
  <si>
    <t>KV (2027)</t>
  </si>
  <si>
    <t>KV(2028)</t>
  </si>
  <si>
    <t>ĮV (2027)</t>
  </si>
  <si>
    <t>ĮV (2028)</t>
  </si>
  <si>
    <t>KV (2028)</t>
  </si>
  <si>
    <t>KT (2027)</t>
  </si>
  <si>
    <t>(KT) 2028</t>
  </si>
  <si>
    <t>IV 2027</t>
  </si>
  <si>
    <t>IV 2028</t>
  </si>
  <si>
    <t xml:space="preserve">Kraštiečių suoliuko įrengimas ir pastatymas </t>
  </si>
  <si>
    <r>
      <t xml:space="preserve">Įgyvendinant priemonę bus organizuojami 7 maršrutai:
1. Vietinio (priemiestinio) reguliaraus susisiekimo maršrutai Nr. 1-4 (Visagino miestas-sodininkų bendrijos „Pavasaris“, „Statybininkas“, „Vyšnia“ ir  Kapinės)
2. Vietinio reguliaraus susisiekimo maršrutas Nr. 5 (Visagino miestas - Lapušiškės kaimas). 
3. Vietinio (miesto) reguliaraus susisiekimo maršrutas Nr. 8 (Visagino miestas)
</t>
    </r>
    <r>
      <rPr>
        <sz val="9"/>
        <color theme="1"/>
        <rFont val="Arial"/>
        <family val="2"/>
      </rPr>
      <t xml:space="preserve">4. Vietinio reguliaraus susisiekimo maršrutas Nr. 6 (Visagino miestas - Makaravo kaimas).
Taip pat užtikrintas autobusų stoties veiklos organizavimas, iki bus atrinktas operatorius. </t>
    </r>
    <r>
      <rPr>
        <sz val="9"/>
        <rFont val="Arial"/>
        <family val="2"/>
      </rPr>
      <t xml:space="preserve">
</t>
    </r>
  </si>
  <si>
    <t>Esant poreikiui būtų mokamos kompensacijos už autobuso bilietus pensininkams ar neįgaliesiems (nuolaidos nuo 50 proc. iki 80 proc.). Makaravo kaimas mokamas maršrutas 1 Eur - 1 kartas, 1 mėn. 30 Eur.</t>
  </si>
  <si>
    <t>Suteiktos nuolaidos keleiviams pagal poreikį, kurie turi teisę gauti nuolaidą</t>
  </si>
  <si>
    <t>Suteiktos paslaugos autobusų stoties lankytojams pagal poreikį</t>
  </si>
  <si>
    <t>Visagino savivaldybės administracija įgyvendina projektą „Darnaus ir saugaus judumo vystymas Visagine“. 2025 m. vasario 6 d. buvo pasirašyta projekto Nr. 29-102-P-0001 finansavimo sutartis.
Projekto veiklos:
-Kryptinio Visagino miesto pėsčiųjų perėjų apšvietimo įrengimas, 19 vnt.;
-Viešojo transporto stotelių pritaikymas specialiųjų poreikių turintiems žmonėms, 3 vnt.;
-Miesto pėsčiųjų takų pritaikymas specialiųjų poreikių turintiems žmonėms, 7 vnt.;
-Miesto pėsčiųjų perėjų ir sankryžų pritaikymas specialiųjų poreikių turintiems žmonėms, 33 vnt;.
-Informacinių švieslenčių pagrindinėse Visagino autobusų stotelėse įrengimas, 12 vnt.;
Projekto bendra vertė sudaro 3 242 262,40 Eur, iš kurių 2 712 350,00 Eur sudaro projektui skiriamos finansavimo lėšos.
Projekto veiklų vykdymo pradžia 2025-02 mėn., pabaiga – 2027-02 mėn.</t>
  </si>
  <si>
    <t>Visagino savivaldybės administracija įgyvendina projektą „Dviračių ir pėsčiųjų takų infrastruktūros plėtra Visagine (I etapas)“.  2025 m. balandžio 16 d. pasirašyta projekto Nr. 29-109-P-0001 finansavimo sutartis.
Projekto veiklos:
-Dviračio tako nuo geležinkelio stoties iki Taikos pr. ir Energetikų g. sankryžos rekonstravimas ir įrengimas (~2,73 km);
-Dviračių tako Kosmoso g. nuo autobusų stoties (nuo Parko g. iki Taikos pr.) rekonstravimas ir įrengimas (~1,6 km);
-Dviračių-pėsčiųjų tako nuo Taikos pr. ir Energetikų g. sankryžos iki Eglinio g. ir valstybinės reikšmės kelio Nr. 177 sankryžos Visagino sav. (šalia valstybinės reikšmės kelio Nr. 5348) įrengimas, sujungiant Visagino miestą, pramonės teritorijas ir kaimiškas teritorijas (~2,2 km);
-Dviračių saugojimo aikštelių (uždaros aikštelės) – 10 vnt. ir dviračių laikymo stovų su stogeliu (atviros aikštelės) įrengimas – 30 vnt. 
Planuojama projekto vertė 3 593 567,12  Eur, iš jų ES  paramos lėšos 3 054 532,05, savivaldybės biudžeto lėšos 539 035,07 Eur.
Projekto veiklų vykdymo pradžia 2024-07 mėn., pabaiga – 2028-05-31 mėn.</t>
  </si>
  <si>
    <t xml:space="preserve">Visagino savivaldybės administracija rengiasi įgyvendinti projektą „Dviračių ir pėsčiųjų takų infrastruktūros plėtra Visagine (II etapas)“. 2025 m. buvo pradėtas vykdyti viešojo pirkimo konkursas dviračių takų įrengimo projektavimo paslaugoms įsigyti. 
Planuojamos įgyvendinti veiklos:
-Dviračių takų įrengimas iki priemiesčių/pramonės zonų Visagino savivaldybėje ir dviračių/bevariklio transporto takų tinklo sujungimas:
-Dviračių tako su apšvietimu link pramonės teritorijos Karlų k. nuo sankryžos Taikos pr. ir Energetikų g. iki valstybinės reikšmės kelio Nr. 177 (šalia valstybinės reikšmės kelio Nr. 113) įrengimas (~2,2 km);
-Dviračių tako nuo valstybinės reikšmės kelio Nr. 177 ir Nr. 5348 sankryžos, Visagino sav. įrengimas, sujungiant Visagino miestą su pramonės teritorijomis ir viešosiomis erdvėmis (~2 km);
-Dviračių tako nuo sankryžos Energetikų g. ir Jaunystės g. iki Gulbinio g. Magūnų k. (SB ,,Pavasaris“) Visagino sav. įrengimas, sujungiant Visagino miestą, pramonės teritorijas ir kaimiškas teritorijas (~1,15 km).
-Dviračių ir pėsčiųjų takų įrengimas ir atnaujinimas Visagino mieste:
-Dviračių/pėsčiųjų tako įrengimas (individualių namų kvartale) įrengimas (~2,33 km).
Planuojama projekto vertė 3 878 691 Eur, iš jų ES paramos lėšos 3 296 887 Eur, savivaldybės biudžeto lėšos 581 804 Eur. </t>
  </si>
  <si>
    <t>Priemonė įgyvendinama  KPP programos lėšomis  pagal su AB „Via Lietuva“   sudaromą finansavimo sutartį ir Visagino savivaldybės mero patvirtintą objektų sąrašą.  KPPP lėšomis 2026 m. numatomi vykdyti objektai.
1. Kosmoso g. rekonstravimas, techninio darbo projekto parengimas. 
2. Įvažiavimo į kiemą Nr. 308 tvarkymo darbai.
3.  Įvažiavimo į kiemą Nr. 121 tvarkymo darbai.
4.  Įvažiavimas į kiemą Nr. 127 tvarkymo darbai.
5. Laboratoriniai kokybės kontrolės bandymai, kelių su asfaltbetonio danga priežiūra, ženklinimas, kelio ženklai, gatvių asfaltbetonio dangos paprastasis remontas.
Taip pat planuojama keisti greičio mažinimo kalnelius Draugystės g., Kosmoso g., Statybininkų g.</t>
  </si>
  <si>
    <t xml:space="preserve">2019 m. Visagino mieste buvo įrengtos dvi elektromobilių įkrovimo aikštelės Parko g. 14 ir Taikos pr. 80A. 2022 m.  įrengtos dar trys elektromobilių įkrovimo prieigų aikštelės šalia pastatų Taikos pr. 7, Tarybų g. 12 ir Energetikų g. 20. 2026-2028 m. laikotarpiui  lėšos planuojamos esamų 5  aikštelių eksploatavimo mokesčiui, neįskaičiuojant mokesčio už elektros energiją, nes pasibaigus projektiniams įsipareigojimams automobilių krovimas visosoe aiktelėse yra mokamas. </t>
  </si>
  <si>
    <t xml:space="preserve">Pagal biudžetinių įstaigų ir miesto gyventojų prašymus remontuojami ypač blogos būklės šaligatviai, pėsčiųjų takai. 2024-10-02 pasirašyta 3 metų Rangos darbų sutartis Nr. 5-459, kurios vertė 750 000 Eur. Sutartis galioja iki 2027-10-02. Taip pat, planuojami sutvarkyti laiptai, esantys Vilties g. </t>
  </si>
  <si>
    <t>2026 m. automobilių stovėjimo aikštelių viešosiose teritorijose neplanuojama įrengti. Įvažiavimo į kiemą Nr. 207 ( nuo Veteranų g. iki Sedulinos al.23) statybos rangos darbų II-ą etapą planuojama tęsti baigus namo, esančio Veteranų g. 6 namo renovaciją.</t>
  </si>
  <si>
    <t xml:space="preserve">Lietuvos Respublikos energetikos ministerijos paskelbtame preliminariame kvietimų plane 2026 m. savivaldybių viešųjų pastatų atnaujinimui  kvietimų nenumatoma skelbti. Priemonės įgyvendinimui lėšos neplanuojamos. Jei 2027-2028 m. laikotarpyje bus paskelbti kvietimai projekto įgyvendinimo planus galės teikti  įstaigos turinčios energetinius auditus. 2025 m. energetiniai auditai buvo parengti pastatams,  esantiems Parko g. 14, Taikos pr. 23, Kosmoso g. 28 A. </t>
  </si>
  <si>
    <t xml:space="preserve">2025-10-24  sudaryta projektavimo darbų sutartis Nr. 5-529 su MB "Statybos projektų rengimo centras" dėl techninio projekto parengimo. Sutarties vertė 106 000 Eur. Numatomas pėsčiųjų takų, laiptų, poilsio aikštelių ir žaliųjų plotų, sporto aikštelių rekonstravimas. Projektavimo veiklas numatoma atlikti iki 2026 m. spalio mėnesio. Taip pat numatomos lėšos projekto ekpertizei atlikti. </t>
  </si>
  <si>
    <t xml:space="preserve">2026 m. planuojama įrengti vaikų žaidimų aikšteles  šalia daugiabučių gyvenamųjų namų, esančių Festivalio g. 1, ir šalia Draugystės g. 14 (V. Ščiurovo parke) . 
</t>
  </si>
  <si>
    <t xml:space="preserve">Įgyvendinant priemonę pagal poreikį ir esamas lėšas gali būti vykdomas:
-bendrojo ugdymo, neformaliojo ugdymo bei kitų mokymo (ugdymo) įstaigų patalpų remontas ir avariniai darbai;
-ikimokyklinio ugdymo įstaigų patalpų remontas ir avariniai darbai;
-sporto įstaigų patalpų remontas ir avariniai darbai;
-kultūros įstaigų patalpų remontas ir avariniai darbai;
-socialines paslaugas teikiančių įstaigų patalpų remontas ir avariniai darbai;
-savivaldybės administracijos patalpų remontas ir avariniai darbai;
-kitų įstaigų patalpų ir objektų remontas ir avariniai darbai.
</t>
  </si>
  <si>
    <t xml:space="preserve">Įgyvendinant priemonę bus vykdoma Sedulinos alėjoje, esančio  fontano „Saulutė", priežiūra ir administravimas. </t>
  </si>
  <si>
    <t>Sutvarkyta teritorija, m2</t>
  </si>
  <si>
    <t xml:space="preserve">2025-04-15 sudaryta projekto „Kitų inžinierinių statinių grupės, nesudėtingų statinių Parko g. 14, Visagine, supaprastinto rekonstravimo projektas" parengimo paslaugų sutartis  Nr. 5-181 su UAB „Želdynai" , kurios vertė 17 545 Eur. Projektavimo darbus planuojama baigti 2026 m. II ketvirtyje. 2026 m. III-IV ketvirtyje planuojama vykdyti teritorijos sutvarkymo darbų viešojo pirkimo konkursą ir planuojama pradėti vykdyti darbus. </t>
  </si>
  <si>
    <t xml:space="preserve">2025-08-11 su  UAB „Statybos projektai" sudaryta pastato, esančio Sedulinos al. 69 A, Visagine, kapitalinio remonto projekto,  siekiant pritaikyti pastatą asmenų su negalia poreikiams, parengimo paslaugų sutartis Nr. 5-426 , kurios vertė 39 446 Eur.  Projektavimo darbus planuojama baigti 2026 m. III ketvirtyje. 2026 m. III-IV ketvirtyje planuojama vykdyti kapitalinio remonto darbų viešojo pirkimo konkursą ir planuojama pradėti vykdyti darbus. </t>
  </si>
  <si>
    <t>Pastatų, pritaikytų asmenų su negalia poreikiams, skaičius</t>
  </si>
  <si>
    <t xml:space="preserve">2025-08-19 su  UAB „Projektų rengimo centras", sudaryta negyvenamojo, visuomeninių pastatų paskirties grupės, gydymo paskirties pastato Taikos pr. 15, Visagine, kapitalinio remonto (keičiant pastato paskirtį iš gydymo į kultūros) projekto parengimo paslaugų sutartis Nr. 5-437, kurios vertė 71 390 Eur. Projektavimo darbus planuojama baigti 2026 m. III ketvirtyje. 2026 m. III-IV ketvirtyje planuojama vykdyti kapitalinio remonto darbų viešojo pirkimo konkursą ir planuojama pradėti vykdyti darbus. </t>
  </si>
  <si>
    <t xml:space="preserve">2025 m. buvo atlikta Visagino miesto švieslentės su skulptūra „Gervė" statinio, esančio adresu Visaginas, Parko g. ekspertizė. Ekspertizės metu nustatyta, kad statinys yra avarinis, pažeisti esminiai statinio reikalavimai „Mechaninis atsparumas ir pastovumas“ ir „Naudojimo sauga“. Atsižvelgiant į tai, būtina įgyvendinti skubias saugos priemones (I etapas), o vėliau – parengti visapusiškus ilgalaikių pažaidų šalinimo sprendinius (II etapas). 2026 m. lėšos planuojamos projektavimui, 2027 m. remonto darbams. </t>
  </si>
  <si>
    <t xml:space="preserve">Lėšos planuojamos savivaldybės įnašo daliai, jeigu daugiabučio namo, kuriame yra savivaldybės būstas, savininkai priimtų sprendimą modernizuoti namą. 2023–2024 metais daugiabučiuose gyvenamuosiuose namuose buvo organizuoti balsavimai raštu. Gyventojai, gyvenantys šiais adresais: Kosmoso g. 42, Parko g. 25, Partizanų g. 10, Statybininkų g. 2, Taikos pr. 12, Taikos pr. 42, Tarybų g. 5, Vilties g. 7, Vilties g. 15, Visagino g. 2, Visagino g. 25, Parko g. 10 priėmė sprendimą dalyvauti daugiabučių namų atnaujinimo (modernizavimo) projekte bei investicinių planų rengime. UAB „Visagino būstas" informavo, kad 2026 m. poreikis programos įgyvendinimui yra 24 000 Eur. </t>
  </si>
  <si>
    <t xml:space="preserve">Įgyvendinant priemonę bus įsigyta 80 vnt. pastatų numerių ir gatvių pavadinimų lentelių. </t>
  </si>
  <si>
    <t xml:space="preserve">Savivaldybės gatvių apšvietimas
</t>
  </si>
  <si>
    <t>Planuojama remontuoti apšvietimo tinklų kabelines linijas, atlikti elektros varžų matavimus, elektros linijų ir apskaitos skydų montavimus, kitus elektros energijos tiekimo montavimo ir priežiūros darbus (eksploatavimo išlaidos). Įgyvendinant  Visagino gatvių apšvietimo sistemos modernizavimo projektą, buvo pakeista tik dalis virš 30 % kabelių ir kabelinių linijų, siekiant užtikrinti korektišką apšvietimo sistemos darbą, būtina tvarkyti sugedusius kabelius, taip pat eksploatuoti apšvietimo sistemas pramonės zonoje (nebuvo modernizuotos). Pagal gautus gyventojų prašymus tikslinga įrengti naujas linijas būtinų vietų apšvietimui.</t>
  </si>
  <si>
    <t xml:space="preserve">
2025 metais buvo vykdomi kolumbariumo išplėtimo  darbai,  buvo įrengtos dar 252 vietos (84 vnt. gelžbetonio elementų po 3 vietas) su šaligatvių įrengimu. 2026 m. darbus planuojama baigti bei prie kolumbariumų įrengti suoliukus, taip pat apželdinti šalią esančią teritoriją.</t>
  </si>
  <si>
    <t>2026 m. planuojama atlikti dangos profiliavimą:
-Karlų g.,  Karlų k.,
-Apvardų g., Tumelinos k., 
-Dūkšto g., Tumelinos k., 
-Skryto g., Tumelinos k., 
-Sodų g., Makaravo k., 
 -Ežerų g., Kalviškių k.
Taip pat planuojama įrengti dvi pralaidas, pagilinti griovius ir pašalinti medžių šakas nuo kelio pusės, kurios trukdo eismui  Ežerų g.  bei įrengti drenažą šalia Gulbinio g.</t>
  </si>
  <si>
    <t>2026 metais planuojama griauti daugiabutį gyvenamąjį namą Sedulinos al. 13 (2025-12-19 Visagino savivaldybės tarybos sprendimas TS-196), taip pat planuojama įsigyti butus-patalpas Visagine, Festivalio g. 6, 8 ir, esant poreikiui, kitus apleistus pastatus ir butus-patalpas.</t>
  </si>
  <si>
    <t xml:space="preserve">Nugriautų pastatų skaičius </t>
  </si>
  <si>
    <t xml:space="preserve">
Išpirktų pastatų/butų skaičius
 </t>
  </si>
  <si>
    <t xml:space="preserve">2025 m. balandžio 18 d. Visagino savivaldybės administracija ir VšĮ Vidaus reikalų ministerijos projektų valdymo agentūra pasirašė Valstybės gynybos fondo lėšomis finansuojamą projektą „Priedangų infrastruktūros plėtra Visagino savivaldybėje" (projekto kodas VRM-001-K-012). 2025 m. buvo pradėtas projekto veiklų įgyvendinimas. Projekte dalyvauja Visagino savivaldybės administracija, Visagino Atgimimo gimnazija, Visagino„Gerosios vilties" progimnazija, Visagino Draugystės progimnazija. 2025 m. visose įstaigose buvo atlikta konstrukcijų ekspertizė, įsigytos neįgaliųjų kėdutės. Taip pat Visagino „Gerosios vilties" progimnazijoje atlikti langų apsauginių tinklų įrengimo darbai. 2026 m. planuojama atlikti vėdinimo sistemos įrengimo ir sutvarkymo darbus, bei įsigyti 1  elektros generatorių. </t>
  </si>
  <si>
    <t xml:space="preserve">VšĮ  Vidaus reikalų ministerijos projektų valdymo agentūra  paskelbė kvietimą teikti projektų įgyvendinimo planus pagal Civilinės saugos stiprinimo ir plėtros programos veiklą „Priedangų infrastruktūros plėtra". Paraiškos gali būti teikiamos nuo 2025 m. rugsėjo 19 d. iki  2026 m. sausio 20 d. Projektų atrankos būdas - konkursas. Maksimali projektui skiriama suma iki 200 000 Eur. Orientacinė investicijų suma į vieną priedangą – ≤ 40 000 Eur. Finansuojamoji dalis iki 100 proc.  
Finansavimas gali būti skirtas tokiems priedangų įrengimo darbams kaip konstrukcijų ekspertizės atlikimas, statybos projekto parengimas, papildomų evakuacinių išėjimų įrengimas, el. generatorių įsigijimas ir įrengimas, vėdinimo sistemos įrengimas ar sutvarkymas, įėjimo ir išėjimo pritaikymas riboto judumo asmenims, apsauginių skydų langams įrengimas, konstrukcijų stiprinimas, priešgaisrinės saugos priemonių įrengimas ir kt. Projekto finansavimo sutartį planuojama pasirašyti 2026 m. kovo mėnesį. </t>
  </si>
  <si>
    <t>Integruoti teritorinio vystymo projektai</t>
  </si>
  <si>
    <t xml:space="preserve">Įgyvendinant Funkcinės zonos Visagino savivaldybės, Ignalinos ir Zarasų rajonų savivaldybių teritorijose (VIZA) 2024–2029 m. strategiją, 2025 m. buvo pradėtas įgyvendinti projektas „Bendradarbystės centro VIZA-CITY sukūrimas Visagine: socialinio verslumo ir kūrybinių industrijų centras su bendradarbystės erdvėmis". Siekiant įkurti bendradarbystės centrą VIZA-CITY planuojamas pastato, esančio Taikos pr. 23, Visagine, modernizavimas, suremontuojant ir įrengiant vidaus erdves (bendro naudojimo, renginių, individualaus darbo, ekspozicines erdves, administracines patalpas), sutvarkant lauko infrastruktūrą, įsigyjant būtinus baldus ir įrangą, skirtą smulkiajam ir vidutiniam verslui (toliau SVV), kuriančiam išmanaus/šiuolaikinio miesto technologijas (urbanistika, pramoninis produktų dizainas, kompiuterinis trimatis projektavimas, grafinis dizainas, dirbtinio intelekto srityje dirbančios įmonės), skaitmeninį turinį (socialinės medijos, audiovizualinių produktų kūrimas, tekstų kūrimas, smulkiatiražė leidyba), taip pat šio SVV konsultavimui verslo pradžios ir verslo vystymo klausimais, verslumo skatinimo renginiams.
Projekto įgyvendinimo pradžia 2025 m. IV ketvirtis, pabaiga 2028 m. IV ketvirtis. Bendra projekto vertė 1 708 308 Eur, iš jų 1 452 000,00 Eur Europos Sąjungos lėšos, 256 308 Eur savivaldybės biudžeto lėšos. Projekto pareiškėjas ir vykdytojas VšĮ Visagino ekonomikos plėtros agentūra. Partneris - Visagino savivaldybės administracija. 
2026 m. planuojamas projekto veiklų įgyvendinimas. </t>
  </si>
  <si>
    <t>10.02.%</t>
  </si>
  <si>
    <t xml:space="preserve">2023-03-30 Visagino savivaldybės taryba priėmė sprendimą Nr. TS-84 „Dėl pritarimo projekto „Individualių namų kvartalo vystymo susisiekimo komunikacijų  ir inžinerinių tinklų Visagino mieste įrengimas“ įgyvendinimui". Projekto tikslas – suprojektuoti ir įrengti naujo gyvenamųjų namų kvartalo, apimančio Gervės g., Ateities g., Tautų al., Šeimos g., Laisvės g., Visagino mieste, viešąją infrastruktūrą. Projekto įgyvendinimo laikotarpis – iki 2030 metų. Projektą įgyvendinančios institucijos – Visagino savivaldybės administracija, UAB „Visagino energija“, UAB „Visagino būstas“. Projekto įgyvendinimo užtikrinimui Visagino savivaldybės administracija privalo užtikrinti Visagino savivaldybės biudžeto lėšomis finansuojamą išlaidų dalį pagal Projekto skaičiuojamąsias kainas atitinkamiems etapams iki 2030 metų, reikalingą Projekto veikloms vykdyti ir Projekto rezultatams pasiekti. Iš viso suformuoti 99 sklypai mažaaukščių namų statybai, iš jų 2023 m. buvo parduota 32 sklypai, 2024 m. 8 sklypai. 2025 m. 7 sklypai.
2026 metais planuojama užbaigti rengti 3  techninius darbo projektus bei atlikti projektų ekspertizes ir pradėti statybos rangos darbų pirkimus. 
</t>
  </si>
  <si>
    <t xml:space="preserve">Atsižvelgiant į savivaldybės poreikį, bus rengiami žemės sklypų planai ir kadastriniai matavimai, įgyvendinantys Visagino savivaldybės ir Visagino miesto bendrųjų planų sprendinius. Preliminarus poreikis ~ 8 - 10 sklypų (vieneto kaina ~ 600) .
Nuo 2024 m. balandžio 22 d. Lietuvos Respublikos savivaldybių administracijos buvo kviečiamos teikti paraiškas paramai gauti, pagal Lietuvos Respublikos aplinkos ministro 2023 m. birželio 30 d. įsakymu Nr. D1-218 patvirtintą Plėtros programos Pažangos priemonės Nr. 02-001-06-08-04 „Skatinti miškų plėtrą ir darnų miškų sektoriaus vystymąsi“ veiklos „Miestų miškų sklypų suprojektavimas, suformavimas ir užregistravimas Nekilnojamojo turto registre“ finansavimo sąlygų aprašą.  Pažangos priemonės veiklos tikslas – sudaryti sąlygas savivaldybei valdyti patikėjimo teise ir racionaliau naudoti iki šiol nesuformuotuose žemės sklypuose esančius miestų miškus. Projekto įgyvendinimo trukmė 24 mėn. Visagino savivaldybės administracijai skirta 41475,10 Eur tikslinė negrąžintina išmoka. 2025 buvo  įregistruota 15 sklypų (217,56 ha).  2026 m. planuojama baigti projekto įgyvendinimo veiklas. </t>
  </si>
  <si>
    <t xml:space="preserve">2025 m. VšĮ Visagino turizmo plėtros centras parengė Ignalinos AE valdymo pulto simuliatoriaus kaip turizmo objekto vystymo koncepciją.  Vadovaujantis parengta koncepcija 2026 m. planuojama atlikti IAE valdymo pulto simuliatoriaus techninės būklės ekspertizę, įsigyti audio gido sistemos įrangą ir audio gido sistemos turinio kūrimo paslaugas, įrengti išmaniojo apšvietimo sistemą, apmokyti darbuotojus dirbti su audio gidais bei parengti viešinimo strategiją. </t>
  </si>
  <si>
    <t>Koncepcijoje numatytų įgyvendinti priemonių skaičius</t>
  </si>
  <si>
    <t>Įgyvendinant šią priemonę bus įgyvendinamas projektas „Laisvalaikio ir aktyvaus poilsio erdvės sukūrimas Jaunystės g. 4, Visagine". Po viešųjų pirkimų procedūrų 2024-10-31 sudaryta statybos rangos sutartis Nr. 5-495  dėl dalies Projekte numatytų darbų: paruošiamieji darbai ir sankasos įrengimas, t. y. kalno formavimas. 2026 metais planuojama užbaigti kalno formavimą ir pradėti vykdyti projekto II etapo darbų pirkimą. Per 2026 metus planuojama  pastatyti - pėsčiųjų dviračių takai - 1,84 km; automobilių stovėjimo aikštelė - 192 m2; aikštelės - 235 m2; laiptai - 20 m2; teritorijos apšvietimas - 90 šviestuvų;privažiavimo kelias - 0,03 km.</t>
  </si>
  <si>
    <t xml:space="preserve">Įgyvendinant Funkcinės zonos Visagino savivaldybės, Ignalinos ir Zarasų rajonų savivaldybių teritorijose (VIZA) 2024–2029 m. strategiją 2025 m. buvo pradėtas įgyvendinti projektas „Visagino gamtos objektų pritaikymas lankymui". Planuojamos veiklos:
 -tako per aukštapelkę įrengimas (pratęsimas) sujungiant Kukuižės ežero aukštapelkės pažintinį taką su  Visagino ežeru (įrengiant universalaus dizaino priemones);
- privažiavimo (priėjimo/parkavimo) prie paplūdimio infrastruktūros sutvarkymas prie  Visagino ežero;
- pėsčiųjų tako aplink Visagino ežerą per miško masyvą, poilsio/atokvėpio aikštelių įrengimas, ženklinimas;
- pėsčiųjų/slidinėjimo/riedučių trasos (sujungiant Kukuižės ežerą ir Gražutės regioninį parką)  modernizavimas, apšvietimo įrengimas, poilsio/atokvėpio aikštelių įrengimas, ženklinimas;
- audiogidų sistemos sukūrimas Visagino mieste (įveiklinant miesto erdves remiantis maršrutu „(Ne)Atominis Visaginas“).
Projekto pradžia 2025 m. IV ketvirtis, pabaiga 2028 m. IV ketvirtis. Bendra projekto vertė 2 203 537 Eur, iš jų Europos Sąjungos lėšos  1 862 604  Eur, savivaldybės biudžeto lėšos 340 933  Eur.  Projekto pareiškėjas ir vykdytojas Visagino savivaldybės administracija. Projekto partneris VšĮ Visagino turizmo plėtros centras. </t>
  </si>
  <si>
    <t xml:space="preserve">Įgyvendinant Funkcinės zonos Visagino savivaldybės, Ignalinos ir Zarasų rajonų savivaldybių teritorijose (VIZA) 2024–2029 m. strategiją  2026 m. bus pradėtas įgyvendinti projektas „Visagino kultūros objektų pritaikymas lankymui, įrengiant būtiną viešąją infrastruktūrą" . Planuojamos veiklos:
- Kultūros centro pritaikymas lankymui, kompleksiškai modernizuojant jo prieigas (aplink Vilties g. 3), nugriaunant apleistą pastatą, sutvarkant teritoriją, įrengiant priėjimus/privažiavimą/stovėjimo vietas, diegiant universalaus dizaino priemones, įrengiant WC);
- audiogidų sistemos sukūrimas Visagino mieste (įveiklinant miesto erdves remiantis virtualiu maršrutu atominisvisaginas.lt).
Projekto pradžia 2026 m. II ketvirtis, pabaiga 2029 m. IV ketvirtis. Bendra projekto vertė 623 869 Eur, iš jų Europos Sąjungos lėšos 530 289 Eur, savivaldybės biudžeto lėšos 93 580 Eur.  Projekto pareiškėjas ir vykdytojas Visagino savivaldybės administracija. Projekto partneris VšĮ Visagino turizmo plėtros centras. </t>
  </si>
  <si>
    <t xml:space="preserve">Įgyvendinant šią priemonę planuojama įrengti skulptūrą ir kraštiečių suoliuką miesto viešosiose erdvėse. 
Priemonės įgyvendinimas prisidės prie Strateginio plėtros plane suplanuoto veiksmo miesto urbanizuoto  kraštovaizdžio bendros erdvinės struktūros vieningumo, architektūros tapatumo ir savitumo vykdymas. </t>
  </si>
  <si>
    <t xml:space="preserve">Įsteigus Visagino rekreacijos paslaugų centro filialą „Visagino parkas“ (toliau  – Parkas) (Visagino savivaldybės tarybos 2015 m. gruodžio 28 d. sprendimas Nr. TS-247) teikiamos turizmo, rekreacijos ir poilsio viešosios paslaugos, taip pat ieškomas investuotojas bei rengiama dokumentacija, siekiant išnuomoti Parko dalį (išskyrus patalpas, kuriose planuojama įgyvendinti  Ignalinos AE valdymo pulto simuliatoriaus kaip turizmo objekto vystymo koncepciją) privačiam subjektui. 
Suplanuotos lėšos numatomos įstaigos veiklai užtikrinti. </t>
  </si>
  <si>
    <t xml:space="preserve">Planuojama įrengti  11 atliekų surinkimo konteinerių aikštelių, numatytų Atliekų surinkimo konteinerių aikštelių plėtros galimybių studijoje bei šioms aikštelėms įsigyti 44 vnt. konteinerių. Taip pat apmokėti mokestį už biodegraduojančias atliekas. </t>
  </si>
  <si>
    <t xml:space="preserve">
Projektas įgyvendinamas 2021-2027 m.  Europos Sąjungos investicijų programos lėšomis. Pasirašyta finansavimo sutartis ir 2025 m. balandžio 4 d. pradėtos įgyvendinti Projekto veiklos, projekto pabaiga 2027 m. liepos 31 d. Siekiant įgyvendinti Projektą, planuojama sukurti ir vystyti atliekų tvarkymo infrastruktūros objektus. Planuojama konteinerinių aikštelių plėtra:
• 40 vnt. komunalinių atliekų, rūšiuojamųjų atliekų surinkimo aikštelių Visagino mieste topografinių nuotraukų parengimas;
• 40 vnt. maisto/virtuvės atliekų pusiau požeminių konteinerių įrengimas;
• 10 vnt. tekstilės atliekų antžeminių konteinerių įsigijimas; ir infrastruktūros esamiems 10 vnt. ir naujai įrengiamiems 10 vnt. tekstilės atliekų antžeminiams konteineriams įrengimas. Taip pat Projekto metu planuojama: 1) 3 vnt. video klipų gamyba iki 3 min. 2) 1 vnt. informacinės skrajutės ir/ar lankstinuko pagaminimas, maketavimas ir viešinimas vietiniame laikraštyje ne mažiau kaip 3 kartus per metus kiekvienam miesto gyventojui (namų ūkiui). Bendra projekto vertė 320 723,53, iš jų Europos Sąjungos lėšos  272 615,00  Eur, savivaldybės biudžeto lėšos 48 108,53 Eur.  Projekto pareiškėjas ir vykdytojas Visagino savivaldybės administracija. 
</t>
  </si>
  <si>
    <t>Įgyvendinant šią priemonę numatoma šalinti pavojų keliančius ir sergančius medžius, įsigyti ir veisti naujus želdinius, šalinti kelmus ir vykdyti Valstybinių miškų, perduotų savivaldybei valdyti patikėjimo teise tvarkymo darbus.</t>
  </si>
  <si>
    <t>Įgyvendinant šią priemonę:
1) bus užtikrintas varninių paukščių gausos reguliavimo priemonių įgyvendinimas bei pagerinta aplinkos kokybė ir visuomenės saugumas, nes bus reguliuojama varninių paukščių populiacija; 
2) vyks Sosnovskio barščio gausos reguliavimas ir naikinimas.</t>
  </si>
  <si>
    <t>Įgyvendinant projektą bus vykdomos matavimo duomenų saugojimo, internetinės  viešo stebėjimo prieigos ir sistemos techninio aptarnavimo ir priežiūros paslaugos.</t>
  </si>
  <si>
    <t>R-08-01-02-02</t>
  </si>
  <si>
    <t>Atsižvelgiant į praėjusius metus Visagino savivaldybėje yra pagaunama 100-150 bešeimininkių gyvūnų (2025 m. pagauta 95,  sterilizuota/kastruota – 121), dalis jų yra kastruojama/sterilizuojama ir paleidžiami atgal, dalis lieka gyvūnų globos namuose ar atiduodami kitiems globėjams, dalis yra ženklinami mikroschemomis. Vadovaujantis 2025-05-02 sutartimi Nr. 5-209 vieno gyvūno sugavimas ir laikymas kainuoja 384,6 Eur., gyvūno ženklinimas 20 Eur.,  kastravimas/sterilizavimas ir paleidimas atgal 100 Eur. Jeigu 2026 m. bus pagauta 100, kastruota/sterilizuota 100 ir pažimėta  mikroschema 80, tai kainuotų 50060 Eur, kadangi gali būti sugauta ir daugiau gyvūnų siūlau planuoti 55000 Eur.</t>
  </si>
  <si>
    <t>2025-12-19 pasirašyta sutartis Nr. 5-609 dėl inžinerinių statinių grupės, inžinerinių nuotekų šalinimo tinklų tarp daugiabučių gyvenamųjų namų Vilties g. 21 ir 23, Visagine, statybos projekto parengimo, kurios vertė 20 815 Eur. Statybos projekto parengimo trukmė 310 kalendorinių dienų (2026 m. spalio mėn.)
2025-12-19 pasirašyta sutartis Nr. 5-610 dėl inžinerinių statinių grupės, inžinerinių nuotekų šalinimo tinklų pogrupio Visagino g., Visagine, statybos projekto parengimo kartu su projekto vykdymo priežiūros paslaugomis, kurios vertė 47 676 Eur. 
Statybos projekto parengimo trukmė 310 kalendorinių dienų (2026 m. spalio mėn.)</t>
  </si>
  <si>
    <t>Šią priemonę įgyvendinant dalyvauja Rokiškio rajono savivaldybės visuomenės sveikatos biuras ir visos savivaldybės bendrojo ugdymo mokyklos bei lopšeliai-darželiai. 
Lietuvos Respublikos visuomenės sveikatos priežiūros įstatymas nustato, kad savivaldybė privalo vykdyti visuomenės sveikatos stebėseną (monitoringą), visuomenės sveikatos stiprinimą bendruomenėje, stiprinti sveikos gyvensenos įgūdžius bendruomenėje, įtraukiant į šią veiklą bendruomenę ir socialinius partnerius, vaikų ir jaunimo visuomenės sveikatos priežiūrą, organizuoti alkoholio, tabako ir psichoaktyviųjų medžiagų vartojimo profilaktiką, lėtinių neinfekcinių ligų, nelaimingų atsitikimų ir traumų profilaktiką, užkrečiamųjų ligų profilaktiką, užtikrinti savižudybių prevenciją, dalyvauti vykdant psichikos sveikatos stiprinimo veiklą ir susirgimų profilaktiką, vykdyti sanitarinių apsaugos zonų įgyvendinimo priežiūrą, atlikti savivaldybės institucijų sprendimų projektų poveikio visuomenės sveikatai vertinimą ir pan.</t>
  </si>
  <si>
    <t>Mokyklinio amžiaus vaikų, kurie per paskutinius 12 mėnesių bent kartą rūkė elektronines cigaretes ar naudojo panašius elektroninius įtaisus rūkymui, dalis (proc.)</t>
  </si>
  <si>
    <t>Įgyvendinant priemonę bus siekiama stabdyti ir mažinti neteisėtą narkotikų, alkoholio ir tabako vartojimą, jų paklausą ugdant neigiamą požiūrį į jį tarp vaikų ir jaunimo, šeimose, bendruomenėse ir visuomenėje, diegiant žmogaus gyvenimo reikšmės ir vertybinių nuostatų bei sveikos gyvensenos sampratą. Siekiama stiprinti savivaldybės institucijų ir įstaigų, verslo subjektų, visuomenės bendradarbiavimą ir koordinavimą narkotikų, alkoholio ir tabako vartojimo prevencijos ir kontrolės srityje. Įgyvendinant priemonę planuojama testavimo tyrimų atlikimas ugdymo įstaigose arba elektroninių kontrolės priemonių įrengimas siekiant užkardyti elektroninių cigarečių neteisėtą vartojimą. 2025 m. mokyklose įrengti 25 vnt. detektoriai, trūksta 31 vnt., kuriuos planuojama įrengti 2026 m. Taip pat kartu su Narkotikų, tabako ir alkoholio kontrolės departamentu planuojama dalyvauti integruotame psichoaktyviųjų medžiagų vartojimo prevencijos modelio CTC (angl. Communities That Care (lietuviškai - Rūpestingos bendruomenės) projekte. CTC yra bendruomeninė programa, skirta psichoaktyviųjų medžiagų vartojimo prevencijai, stiprinant apsauginius veiksnius jauno žmogaus aplinkoje ir kuriant saugesnę bei įtraukesnę bendruomenę, tuo pačiu mažinant rizikos veiksnius, galinčius skatinti psichoaktyviųjų medžiagų vartojimą.</t>
  </si>
  <si>
    <t xml:space="preserve">Projektas vykdomas įgyvendinant Lietuvos Respublikos sveikatos apsaugos ministro  2022 m. gegužės 20 d. įsakyme Nr. V-988 „Dėl 2022–2030 metų plėtros programos valdytojos Lietuvos Respublikos sveikatos apsaugos ministerijos sveikatos priežiūros kokybės ir efektyvumo didinimo plėtros programos pažangos priemonės Nr. 11-002-02-11-01 „Gerinti sveikatos priežiūros paslaugų kokybę ir prieinamumą“ aprašo patvirtinimo“ numatytas veiklas“. Viena mobili komanda, teikianti ambulatorinės slaugos paslaugas namuose,  aprūpinta reikiama įranga ir transporto priemone, skirta paslaugų teikimo užtikrinimui.  Bendra projekto įgyvendinimo vertė 72 999,41 Eur. </t>
  </si>
  <si>
    <t xml:space="preserve">Naujos arba modernizuotos sveikatos 
priežiūros infrastruktūros talpumas, asmenys per metus </t>
  </si>
  <si>
    <t>Naujos arba modernizuotos sveikatos 
priežiūros infrastruktūros naudotojų 
skaičius per metus</t>
  </si>
  <si>
    <t>228</t>
  </si>
  <si>
    <t xml:space="preserve"> Asmenys, dalyvavę sveikatos raštingumo 
didinimo veiklose</t>
  </si>
  <si>
    <t>510</t>
  </si>
  <si>
    <t>Asmenys, dalyvavę sveikatos raštingumo didinimo veiklose</t>
  </si>
  <si>
    <t xml:space="preserve">Projektas įgyvendinamas 2021-2027 m. Europos Sąjungos investicijų programos lėšomis. Projekto veiklomis siekiama skatinti prevencines priemones, stiprinančias Visagino savivaldybės visuomenės sveikatą bei psichologinę gerovę ir atsparumą, įgyvendinti vaikams ir jų aplinkos nariams skirtos 
priklausomybių prevencijos priemones. Bendra projekto vertė 120 000 Eur, ES lėšos 102 000 Eur, savivaldybės biudžeto lėšos 18 000 Eur.
Projekto partneris Rokiškio rajono savivaldybės visuomenės sveikatos biuras. </t>
  </si>
  <si>
    <r>
      <t>Vidutinis tikslinių kompensacijų  gavėjų skaičius</t>
    </r>
    <r>
      <rPr>
        <sz val="9"/>
        <rFont val="Arial"/>
        <family val="2"/>
      </rPr>
      <t xml:space="preserve"> per mėnesį</t>
    </r>
  </si>
  <si>
    <t>Nedarbingiems neįgaliesiems, auginantiems vaikus, mokama 20 proc. BSI kompensacija už komunalines paslaugas.(yra teisės akto projektas, kad nuo 2026-01-01 tokios išmokos nebus)</t>
  </si>
  <si>
    <t>Vykdant valstybinę (valstybės perduotą savivaldybėms) funkciją, susijusią su socialinės globos teikimo asmenims su sunkia negalia organizavimu, kompensuojamos socialinės globos asmenims su sunkia negalia išlaidos.</t>
  </si>
  <si>
    <t>Ne savivaldybės pavaldumo socialinių paslaugų įstaigoms ir akredituotiems socialinių paslaugų teikėjams (įstaigoms ir fiziniams asmenims)  sudarant  finansavimo sutartis apmokamos socialinės globos asmenims be sunkios negalios išlaidos ir apmokama už akredituotų socialinės priežiūros, laikino atokvėpio paslaugų teikimą.</t>
  </si>
  <si>
    <t>Įgyvendinant priemonę bus užtikrintas būsto pritaikymas žmonėms su negalia pagal jų pateiktus prašymus ir nustatytą poreikį būsto pritaikymui.</t>
  </si>
  <si>
    <t>Įgyvendinant priemonę bus užtikrinta neįgaliųjų asmenų poilsiui užtikrinti sukurtos infrastruktūros priežiūra.</t>
  </si>
  <si>
    <t>Įgyvendinant priemonę bus užtikrintas Visagino savivaldybės tarybos 2011 m. vasario 17 d. sprendimo Nr. TS-18 „Dėl mokesčių asmenims, kuriems nustatytas specialusis nuolatinės slaugos poreikis, kompensavimo“ vykdymas. Tai yra  neįgaliems asmenims su sunkia negalia kompensuojami mokesčiai už komunalines paslaugas (laiptinių ir rūsių apšvietimas, liftas, bendro naudojimo vietų valymas), kuriomis jie nesinaudoja (savivaldybės biudžeto lėšos). Už šios priemonės įgyvendinimą atsakingas Socialinės paramos skyrius.</t>
  </si>
  <si>
    <r>
      <t>Įgyvendinant priemonę teikiama parama vienkartinėmis, tikslinėmis, periodinėmis ir sąlyginėmis pašalpomis asmenims ir šeimoms, kurios vadovaujantis Piniginės socialinės paramos nepasiturintiems Visagino savivaldybės gyventojams teikimo tvarkos aprašu, patvirtintu Visagino savivaldybės tarybos 2015 m. sausio 29 d. sprendimu Nr. TS-1, turi teisę į šią paramą. Teikiama vienkartinė parama užsieniečiams, pasitraukusiems iš Ukrainos dėl Rusijos Federacijos karinių veiksmų. Vienkartinės, tikslinės, sąlyginės ir periodinės pašalpos skiriamos siekiant padėti bendrai gyvenantiems asmenims arba vienam gyvenančiam asmeniui, kai jie yra išnaudoję visas kitų pajamų gavimo galimybes. Kita socialinė parama neužtikrina ilgalaikio ekonominio ir socialinio saugumo, o tik padeda bendrai gyvenantiems asmenims ar vienam gyvenančiam asmeniui esant sunkioms materialinėms sąlygoms. Skiriama parama vaistams, gydymo išlaidoms apmokėti, mokesčiams už komunalines paslaugas iš dalies apmokėti, gaisro atveju, įvykus nelaimei, nukentėjus nuo gaisro, grįžus iš įkalinimo įstaigos ir pan. (savivaldybės biudžeto lėšos). Parama teikiama kiekvieną mėnesį, savivaldybės gyventojų prašymus šiai paramai gauti svarsto Visagino savivaldybės administracijos direktoriaus įsakymu sudaryta Visagino savivaldybės socialinių reikalų komisija</t>
    </r>
    <r>
      <rPr>
        <sz val="9"/>
        <color rgb="FFFF0000"/>
        <rFont val="Arial"/>
        <family val="2"/>
      </rPr>
      <t>.</t>
    </r>
  </si>
  <si>
    <t>Įgyvendinant priemonę užtikrinamas savivaldybės neįgaliųjų ir pagyvenusių žmonių dalyvavimas visuomeniniame gyvenime, organizuojami renginiai, skirti pagerbti pagyvenusį ir neįgalų žmogų.</t>
  </si>
  <si>
    <t>Įgyvendinant priemonę organizuojamas transporto paslaugų teikimas  vaikams su negalia ir jų šeimoms, suaugusiems asmenims su negalia ir jų šeimoms, senyvo amžiaus asmenims ir jų šeimoms, socialinę riziką patiriančioms šeimoms, asmenims, kurie dėl ligos negali naudotis visuomeniniu ar individualiu transportu.</t>
  </si>
  <si>
    <t>Įgyvendinant priemonę 2026 metais planuojama  suremontuoti bendrabučiuose, esančiuose adresu Festivalio g. 1, 3 ir Kosmoso g. 30, Visagine, 10 patalpų.</t>
  </si>
  <si>
    <t xml:space="preserve">Įgyvendinant priemonę užtikrinamas savivaldybės neįgaliųjų ir pagyvenusių žmonių dalyvavimas visuomeniniame gyvenime  (siekiama suteikti galimybę palaikyti fizinį aktyvumą, gerinti sveikatą suteikiant galimybę naudotis sveikatą stiprinančiomis vandens procedūromis). Už šios priemonės įgyvendinimą atsakingas Visagino socialinių paslaugų centras. </t>
  </si>
  <si>
    <t>Vadovaujantis 2024 m. balandžio 24 d. Jungtinės veiklos sutartimi Nr. 5-192 pasirašyta tarp nevyriausybinės organizacijos Labdaros ir paramos fondas ,,Maisto bankas“ ir Visagino savivaldybės administracijos, Visagino savivaldybės administracija priima savivaldybės gyventojų prašymus socialinėms kortelėms ir/arba donacijoms gauti, užtikrina iš Projekto dalyvių gautų fizinių asmenų duomenų pateikimą Projekto vykdytojui, užtikrina, kad socialines korteles gautų tik Projekto dalyviai, pagrindžia kiekvieno Projekto dalyvio priklausymą paramą gaunančių asmenų grupei. Pagal Sutartį Visagino savivaldybei už faktiškai įvykdytas veiklas kompensuojama iki 3,5 proc. lėšų nuo faktiškai projekto dalyvių kortelėse panaudotų lėšų už projekto dalyvių prašymų Materialinio nepritekliaus paramai gauti ir sutikimo formų maisto donacijai gauti priėmimą, vertinimą, Projektų dalyvių paraiškų informacijos suvedimą į SPIS, projekto dalyvių sąrašų formavimą.</t>
  </si>
  <si>
    <t>Užtikrinamas suremontuoto gyvenamo būsto, priskiriamo įvairioms socialinėms  reikmėms skaičius pagal poreikį</t>
  </si>
  <si>
    <t>Įgyvendinant šią priemonę bus tvarkomas ir prižiūrimas Visagino savivaldybei priklausantis gyvenamasis būstas, priskiriamas įvairioms socialinėms reikmėms (savivaldybės būstui atsilaisvinus daromas paprastasis remontas).</t>
  </si>
  <si>
    <t xml:space="preserve">Naujų arba modernizuotų socialinių
būstų naudotojų skaičius per metus, naudotojai per metus </t>
  </si>
  <si>
    <t>Suteiktų paslaugų skaičius</t>
  </si>
  <si>
    <t xml:space="preserve">Visagino savivaldybės šeimos komisija, kuri yra patariamoji prie Savivaldybės tarybos, nusprendė parengti Šeimos stiprinimo programą Visagino savivaldybėje, kurioje buvo nuspręsta  įtraukti 2 šeimų rėmimo priemones:
1. Pagalba (parama) gimus vaikui – 200 Eur vaikui.
2. 50 Eur parama mokymosi reikmenimis kiekvienam pirmokui. </t>
  </si>
  <si>
    <r>
      <t>Socialinės reabilitacijos neįgaliesiems bendruomenėje paslaugas teikia tik akredituotos socialinių paslaugų įstaigos. Šiuo metu Visagino savivaldybėje akredituotas socialinės reabilitacijos neįgaliesiems bendruomenėje paslaugas gali teikti 3 nevyriausybinės organizacijos, su</t>
    </r>
    <r>
      <rPr>
        <strike/>
        <sz val="9"/>
        <rFont val="Arial"/>
        <family val="2"/>
      </rPr>
      <t xml:space="preserve"> </t>
    </r>
    <r>
      <rPr>
        <sz val="9"/>
        <rFont val="Arial"/>
        <family val="2"/>
      </rPr>
      <t>2 organizacijomis planuojama sudaryti socialinės reabilitacijos neįgaliesiems bendruomenėje paslaugų teikimo ir finansavimo sutartis.</t>
    </r>
  </si>
  <si>
    <t>Visagino savivaldybės administracija (partneris) ir  Asmens su negalia teisų apsaugos agentūra prie Lietuvos Respublikos socialinės apsaugos ir darbo ministerijos  (pareiškėjas), kartu įgyvendins projektą, kurio tikslas didinti bendruomenėje teikiamų paslaugų prieinamumą vaikams, turintiems vidutinę ir sunkią negalią. Projektu siekiama užtikrinti vaikams, turintiems vidutinę ar sunkią negalią, reikalingas paslaugas, jų geresnį prieinamumą pagal šeimos gyvenamąją vietą. 
Projektui taikoma finansavimo forma – dotacija. Paramos intensyvumas – 100 proc. Visagino savivaldybei planuojama dotacija iki 359 948,00, iš jų iki 341 950,60 Eur paslaugoms vaikams ir šeimoms ir 17 997,40 Eur administravimo išlaidos (5 proc.). Visagino savivaldybės biudžeto lėšų nereikės.
Planuojama, kad jungtinės veiklos sutartis bus pasirašyta 2026 m. balandžio mėnesį. Projekto veiklos gali būti įgyvendinamos iki 2029 m. liepos 31 d.</t>
  </si>
  <si>
    <t>Projekto vykdytojas: Valstybės vaiko teisių apsaugos ir įvaikinimo tarnyba prie Socialinės apsaugos ir darbo ministerijos. Projekto partneriai: Visagino savivaldybės administracija ir Visagino šeimos ir vaiko gerovės centras. 
Projekto tikslas – diegti ir vystyti paslaugas, kurios skatintų ir palaikytų vaikų globą šeimos aplinkoje, užtikrinant vaikų poreikius ir saugumą. Projekto laikotarpiu bus teikiamos bendruomeninės paslaugos tėvų globos netekusiems vaikams, įskaitant kūdikius. Siekiama užtikrinti vaikų teises turėti šeimą ir augti saugioje aplinkoje. Taip pat numatoma visų savivaldybių globos centrų specialistų kompetencijų kėlimas, globėjų ir įtėvių rengimo programos tobulinimas, teisės aktų pakeitimai tobulinant vaikų globos sistemą, tinklaveika, visuomenės švietimas ir viešieji ryšiai nacionaliniu ir savivaldybės lygiais, numatoma plėtoti budinčių globotojų institutą, bei įdiegti nuolatinių globotojų institutą. Projekto lėšomis  finansuojamas globos koordinatoriaus (1,25 etato), psichologo (0,6 etato) darbo užmokestis.
Projekto pradžia - 2023-07-01
Projekto pabaiga - 2026-06-30.</t>
  </si>
  <si>
    <t>34</t>
  </si>
  <si>
    <t>Paskola</t>
  </si>
  <si>
    <t>Projekto veiklose dalyvavusių ugdymo įstaigų skaičius</t>
  </si>
  <si>
    <t>Pagal 2025 m. pateiktų projektų prašomų lėšų poreikis sudaro 26000 Eur, atsižvelgiant į porjektų kokybės vertinimą ir norint užtikrinti, kad būtų mieste įveiklintos NVO, tikimasi finansuoti maksimaliomis (3000 Eur) sumomis daugiau projektų.</t>
  </si>
  <si>
    <t xml:space="preserve">Visagino savivaldybės 2025 m. aplinkos apsaugos rėmimo specialiosios programos biudžeto išlaidos (likučio lėšos) </t>
  </si>
  <si>
    <t>2026 m. Visagino savivaldybės asignavimai iš valstybės biudžeto specialios tikslinės dotacijos savivaldybių biudžetams lėšų SB (D)</t>
  </si>
  <si>
    <t xml:space="preserve">2026-2028 m. strateginio veiklos plano poreikis 2026-2028 m. pagal finansavimo šaltinius  ir funkcijas </t>
  </si>
  <si>
    <t>Planuojama skirti lėšas NVO tarybos veiklos efektyvumui užtikrinti, siekiant stiprinti nevyriausybines ir bendruomenines organizacijas, gerinti aplinką jų veiklai, remti pilietines iniciatyvas.</t>
  </si>
  <si>
    <t xml:space="preserve">Dalyvaujamojo biudžeto Projektų konkursų finansavimo sąlygų aprašas patvirtintas 2022 m. rugsėjo 29 d. Visagino savivaldybės tarybos sprendimu Nr. TS-171 „Dėl Visagino gyventojų iniciatyva teikiamų projektų, skirtų gyvenamajai aplinkai gerinti, idėjų atrankos ir finansavimo tvarkos aprašo patvirtinimo“. 2024 m.  vyko projektinių idėjų atranka ir buvo atrinktos 2 daugiausiai gyventojų balsų surinkę projektinės idėjos, iš kurių viena buvo įgyvendinta 2025 m.   „Mamos ir vaiko sūpynės“. Sūpynės įrengtos šalia prekybos centro „Domino" ir  V. Ščiurovo parke. Taip pat pradėtas rengti techninis projektas, kuriame kaip viena iš veiklų bus suprojektuota žaidimo aikštelė jaunimui su laipiojimo elementais.  2026 m. planuojama atnaujinti tvarkos aprašą ir III ketvirtyje skelbti idėjų atrankos konkursą. 
</t>
  </si>
  <si>
    <t>Priemonė įgyvendinama, siekiant pagerbti Visagino miesto garbės piliečius (renginių bilietai, garbės piliečio ženklai ir kt.)</t>
  </si>
  <si>
    <t xml:space="preserve">Įgyvendinant priemonę planuojama dalyvauti  renginyje „Jaunimo vasaros akademija Plungėje“, organizuoti jau tradicija tampanti jaunimo festivalį Visagine, taip pat organizuoti įvairias akcijas ir šviečiamąsias veiklas  jaunimui bei užtikrinti Visagino jaunimo reikalų tarybos veiklą. </t>
  </si>
  <si>
    <t xml:space="preserve">Įgyvendintų prevencinių priemonių skaičius  </t>
  </si>
  <si>
    <t xml:space="preserve">2025 m. gruodžio 19 d. Visagino savivaldybės taryba sprendimu Nr. TS-188 „Dėl pritarimo projekto „Stiprinti prevenciją, parengtį ir apsirūpinimą būtinų priemonių atsargomis Visagino savivaldybės kolektyvinės apsaugos statiniuose“ įgyvendinimui" pritarė projekto įgyvendinimo plano teikimui. Projektas finansuojamas  Valstybės gynimo fondo lėšomis. Bendra projekto  vertė ne daugiau kaip 120 000 Eur. Įgyvendinus Projekto veiklas savivaldybės Visagino Draugystės progimnazijoje bus įrengtas kolektyvinės apsaugos statinys 800 šimtams gyventojų. </t>
  </si>
  <si>
    <t>R-05-03-01-08</t>
  </si>
  <si>
    <t xml:space="preserve">Įrengtų kolektyvinių apsaugos statinių skaičius </t>
  </si>
  <si>
    <t>Pagrindinis priemonės įgyvendinimo tikslas - padėti atpažinti moterų ir vyrų lygių diskriminacijos apraiškas ir ieškoti sprendimo būdų. Įgyvendinant priemonę Visagino savivaldybėje bus skelbiama informacija apie situacijos analizę, suorganizuoti mokomieji seminarai ir / ar grupinės diskusijos padedančios identifikuoti diskriminacijos apraiškas darbo aplinkoje administracijos, biudžetinių ir viešųjų savivaldybės įstaigų darbuotojams.</t>
  </si>
  <si>
    <t>2026 m. Visagino miesto šventė vyks 51-ąjį kartą. Siekiama užtikrinti patrauklią programą, kuri įtrauktų įvairaus amžiaus gyventojus, svečius, socialinius partnerius, bendruomenes.</t>
  </si>
  <si>
    <t>Įgyvendinant priemonę bus organizuojamos Lietuvos mokyklų sporto žaidynės, kuriose dalyvaus Visagino 5 bendrojo ugdymo mokyklos. Mieste bus organizuojamos seniūnijų/mikrorajonų žaidynės, dalyvaujama Lietuvos seniūnijų varžybose.</t>
  </si>
  <si>
    <t xml:space="preserve">Projektas  „Robotikos ir dronų konstravimo ir pilotavimo kompetencijų ugdymas kaip socialinės įtraukties metodas Latgalos, Visagino ir Ignalinos pasienio regionuose“ įgyvendinamas pagal Interreg VI-A Latvia–Lithuania Programą 2021–2027. Pagrindinis projekto tikslas išplėsti galimybes mokiniams ir mokytojams, tobulinti darbuotojų kompetencijas, siekiant aprūpinti ugdymo(si) aplinką modernia įranga, kurti sąlygas mokymuisi visą gyvenimą ir kitais švietimo laukui aktualiais tikslais. Projektą įgyvendina Visagino švietimo pagalbos tarnyba. Projekto veiklose dalyvauja Visagino Atgimimo ir „Verdenės" gimnazijos ir „Gerosios vilties“ progimnazija. </t>
  </si>
  <si>
    <t>Lietuvoje pradedama įgyvendinti darbotvarkė „Tvari mokykla 2030“. Planuojama, kad iki 2030 m. visos mūsų šalies mokyklos taps tvarios arba žengs tvarumo keliu. Mokiniai tvarumo iniciatyvų įgyvendinimą daugiausiai pajustų per infrastruktūros pokyčius, vis daugiau tvarumo temų atsiras ir ugdymo turinyje.Tai priemonių sistema konkretiems veiksmams ir pokyčiams, įgalinantiems mokyklų bendruomenes tiesiogiai prisidėti prie darnaus vystymosi tikslų ir uždavinių įgyvendinimo.
Prie darbotvarkės „Tvari mokykla 2030“ gali prisijungti Lietuvos ikimokyklinio ugdymo, bendrojo ugdymo, neformaliojo vaikų švietimo ir formalųjį švietimą papildančio ugdymo mokyklos ir profesinio rengimo centrai. Iniciatyvos veiklose dalyvauja vaikų lopšelis-darželis „Gintarėlis“ ir vaikų lopšelis-darželis „Auksinis raktelis“ .</t>
  </si>
  <si>
    <t xml:space="preserve">Projektas įgyvendinamas 2021-2027 m. Europos Sąjungos investicijų programos lėšomis. Projekto tikslas – užtikrinti saugų ir kryptingą pradinių ir 5-8 klasių mokinių užimtumą po pamokų.
Pagrindinės projekto veiklos – dviejose Visagino savivaldybės mokyklose įrengti visos dienos mokyklai pritaikytas erdves.
Vykdymo vieta (-os) – Visagino savivaldybės teritorija: Visagino „Gerosios vilties“ progimnazijos pastatas ir Visagino Draugystės progimnazijos pastatas.
Tikslinė grupė – projekto dalyvaujančių mokymo įstaigų mokiniai ir jų tėvai.
Bendra projekto vertė1 381 578 Eur, iš jų Europos Sąjungos lėšos 807 500  Eur, savivaldybės biudžeto lėšos 
574 078  Eur. 
Projekto veiklų vykdymo pabaiga 2027 m. </t>
  </si>
  <si>
    <t>933</t>
  </si>
  <si>
    <t>Lietuvos Respublikos valstybės biudžeto dotacijų skyrimo asmenų su negalia reikalų koordinavimo funkcijos atlikimui finansuoti tvarkos aprašo, patvirtinto Lietuvos Respublikos socialinės apsaugos ir darbo ministro 2023 m. gruodžio 18 d. įsakymo Nr. A1-858  „Dėl Lietuvos Respublikos valstybės biudžeto dotacijų skyrimo asmenų su negalia reikalų koordinavimo funkcijos atlikimui finansuoti tvarkos aprašo patvirtinimo", įgyvendinimo užtikrinimas.</t>
  </si>
  <si>
    <t xml:space="preserve">Įgyvendinant priemonę bus įgyvendinamas Visagino savivaldybės korupcijos prevencijos 2025–2027 metų veiksmų planas. Lėšos bus naudojamos Korupcijos prevencijos veiklos plano įgyvendinimui, korupcijai atsparios aplinkos kūrimui ir antikorupciniam švietimui, renginio Antikorupcjos dienos paminėjimo parengimui (viešojo sektoriaus,  jaunimo, bendruomenės paskatinimui  domėjimuisi antikorupcine veikla). </t>
  </si>
  <si>
    <t>Įgyvendinant šią priemonę bus tinkamai organizuotas savivaldybės duomenų atvėrimas visuomenei, teisingai nustatyti duomenų atvėrimo uždaviniai ir prioritetai bei efektyviausi būdai juos atverti.</t>
  </si>
  <si>
    <t>Įgyvendinant šią priemonę planuojama dalyvauti Lietuvos savivaldybių asociacijos veikloje.</t>
  </si>
  <si>
    <t xml:space="preserve">Žygių maršrutų sukūrimas, integracija į funkcinės zonos VIZA ir Utenos regiono bendrus turizmo maršrutus, priėjimų prie lankomų/gamtos objektų įrengimas, atokvėpio/stebėjimo vietų įrengimas </t>
  </si>
  <si>
    <t>Robotikos ir dronų konstravimo ir pilotavimo kompetencijų ugdymas</t>
  </si>
  <si>
    <t xml:space="preserve">Iniciatyvų  „Tvari mokykla 2030“ įgyvendinimas </t>
  </si>
  <si>
    <t xml:space="preserve">Savivaldybės viešųjų pastatų, taikant energijos išteklių panaudojimo efektyvumo didinimo priemones, modernizavimas </t>
  </si>
  <si>
    <t xml:space="preserve">Tarybos narių veiklos organizavimas </t>
  </si>
  <si>
    <t>Bendrosios civilinės atsakomybės draudimo paslaugų sutartis Nr. 5-488. Galioja iki 2025-12-31. Pradinė vertė 30250 eur. Duomenų apsaugos pareigūno teikimo sutartis Nr. 5-377. Bendra vertė 36 mėn. 20361,24</t>
  </si>
  <si>
    <t xml:space="preserve">Naujas ekranas Sedulinos alėjoje </t>
  </si>
  <si>
    <t>1.3.  Pajamų įmokos ir kitos pajamos su ankstesnių metų likučiu</t>
  </si>
  <si>
    <t xml:space="preserve"> ĮP L</t>
  </si>
  <si>
    <t>Visagino savivaldybės 2026 m. asignavimai iš valstybės biudžeto lėšų ir kitų dotacijų (SD)</t>
  </si>
  <si>
    <t>R-01-02-04-01</t>
  </si>
  <si>
    <t>E-01-02-04</t>
  </si>
  <si>
    <t>E-01-02-03</t>
  </si>
  <si>
    <t>E-01-02-02</t>
  </si>
  <si>
    <t xml:space="preserve">Įgyvendinant priemonę planuojama diegti pažangias ir šiuolaikines priemones informacinių technologijų srityje. Per 2026-2028 m. laikotarpį planuojama tobulinti skaitmeninio miesto dvynio informacinę sistemą,  modernizuoti savivaldybės posėdžių sales, atnaujinti svetainę www. visaginas.lt, diegti naujus modelius dokumentų valdymo sistemoje. Taip pat įgyvendinti priemones pagal atsiradusį poreikį. </t>
  </si>
  <si>
    <t xml:space="preserve">Visagino savivaldybės administracinės naštos mažinimo priemonių planas yra neatsiejama Visagino savivaldybės valdymo tobulinimo programos dalis. Išsami informacija pateikiama VI skyriuje. Siekiant supaprastinti gyventojų aptarnavimo procesus planuojama  diegti automatizuotą  gyventojų priėmimo viename langelyje prašymų formą. Efektyvus atskirų viešųjų paslaugų skaitmenizavimas leis pereiti prie vieningos paslaugų sistemos, kuri užtikrins patogumą vartotojams, sutrumpins paslaugos suteikimo laiką, paslauga taps individualizuota, atsižvelgiant į socialiai pažeidžiamų visuomenės grupių poreikius, prieinama vartotojui patogiausiu būdu ir laiku ir vienoje vietoje. </t>
  </si>
  <si>
    <t>Įgyvendinant šią priemonę planuojama vykdyti ES bendrajame duomenų apsaugos reglamente numatytas funkcijas. Tam tikslui pasirašyta duomenų apsaugos pareigūno paslaugų sutartis. Taip pat užtikrinamas  biudžetinių įstaigų bendrosios civilinės atsakomybės draudimo sutartinių įsipareigojimų vykdymas.</t>
  </si>
  <si>
    <t>E-03-02-01</t>
  </si>
  <si>
    <t>R-03-02-01-01</t>
  </si>
  <si>
    <r>
      <t xml:space="preserve">Visagino savivaldybės sporto renginių organizavimas </t>
    </r>
    <r>
      <rPr>
        <b/>
        <strike/>
        <sz val="9"/>
        <rFont val="Arial"/>
        <family val="2"/>
      </rPr>
      <t xml:space="preserve"> </t>
    </r>
    <r>
      <rPr>
        <b/>
        <sz val="9"/>
        <rFont val="Arial"/>
        <family val="2"/>
      </rPr>
      <t>bei sąlygų dalyvauti tarptautiniuose čempionatuose atstovaujant Visagino savivaldybei užtikrinimas</t>
    </r>
  </si>
  <si>
    <t>Įgyvendinant priemonę Visagino kūrybos menų akademija  ir Visagino „Gerosios vilties" progimnazija dalyvaus moksleivių dainų šventėje. Planuojama, kad dalyvaus apie 120 dalyvių. Bus dalyvaujama dainų dainelės konkurse. taip pat bus ruošiamąsi dalyvauti Lietuvos Dainų šventėje, kuri vyksta kas ketverius metus.</t>
  </si>
  <si>
    <t xml:space="preserve">sritis „Visagine rengiami kultūros ir meno festivaliai“( "Visagino country")
Kultūros ir meno sričių "Visagine rengiami tradiciniai kultūros ir meno festivaliai"
(Visagino Country 20 tūkst. ir kt. 14 tūkst.), 
2025 m. buvo 2 paraiškos organizuoti festivalius, lėšų poreikis buvo 39,6 tūkst.)
</t>
  </si>
  <si>
    <t xml:space="preserve">sritis „Visagine įgyvendinami kultūros ir meno projektai“
Kultūros projektų Visagino sav. finansavimo konkursas (2024 m. lėšų poreikis buvo 27 tūks. 11 paraiškų,
2025 m. lėšų poreikis buvo 31,4 tūkst. 13 paraiškų) Finansavimas 41 proc., siūloma kelti bent iki 60 proc. (19 tūkst.)
</t>
  </si>
  <si>
    <t>Įgyvendinant šią priemonę bus organizuojami Lietuvos Respublikos  Seimo sprendimais minėtinų svarbių datų, įvykių ir asmenybių sukakčių paminėjimo renginiai. Taip pat M. Valančiaus metams paminėti skirti renginiai. Visagino kūrybos ir menų akademija organizuos  Lietuvos vaikų ir jaunimo chorų festivalis „Skambantys šilai". Planuojama, kad dalyvaus 10 chorų.</t>
  </si>
  <si>
    <t>E-04-02-03</t>
  </si>
  <si>
    <t>E-04-02-04</t>
  </si>
  <si>
    <t>Šiam uždaviniui įgyvendinti numatoma konkurso tvarka remti Visagino savivaldybėje registruotų ir savivaldybėje veiklą vykdančių nevyriausybinių organizacijų projektus. Projektų konkursų finansavimo sąlygų aprašas patvirtintas 2020 m. rugsėjo 24 d. Visagino savivaldybės tarybos sprendimu Nr. TS-210 „Dėl Visagino savivaldybės nevyriausybinių organizacijų projektų atrankos ir finansavimo savivaldybės biudžeto lėšomis tvarkos aprašo patvirtinimo“ 
Taip pat įgyvendinant šią priemonę konkurso būdu finansuojamos bendruomeninės veiklos, kurių  tikslas – skatinti gyvenamųjų vietovių bendruomenių savarankiškumą tenkinant socialinius jų narių (gyventojų) poreikius, stiprinti narių (gyventojų) sutelktumą ir tarpusavio pasitikėjimą ir kitą  bendruomeninę veiklą. Projektai finansuojami  Lietuvos Respublikos socialinės apsaugos ir darbo ministerijos nustatyta tvarka.</t>
  </si>
  <si>
    <t xml:space="preserve">2023-08-25 Visagino savivaldybės tarybos sprendimo Nr. TS-157 „Dėl pritarimo Visagino miesto 2024-2029 metų vietos plėtros strategijos projektui“  įgyvendinimas 2026-2028 m. laikotarpiu. 2025 m. buvo pasirašytos 6 sutartys dėl vietos veiklos projektų kofinansavimo. </t>
  </si>
  <si>
    <t>Šiai priemonei  įgyvendinti numatoma konkurso tvarka remti Visagino savivaldybėje registruotų tautinių mažumų kultūros projektus. Projektų finansavimo sąlygų aprašas patvirtintas 2024 m. balandžio 24 d. Visagino savivaldybės mero potvarkiu Nr.PV-E-236 „Dėl Visagino savivaldybės tautinių mažumų kultūros projektų finansavimo tvarkos aprašo patvirtinimo.</t>
  </si>
  <si>
    <t>Ši priemonė įgyvendinama vadovaujantis 2025 m. gruodžio 19 d. Visagino savivaldybės tarybos sprendimu Nr. TS-185 „Dėl Visagino savivaldybės tarybos 2019 m. birželio 27 d.sprendimo Nr. TS-159 „Dėl Visagino savivaldybės jaunimo savanoriškos tarnybos finansavimo tvarkos aprašo patvirtinimo“ pakeitimo. Planuojama finansuoti ne mažiau kaip 6 jaunimo savanoriškos tarnybos programos dalyvius per metus, preliminarus 1 savanorio išlaikymas - 69 Eur/1mėn * 6 mėn. 
2025 metais JST programai pareiškė norą dalyvauti 3 jaunuoliai ir 7 dar planuoja pradėti nuo 2026 m. Planuojama kad 2026 metais pradės JST programą dar 10 jaunuolių.</t>
  </si>
  <si>
    <t>Nusikalstamų veikų skaičius 100 tūkstančių gyventojų</t>
  </si>
  <si>
    <t>1009</t>
  </si>
  <si>
    <t>1008</t>
  </si>
  <si>
    <t>1007</t>
  </si>
  <si>
    <t xml:space="preserve">2024-06-20 Visagino savivaldybės tarybos sprendimu Nr. TS-115 „Dėl Gaisrų prevencijos Visagino savivaldybėje 2024–2026 metų programos patvirtinimo“, patvirtinta Gaisrų prevencijos Visagino savivaldybėje 2024–2026 metų programa.  2026 m. numatoma įrengti (sutvarkyti) bei pažymėti ženklais Visagino savivaldybės gaisrams gesinti skirtus vandens telkinius, gaisrinių automobilių privažiavimus ir vandens paėmimo vietas, įrengti naujas laužaviečių/poilsio vietas, atitinkančias gaisrinės saugos reikalavimus. 2027-2029 m. laikotorpiui planuojama rengti naują programą. </t>
  </si>
  <si>
    <t>2.8.-2-5</t>
  </si>
  <si>
    <t xml:space="preserve">Priemonę planuojama įgyvendinti, siekiant pritraukti trūkstamus policijos pareigūnus į Utenos apskrities vyriausiojo policijos komisariato Visagino policijos komisariatą, taip prisidedant prie didesnio Visagino savivaldybės teritorijos gyventojų saugumo ir viešosios tvarkos užtikrinimo savivaldybės teritorijoje. </t>
  </si>
  <si>
    <t>„Žiburio" pagrindinė mokykla</t>
  </si>
  <si>
    <t xml:space="preserve">Projekto „Stiprinti prevenciją, parengtį ir apsirūpinimą būtinų priemonių atsargomis Visagino savivaldybės kolektyvinės apsaugos statiniuose“ įgyvendinimas </t>
  </si>
  <si>
    <t>Visagino savivaldybės tarybos sprendimų, susijusių su mokesčių už teikiamas paslaugas kompensavimu, įgyvendinimas (100 proc. mokesčio už vieną neformaliojo švietimo programą jų pasirinktoje vienoje Visagino savivaldybės biudžetinėje neformaliojo švietimo įstaigoje kompensacija suaugusiems neįgaliems asmenims, kurių pajamos bendrai gyvenantiems asmenims arba vienam gyvenančiam asmeniui per mėnesį yra mažesnės negu 3 valstybės remiamų pajamų dydžiai; mokesčio už baseinų suteiktas paslaugas kompensavimas, neformalaus vaikų švietimo kompensavimas, mokesčio už ikimokyklinį ugdymą lengvatos ir pan.).</t>
  </si>
  <si>
    <t xml:space="preserve">Socialinės priežiūros paslaugų  šeimoms teikimo užtikrinimas </t>
  </si>
  <si>
    <t xml:space="preserve">Neįgaliųjų asmenų poilsiui užtikrinti reikalingos aplinkos sukūrimas ir priežiūros užtikrinimas 
</t>
  </si>
  <si>
    <t xml:space="preserve">Projektas įgyvendinamas 2021-2027 m.  Europos Sąjungos investicijų programos lėšomis. 2024-03-29 pasirašyta projekto „Bendrabučio tipo pastato, esančio Kosmoso g. 28 Visagine, patalpų pritaikymas socialinio būsto įrengimui - II etapas“ Nr. 29-402-P-0001 finansavimo sutartis. 
Projekto įgyvendinimo metu planuojama atlikti patalpų kapitalinį remontą, pritaikant socialiniams būstams 23 butus (1 fligelį), planuojamas plotas 1308,6 kv. m.  
Bendra projekto vertė 962 735, iš jų  818 032 Eur ES lėšos, 144 703 Eur savivaldybės biudžeto lėšos. Planuojama darbų  pabaiga 2027 m.
</t>
  </si>
  <si>
    <t xml:space="preserve">Įgyvendinant šią priemonę bus užtikrintas kompleksinių paslaugų šeimai organizavimas. </t>
  </si>
  <si>
    <t>Įgyvendinant šią priemonę gali būti suteikiama lengvata atliekų turėtojams už vietinės rinkliavos už komunalinių atliekų surinkimą iš atliekų turėtojų ir atliekų tvarkymą. 2025 metais suteikta lengvatų:
-50 proc. lengvata pensininkams, invalidams, daugiavaikėms šeimoms – 247 asmenys;
-1 proc. lengvata – 291 asmuo;
-50 proc. lengvata kai namai nutolę toliau nei 150 m.  – 744 asmenys.</t>
  </si>
  <si>
    <r>
      <t xml:space="preserve">Visagino socialinių paslaugų centras įgyvendindamas Integralios pagalbos plėtros 2022-2029 metų veiksmų plano, patvirtinto Lietuvos Respublikos socialinės apsaugos ir darbo ministro 2022 m. rugpjūčio 24 d. įsakymu Nr. A1-552 „Dėl Integralios pagalbos plėtros 2022-2029 metų veiksmų plano patvirtinimo“, nuostatas 2026 metais teiks integralios pagalbos paslaugas Visagino savivaldybėje. Šios paslaugos sudaro palankias sąlygas </t>
    </r>
    <r>
      <rPr>
        <strike/>
        <sz val="9"/>
        <rFont val="Arial"/>
        <family val="2"/>
      </rPr>
      <t xml:space="preserve"> </t>
    </r>
    <r>
      <rPr>
        <sz val="9"/>
        <rFont val="Arial"/>
        <family val="2"/>
      </rPr>
      <t xml:space="preserve">vaikams su negalia,  darbingo amžiaus asmenims su negalia, senyvo amžiaus asmenims kuo ilgiau gyventi sau artimoje aplinkoje – namuose bei siekiant padėti suaugusiems šeimos nariams, prižiūrintiems savo artimuosius, derinti šeimos ir darbo įsipareigojimus. </t>
    </r>
  </si>
  <si>
    <t xml:space="preserve"> 2025 m. buvo tvarkomas įvažiavimas į teritoriją ir paviršinių lietaus nuotekų  sistema.  Projekto veiklų įgyvendinimas baigtas. </t>
  </si>
  <si>
    <t xml:space="preserve">Projektas  įgyvendinamas 2021-2027 m. Europos Sąjungos investicijų programos lėšomis. Projekto metu atliekamas pastato, esančio Vilties g.1, Visagine,
paprastasis remontas. Iš viso projekto lėšomis bus atnaujintos Visagino socialinių paslaugų centro 803,65 m² ploto patalpos (pakeisti langai, suremontuotos ventiliacijos, šildymo, gaisrinės signalizacijos, vandentiekio, nuotekų sistemos, elektros instaliacija, įrengtas liftas į antrą aukštą, sanitariniai mazgai pritaikyti žmonėms su judėjimo negalia). Taip pat projekto metu bus remontuojamas pastato stogas - 970 m² ploto (iš kurio 803,65 m² planuojama finansuoti projekto
lėšomis ir 166,35 m² projekto vykdytojo nuosavomis lėšomis). 2025 m. birželio mėn. pasirašyta projekto finansavimo ir administravimo sutartis. 2026 m. planuojama įgyvendinti projekto veiklas. Projekto veiklų pabaiga 2027-06-30.
Bendra projekto vertė  920 812 Eur, iš jų Europos Sąjungos lėšos 780 583 Eur, savivaldybės biudžeto lėšos 140 229 Eur. Projekto partneris Visagino socialinių paslaugų centras. 
</t>
  </si>
  <si>
    <t xml:space="preserve">Projektas įgyvendinamas 2021-2027 m. Europos Sąjungos investicijų programos lėšomis. 2024-07-09 pasirašyta projekto „Specialiųjų poreikių turinčių asmenų gerovės kūrimas ir įtrauktis į socialinę ir ekonominę Visagino savivaldybės raidą“ Nr. 29-405-P-0001 sutartis Nr. 5-325. Projekto veiklomis  siekiama sukurti naujas paslaugas asmenims, turintiems intelekto ir (ar) psichikos negalią:
-	įkurti dienos centrą (su socialinėmis dirbtuvėmis), asmenims, turintiems intelekto ir (ar) psichikos negalią. Planuojama teikti dienos centro paslaugas, kurio bazėje bus įkurtos socialinės dirbtuvės;
-	įkurti grupinio gyvenimo namus (ne mažiau kaip 10 vietų); 
- organizuoti apsaugoto būsto paslaugas;
- užtikrinti pagalbos organizavimą atvejo vadybos principu asmenims, turintiems specialiųjų poreikių, ir asmenims, kuriems specialieji poreikiai dėl ligos ar įgūdžių stokos nenustatyti, bet  jie yra patekę į socialinę atskirtį; 
-	organizuoti darbuotojų, dirbančių su tiksline grupe, kvalifikacijos tobulinimą ir praktines stažuotes.
Bendra projekto vertė 2 153 599 Eur, iš jų 1 794 094 Eur ES lėšos, 359 505 savivaldybės biudžeto lėšos. Projekto veiklų įgyvendinimo pabaiga 2027-03. 
Projekto partneriai Visagino socialinių paslaugų centras ir Visagino šeimos ir vaiko gerovės centras. </t>
  </si>
  <si>
    <t xml:space="preserve">Projektas įgyvendinamas 2021-2027 m. Europos Sąjungos investicijų programos lėšomis. Projekto tikslas – Visagino socialinių paslaugų centro Socialinės globos senyvo amžiaus žmonėms ir suaugusiems asmenims su negalia skyriaus infrastruktūros modernizavimas ir plėtra, siekiant pagerinti senyvo amžiaus gyventojų socialinės globos paslaugų kokybę.
Projekto veiklos:
1 aukšto patalpų remontas (atliktų remonto darbų išlaidų kompensavimas);  
2. Bendrų užimtumo erdvių įrengimas - uždaros terasos statyba (Statybos darbai, įrangos ir baldų įsigijimas). Projekto įgyvendinimo metu planuojama prie esančio pastato pastatyti ir įrengti įranga ir baldais uždarą lauko terasą apie 120 kv.m., pritaikytą naudoti šaltuoju sezono metu; 3. Bendrų užimtumo erdvių įrengimas - sensorinės erdvės įrengimas (baldų ir įrangos įsigijimas); 4. Transporto priemonė (elektra varomo mikroautobuso įsigijimas). 
2025 m. pasirašyta projekto finansavimo sutartis. 2026 m. planuojama įgyvendinti projekto veiklas. Projekto įgyvendinimo veiklų pabaiga 2027-05-31. 
Bendra projekto vertė 800 556 Eur, iš jų Europos Sąjungos lėšos 642 011 Eur, savivaldybės biudžeto lėšos 158 546 Eur. 
Projekto partneris Visagino socialinių paslaugų centras. </t>
  </si>
  <si>
    <r>
      <t xml:space="preserve">
Projektas įgyvendinamas 2021-2027 m. Europos Sąjungos investicijų programos lėšomis. Projekto tikslas - mobiliųjų komandų aprūpinimas darbui reikalinga įranga ir priemonių komplektais bei automobiliais, stacionarinių slaugos paslaugų žmonėms, sergantiems Alzheimerio liga, senatvine demencija, bei paliatyviosios pagalbos paslaugų infrastruktūros plėtojimui ir modernizavimui; tikslinių ilgalaikės priežiūros paslaugų diegimui, ypač demencijos ir Alzheimerio ligų srityse, ir plėtojimui savivaldybių lygmenyje asmenims, kurie negali pasirūpinti savimi. Projekto veiklų įgyvendinimo trukmė 6 mėnesiai. 
Bendra projekto vertė 470 829 Eur, ES lėšos 400 205 Eur, nuosavas pareiškėjo  įnašas 70 624 Eur. 
Projekto pareiškėjas VšĮ Visagino ligoninė.
</t>
    </r>
    <r>
      <rPr>
        <sz val="9"/>
        <color rgb="FFFF0000"/>
        <rFont val="Arial"/>
        <family val="2"/>
      </rPr>
      <t xml:space="preserve">
</t>
    </r>
  </si>
  <si>
    <t>E-07-01-02</t>
  </si>
  <si>
    <t>07.01.01.12. (PP-R)</t>
  </si>
  <si>
    <t>Atnaujintų, įsigytų ir / ar modernizuotų objektų / įrangos  skaičius (vnt.</t>
  </si>
  <si>
    <t xml:space="preserve">Automatinių išorinių defibriliatorių (AID) tinklo viešosiose įstaigose plėtra </t>
  </si>
  <si>
    <t xml:space="preserve">Kt. </t>
  </si>
  <si>
    <t>Įgyvendinant priemonę planuojama vykdyti aptiktų užterštų teritorijų Visagino savivaldybėje valymą.</t>
  </si>
  <si>
    <t>08.01.01.15. (PP-R)</t>
  </si>
  <si>
    <t>Poreikis perkeltas į įstaigos veiklą. Priemonė naikinama.</t>
  </si>
  <si>
    <t>0,7</t>
  </si>
  <si>
    <t>Parengti jaunių/jaunimo nacionalinės rinktinės kandidatus</t>
  </si>
  <si>
    <t>Varžybose dalyvavusių sportininkų skaičius</t>
  </si>
  <si>
    <t>Suorganizuoti bendruomenei renginius</t>
  </si>
  <si>
    <t>Dotacija, iš valstybės biudžeto lėšų, skirtų iš Lietuvos Respublikos švietimo, mokslo ir sporto ministerijos  savivaldybių įstaigose dirbančių trenerių padidintam darbo užmokesčiui nuo 2026 m. sausio 1 d. mokėti (SD)</t>
  </si>
  <si>
    <t>Švietimo sistemos viešojo administravimo ir švietimo įstaigų priežiūros specialistų mokyklų konsultavimo kompetencijų tobulinimas, mokyklų veiklos kokybės, socialinio emocinio ugdymo kokybės gerinimo, skaitmeninio raštingumo kompetencijų tobulinimo, ugdymo pasiekimų vertinimo rezultatų tobulinimo ir ekspertų / konsultantų rekomendacijų įgyvendinimas, dalykinių, edukacinių priemonių švietimo darbuotojams vykdymas, valstybinės švietimo strategijos priemonių įgyvendinimo priemonės, vykimas į kitas savivaldybes, švietimo įstaigų vadovų pasitarimų, metinės konferencijos organizavimas, apmokėjimas už vadybos ekspertų darbą ekspertizių metu, Švietimo, mokslo ir sporto ministerijos, kitų švietimo veiklą reguliuojančių institucijų renginiai, veiklos, susijusios su Savivaldybės dalyvavimu nacionaliniuose projektuose, kitos veiklos, padedančios siekti numatyto uždavinio.</t>
  </si>
  <si>
    <t>Projektas įgyvendinamas 2021-2027 m. Europos Sąjungos investicijų programos lėšomis. Planuojama įkurti centrą, padėsiantį ugdyti vaikus nuo gimimo iki 14 metų, turinčius raidos bei mokymosi sutrikimų, taikant naujausius metodus padėti vaikams išmokti naujų socialiai svarbių elgesio formų, padidinti pageidaujamą elgesį, sumažinti ar visai panaikinti nepageidaujamas elgesio formas, teikti konsultacijas tėvams, auginantiems specialiųjų poreikių vaikus.  2026 m. bus baigtas vertinti projekto įgyvendinimo planas, pasirašoma projekto finansavimo ir administravimo sutartis bei pradedamas veiklų įgyvendinimas. Bendra projekto vertė 842 070 Eur, iš jų Europos Sąjungos lėšos 715 667 Eur, savivaldybės biudžeto lėšos 126 403 Eur. Projekto partneris Visagino šeimos ir vaiko gerovės centras.</t>
  </si>
  <si>
    <t xml:space="preserve">1 SVP </t>
  </si>
  <si>
    <t>1 SB</t>
  </si>
  <si>
    <t xml:space="preserve">2 SVP </t>
  </si>
  <si>
    <t>2 SB</t>
  </si>
  <si>
    <t xml:space="preserve">3 SVP </t>
  </si>
  <si>
    <t>3 SB</t>
  </si>
  <si>
    <t xml:space="preserve">4 SVP </t>
  </si>
  <si>
    <t>4 SB</t>
  </si>
  <si>
    <t xml:space="preserve">5 SVP </t>
  </si>
  <si>
    <t>5 SB</t>
  </si>
  <si>
    <t xml:space="preserve">6 SVP </t>
  </si>
  <si>
    <t>6 SB</t>
  </si>
  <si>
    <t xml:space="preserve">7 SVP </t>
  </si>
  <si>
    <t>7 SB</t>
  </si>
  <si>
    <t xml:space="preserve">8 SVP </t>
  </si>
  <si>
    <t>8 SB</t>
  </si>
  <si>
    <t xml:space="preserve">9 SVP </t>
  </si>
  <si>
    <t>9 SB</t>
  </si>
  <si>
    <t xml:space="preserve">10 SVP </t>
  </si>
  <si>
    <t>10 SB</t>
  </si>
  <si>
    <t xml:space="preserve">Viso (SD)  SVP  </t>
  </si>
  <si>
    <t xml:space="preserve">Viso (SD)  SB  </t>
  </si>
  <si>
    <t>Aktuali 2026-01-19</t>
  </si>
  <si>
    <t xml:space="preserve">Viso (D)  SVP  </t>
  </si>
  <si>
    <t xml:space="preserve">Viso (D)  SB  </t>
  </si>
  <si>
    <t>1.2. Lietuvos Respublikos valstybės biudžeto dotacijos (SD)</t>
  </si>
  <si>
    <t>Specialioji 
dotacija  (SD)</t>
  </si>
  <si>
    <t>Valstybės 
dotacija (D)</t>
  </si>
  <si>
    <t xml:space="preserve">Viso (MK)  SVP  </t>
  </si>
  <si>
    <t xml:space="preserve">Viso (MK)  SB  </t>
  </si>
  <si>
    <t>Ugdymo 
reikmėms (MK)</t>
  </si>
  <si>
    <t>Ugdymo poreikiams (MK)</t>
  </si>
  <si>
    <t>Viso  SVP</t>
  </si>
  <si>
    <t>Viso SB</t>
  </si>
  <si>
    <t xml:space="preserve">Viso (Įstaigos 
veikla)  SVP  </t>
  </si>
  <si>
    <t>Viso (Įstaigos 
veikla) SB</t>
  </si>
  <si>
    <t>Kita veikla</t>
  </si>
  <si>
    <t>2026 
(L iš jų )</t>
  </si>
  <si>
    <t xml:space="preserve">Viso (Įstaigos 
pajamos)  SVP  </t>
  </si>
  <si>
    <t>Viso (Įstaigos 
pajamos) SB</t>
  </si>
  <si>
    <t>2026
su likučiu SVP</t>
  </si>
  <si>
    <t>Viso (Projektams ES) SVP</t>
  </si>
  <si>
    <t>Viso (AA) SVP</t>
  </si>
  <si>
    <t>Viso (AA) SB</t>
  </si>
  <si>
    <t>Viso (P) SVP</t>
  </si>
  <si>
    <t>Viso (P) SB</t>
  </si>
  <si>
    <t>Viso (Kiti) SVP</t>
  </si>
  <si>
    <t xml:space="preserve">Viso (Projektai)
  SVP  </t>
  </si>
  <si>
    <t xml:space="preserve">Viso  (Projektai)
  SB  </t>
  </si>
  <si>
    <t xml:space="preserve">Viso (KV)  SVP  </t>
  </si>
  <si>
    <t xml:space="preserve">Viso (KV)  SB  </t>
  </si>
  <si>
    <t>ž</t>
  </si>
  <si>
    <t>93</t>
  </si>
  <si>
    <t>Mažėjanti kompensacijų gavėjų skaičiaus  dalis, proc.</t>
  </si>
  <si>
    <t>Savivaldybių kalbos tvarkytojų atliktų valstybinės kalbos vartojimo ir taisyklingumo kontrolės patikrinimų, kuriuose nenustatyti pažeidimai, dalis (procentai)</t>
  </si>
  <si>
    <t>Įgyvendinant priemonę bus įgyvendinamos priemonės, kurių tikslas informuoti visuomenę apie nuostatas, įtvirtinančias moterų ir vyrų lygias galimybes, moterų ir vyrų lygias teises, lyčių lygybės, lygių galimybių ir nediskriminavimo nuostatas (dėl lyties, rasės, tautybės, pilietybės, kalbos, kilmės, socialinės padėties, tikėjimo, įsitikinimų ar pažiūrų, amžiaus, negalios, lytinės orientacijos, etninės priklausomybės, religijos ir kitų diskriminacinių motyvų).   Užtikrinamt psichologinės ir psichiatrinės pagalbos prieinamumą, siekiant laiku pagelbėti savižudybės riziką patiriantiems, tyčia save žalojantiems asmenims, užtikrinant šiems asmenims tikslinės pagalbos teikimą ir sumažinant pakartotinio žalojimosi ir savižudybės riziką (prevencinės veiklos, lektoriai ir pan.). Tęsiat iniciatyvą ,,Draugystė šildo: padrąsink, įkvėpk, palaikyk!“, kuria siekiama didinti bendruomenių kompetencijas ir skatinti dalyvauti šviečiamose veiklose. Teikti pagalbą bendruomenės nariams pasireiškus smurtui, patyčioms, agresijai lyties pagrindu atvejais.</t>
  </si>
  <si>
    <t>Aktuali 2026-01-20</t>
  </si>
  <si>
    <t xml:space="preserve">Viso projektams </t>
  </si>
  <si>
    <t xml:space="preserve"> SB (likutis)</t>
  </si>
  <si>
    <t>MTR</t>
  </si>
  <si>
    <t xml:space="preserve">Programų lentelėje su Aplinkos apsaugos lėšomis </t>
  </si>
  <si>
    <t>Q</t>
  </si>
  <si>
    <t>vaikų rūbinėms įsigyti 30 000 eur (investuojama finansiniu turtu)</t>
  </si>
  <si>
    <t>Viešosios įstaigos pavadinimas</t>
  </si>
  <si>
    <t>Veiklos tikslas arba programos uždavinys</t>
  </si>
  <si>
    <t>2028 metais</t>
  </si>
  <si>
    <t>Tęstinės veiklos rodikliai –VšĮ Visagino ligoninė vykdo 4  projektus</t>
  </si>
  <si>
    <t xml:space="preserve">1.1.Projekto lėšos </t>
  </si>
  <si>
    <t>2935605,93 Eur</t>
  </si>
  <si>
    <t>1.1.1.Įrangos įsigijimas</t>
  </si>
  <si>
    <t>1 175 806,01  Eur</t>
  </si>
  <si>
    <t xml:space="preserve">1.1.2. Dirbtinės plaučių ventiliacijos prietaisas </t>
  </si>
  <si>
    <t xml:space="preserve">30 000,00 Eur </t>
  </si>
  <si>
    <t xml:space="preserve">1.1.3.Anestezijos aparatas </t>
  </si>
  <si>
    <t>139 000,01 Eur</t>
  </si>
  <si>
    <t xml:space="preserve">1.1.4. Gyvybinių funkcijų monitorius su centrine monitoravimo stotimi </t>
  </si>
  <si>
    <t>60 500,00 Eur</t>
  </si>
  <si>
    <t xml:space="preserve">1.1.5.  Vaizdo bronchoskopinė sistema </t>
  </si>
  <si>
    <t>75 346,60 Eur</t>
  </si>
  <si>
    <t>1.1.6. Greitos intraveninės infuzijos sistema</t>
  </si>
  <si>
    <t>3 025,00 Eur</t>
  </si>
  <si>
    <t>1.1.7.Ultragarsiniams tyrimams atlikti reikalinga medicinos priemonė (su širdies, abdominaliniu ir smulkių dalių davikliais)</t>
  </si>
  <si>
    <t>69 623,40 Eur</t>
  </si>
  <si>
    <t xml:space="preserve">1.1.8.Defibriliatorius </t>
  </si>
  <si>
    <t>5 566,00 Eur</t>
  </si>
  <si>
    <t>1.1.9. Elektrokardiografas</t>
  </si>
  <si>
    <t>3 146,00 Eur</t>
  </si>
  <si>
    <t xml:space="preserve">1.1.10. Elektrinis vakuuminis siurblys </t>
  </si>
  <si>
    <t>3 000,00 Eur</t>
  </si>
  <si>
    <t>1.1.11. Infuzinių tirpalų termostatas</t>
  </si>
  <si>
    <t>3 996,63 Eur</t>
  </si>
  <si>
    <t xml:space="preserve">1.1.12.Paciento šildymo priemonė </t>
  </si>
  <si>
    <t>1 200,00 Eur</t>
  </si>
  <si>
    <t xml:space="preserve">1.1.13.Infuzinė tūrinė pompa enterinei mitybai </t>
  </si>
  <si>
    <t>1 512,50 Eur</t>
  </si>
  <si>
    <t xml:space="preserve">1.1.14.Paciento kūno temperatūros kontrolės prietaisas </t>
  </si>
  <si>
    <t>18 392,00 Eur</t>
  </si>
  <si>
    <t xml:space="preserve">1.1.15.Infuzinių tirpalų šildymo priemonė </t>
  </si>
  <si>
    <t>2 238,50 Eur</t>
  </si>
  <si>
    <t xml:space="preserve">1.1.16.Infuzinė tūrinė pompa infuzinei terapijai </t>
  </si>
  <si>
    <t>19 662,50 Eur</t>
  </si>
  <si>
    <t>1.1.17.Automatinis švirkštas</t>
  </si>
  <si>
    <t>36 300,00 Eur</t>
  </si>
  <si>
    <t xml:space="preserve">1.1.18.Rankinis dirbtinio kvėpavimo maišas </t>
  </si>
  <si>
    <t>573,54 Eur</t>
  </si>
  <si>
    <t>1.1.19.Laparoskopas su instrumentais</t>
  </si>
  <si>
    <t>127 225,84 Eur</t>
  </si>
  <si>
    <t xml:space="preserve">1.1.20.Operacinis stalas </t>
  </si>
  <si>
    <t>55 207,40 Eur</t>
  </si>
  <si>
    <t>1.1.21.Operacinės lempa</t>
  </si>
  <si>
    <t>19 900,00 Eur</t>
  </si>
  <si>
    <t>1.1.22.Funkcinė lova</t>
  </si>
  <si>
    <t>32 089,20 Eur</t>
  </si>
  <si>
    <t>1.1.23.Vaistų spinta</t>
  </si>
  <si>
    <t>9 438,00 Eur</t>
  </si>
  <si>
    <t>1.1.24.Vežimėlis reanimacinis vaistams</t>
  </si>
  <si>
    <t>5 850,00 Eur</t>
  </si>
  <si>
    <t xml:space="preserve">1.1.25.Staliukas vaistams </t>
  </si>
  <si>
    <t>3 012,90 Eur</t>
  </si>
  <si>
    <t>1.1.26.Kompiuterinis tomografas</t>
  </si>
  <si>
    <t>450 000,00 Eur</t>
  </si>
  <si>
    <t>1.1.2. Rangos darbai</t>
  </si>
  <si>
    <t>1 477 477,76 Eur</t>
  </si>
  <si>
    <t>ORP rangos darbų techninio projekto ekspertizė</t>
  </si>
  <si>
    <t>6 205,41 Eur</t>
  </si>
  <si>
    <t>ORP rangos darbų techninė priežiūra</t>
  </si>
  <si>
    <t>12 410,81 Eur</t>
  </si>
  <si>
    <t>1.1.3.Inžinerinės paslaugos</t>
  </si>
  <si>
    <t>20646,67 Eur</t>
  </si>
  <si>
    <t xml:space="preserve">Kitos  išlaidos </t>
  </si>
  <si>
    <t>(Netiesioginės)</t>
  </si>
  <si>
    <t>192 048,980  Eur</t>
  </si>
  <si>
    <t xml:space="preserve">1.2.Projekto likusios lėšos </t>
  </si>
  <si>
    <t>612312,37 Eur</t>
  </si>
  <si>
    <t>1.2.1.„Sveikatos centro pirminės ambulatorinės asmens sveikatos priežiūros paslaugoms teikti reikiamos infrastruktūros modernizavimas, Vidurio ir vakarų Lietuvos regionas“</t>
  </si>
  <si>
    <t>1.2.2. „Sveikatos centro antrinio lygio ambulatorinės specializuotos asmens sveikatos priežiūros, ambulatorinės chirurgijos, dienos chirurgijos, dienos stacionaro bei skubiosios pagalbos paslaugoms teikti reikiamos infrastruktūros modernizavimas, Vidurio ir vakarų Lietuvos regionas“</t>
  </si>
  <si>
    <t>584594,50 Eur</t>
  </si>
  <si>
    <t>Gastroskopuotojo ir kolonoskopuotojo darbo vieta (vaizdo sistema su 3 vaizdo gastroskopais, 3 vaizdo kolonoskopais ir elektrochirurginiu generatoriumi)</t>
  </si>
  <si>
    <t>258 379,21 Eur</t>
  </si>
  <si>
    <t xml:space="preserve">Oftalmologo darbo vieta </t>
  </si>
  <si>
    <t>47 678,66 Eur</t>
  </si>
  <si>
    <t xml:space="preserve">Endoskopinė video kameros sistema otorinolaringologo kabinetui </t>
  </si>
  <si>
    <t>13 217,23  Eur</t>
  </si>
  <si>
    <t>Spirometras</t>
  </si>
  <si>
    <t>2 402,83 Eur</t>
  </si>
  <si>
    <t>Ultragarsinės diagnostikos aparatas (premium klasė)</t>
  </si>
  <si>
    <t xml:space="preserve">Ultragarsinės diagnostikos aparatas </t>
  </si>
  <si>
    <t>42 213,73 Eur</t>
  </si>
  <si>
    <t>Venų ieškiklis</t>
  </si>
  <si>
    <t>15 123,00 Eur</t>
  </si>
  <si>
    <t>Elektrinis vakuuminis siurblys skysčiams siurbti</t>
  </si>
  <si>
    <t>2 286,90 Eur</t>
  </si>
  <si>
    <t>Pacientų gyvybinių funkcijų monitorius</t>
  </si>
  <si>
    <t>7 151,10 Eur</t>
  </si>
  <si>
    <t xml:space="preserve">Laparoskopinių instrumentų rinkinys </t>
  </si>
  <si>
    <t>15 710,48 Eur</t>
  </si>
  <si>
    <t>Anestezijos aparatas endoskopijos kabinetui</t>
  </si>
  <si>
    <t>39087,33 Eur</t>
  </si>
  <si>
    <t>Lazerinės flebektomijos aparatas</t>
  </si>
  <si>
    <t>21880,64 Eur</t>
  </si>
  <si>
    <t xml:space="preserve">Kitos  išlaidos(Netiesioginės ) </t>
  </si>
  <si>
    <t>523,74 Eur</t>
  </si>
  <si>
    <t xml:space="preserve">1.3. Bendros projekto lėšos </t>
  </si>
  <si>
    <t>147212,79 Eur</t>
  </si>
  <si>
    <t>1.3.1.Personalo mokymas</t>
  </si>
  <si>
    <t>143180,92 Eur</t>
  </si>
  <si>
    <t xml:space="preserve">1.3.1.2.Gydytojo anesteziologo reanimatologo paruošimas </t>
  </si>
  <si>
    <t>8168 Eur</t>
  </si>
  <si>
    <t>(gavus finansavimą)</t>
  </si>
  <si>
    <t xml:space="preserve">1.3.1.3.Slaugytojų paruošimas </t>
  </si>
  <si>
    <t>11619,56 Eur</t>
  </si>
  <si>
    <t>1.3.1.4. Kitos  išlaidos (netiesioginės)</t>
  </si>
  <si>
    <t>3610,62Eur</t>
  </si>
  <si>
    <t xml:space="preserve">1.4. projektas Nr. 29-506-P-0001 „Ilgalaikės priežiūros paslaugų plėtra Visagino savivaldybėje“ </t>
  </si>
  <si>
    <t xml:space="preserve">1.4. Bendros projekto lėšos </t>
  </si>
  <si>
    <t>394514,93Eur.</t>
  </si>
  <si>
    <t>1.4.1.Įrangos įsigijimas viso:</t>
  </si>
  <si>
    <t>36949,24Eur</t>
  </si>
  <si>
    <t>1.4.1.1.Lubiniai ligonių keltuvai 2 vnt.</t>
  </si>
  <si>
    <t>22600 Eur</t>
  </si>
  <si>
    <t>1.4.1.2. Išlipimo iš lovos detektoriai 12 vnt</t>
  </si>
  <si>
    <t>7704 Eur</t>
  </si>
  <si>
    <t>1.4.1.3. Mobilus keltuvas</t>
  </si>
  <si>
    <t>5897,73Eur</t>
  </si>
  <si>
    <t xml:space="preserve">1.4.1.4. Perkėlimo diržai 3 vnt. </t>
  </si>
  <si>
    <t>747,51Eur</t>
  </si>
  <si>
    <t>1.4.2.Baldų įsigijimas viso:</t>
  </si>
  <si>
    <t>50044.20Eur</t>
  </si>
  <si>
    <t xml:space="preserve">1.4.2.1. Lovos 12 vnt. </t>
  </si>
  <si>
    <t>24696 Eur</t>
  </si>
  <si>
    <t xml:space="preserve">1.4.2.2. Čiūžiniai 12 vnt. </t>
  </si>
  <si>
    <t>3900,12 Eur</t>
  </si>
  <si>
    <t xml:space="preserve">1.4.2.3. Kedės 12 vnt. </t>
  </si>
  <si>
    <t>1740 Eur.</t>
  </si>
  <si>
    <t xml:space="preserve">1.4.2.4. Stalai 8 vnt. </t>
  </si>
  <si>
    <t>2952 Eur.</t>
  </si>
  <si>
    <t xml:space="preserve">1.4.2.5. Spintelės prie lovų 12 vnt. </t>
  </si>
  <si>
    <t>10236,59Eur.</t>
  </si>
  <si>
    <t xml:space="preserve">1.4.2.6 Spintos drabužiams 12 vnt. </t>
  </si>
  <si>
    <t xml:space="preserve">6519.48 Eur </t>
  </si>
  <si>
    <t xml:space="preserve">1.4.3. Pastato remonto darbai </t>
  </si>
  <si>
    <t>281709,49 Eur</t>
  </si>
  <si>
    <t xml:space="preserve">1.4.4. Netiesioginės išlaidos </t>
  </si>
  <si>
    <t>25812Eur</t>
  </si>
  <si>
    <t>2.1. Įstaigos funkcijų vykdymo išlaidos. Planuojamas naujos įrangos įsigijimui ir  naudojamos įrangos remontui planuojamos lėšos</t>
  </si>
  <si>
    <t>Ilgalaikio turto  pagerinimo, remonto išlaidos</t>
  </si>
  <si>
    <t>92700 Eur</t>
  </si>
  <si>
    <t>95480 Eur</t>
  </si>
  <si>
    <t xml:space="preserve">2.2. Naujos įrangos įsigijimas </t>
  </si>
  <si>
    <t xml:space="preserve">Medicininė ir kita įranga </t>
  </si>
  <si>
    <t xml:space="preserve">50000 Eur </t>
  </si>
  <si>
    <t xml:space="preserve">   50000 Eur </t>
  </si>
  <si>
    <t>2.3. Patalpų remonto darbai</t>
  </si>
  <si>
    <t>316300 Eur</t>
  </si>
  <si>
    <t>Gavus finansavimą</t>
  </si>
  <si>
    <t xml:space="preserve">2.4. Medicininės įrangos nuoma </t>
  </si>
  <si>
    <t>Ultragarsinės diagnostikos</t>
  </si>
  <si>
    <t>aparato nuoma</t>
  </si>
  <si>
    <t>5000 Eur</t>
  </si>
  <si>
    <t>3.1. Įstaigos funkcijų vykdymo išlaidos</t>
  </si>
  <si>
    <t>Nematerialiojo turto IT sistemų palaikymo išlaidos</t>
  </si>
  <si>
    <t>47500 Eur</t>
  </si>
  <si>
    <t xml:space="preserve">3.2.ASP duomenų saugos atitikimo saugos reglamentui  </t>
  </si>
  <si>
    <t xml:space="preserve">Duomenų apsaugos pareigūno paslaugos </t>
  </si>
  <si>
    <t>1800 Eur</t>
  </si>
  <si>
    <t>2000Eur</t>
  </si>
  <si>
    <t>3.3.ASP IT veikimui reikiamų resursų nuoma  </t>
  </si>
  <si>
    <t>Nematerialiojo turto IT sistemų palaikymo išlaidos (Debesyja)</t>
  </si>
  <si>
    <t>18000 Eur</t>
  </si>
  <si>
    <t>20000 Eur</t>
  </si>
  <si>
    <t xml:space="preserve"> 3.4. Teleradiologijos paslaugų užtikrinimas</t>
  </si>
  <si>
    <t xml:space="preserve">Paslaugų apmokėjimo išlaidos </t>
  </si>
  <si>
    <t>5500Eur</t>
  </si>
  <si>
    <t>6000 Eur</t>
  </si>
  <si>
    <t>6500 Eur</t>
  </si>
  <si>
    <t>Paslaugų apmokėjimo išlaidos</t>
  </si>
  <si>
    <t>11000,00Eur</t>
  </si>
  <si>
    <t>13000Eur</t>
  </si>
  <si>
    <t>4.1.Įstaigos funkcijų vykdymo išlaidos</t>
  </si>
  <si>
    <t>Darbo užmokesčio  didinimo išlaidos dėl minimalios algos didinimo ,sisteminis sveikatos priežiūros specialistų atlyginimų didinimas</t>
  </si>
  <si>
    <t>10706619 Eur</t>
  </si>
  <si>
    <t>11349016 Eur</t>
  </si>
  <si>
    <t>12029957 Eur</t>
  </si>
  <si>
    <t>4.2.Įstaigos funkcijų vykdymo išlaidos personalui</t>
  </si>
  <si>
    <t>Kvalifikacijos kėlimo išlaidos, pagal kolektyvinės sutarties nuostatas</t>
  </si>
  <si>
    <t>36100 Eur</t>
  </si>
  <si>
    <t>36500 Eur</t>
  </si>
  <si>
    <t>37000 Eur</t>
  </si>
  <si>
    <t>Medicininio  ir kito įstaigos  personalo mokymai, pritaikant ligoninės darbą  prie naujų SAM pertvarkos reikalavimų</t>
  </si>
  <si>
    <t>Kvalifikacijos kėlimas ne mažiau nei 17 % įstaigos personalo skaičiaus</t>
  </si>
  <si>
    <t>Kvalifikacijos kėlimas ne mažiau nei 18 % įstaigos personalo skaičiaus</t>
  </si>
  <si>
    <t xml:space="preserve">Naujų darbuotojų pritraukimas ir įdarbinimas įstaigoje </t>
  </si>
  <si>
    <t xml:space="preserve">5.1. Įstaigos kiekybinių ir kokybinių rodyklių vykdymas </t>
  </si>
  <si>
    <t>Pacientų prieinamumo pas gydytojus užtikrinimas</t>
  </si>
  <si>
    <t>Siekti, kad įstaigoje teikiamos pirminės ambulatorinės sveikatos priežiūros paslaugos sveikatos apsaugos ministro nustatytų ūmių būklių atveju butu atliekamos  ne vėliau kaip per 24 valandas</t>
  </si>
  <si>
    <t>Siekti, kad įstaigoje teikiamos pirminės ambulatorinės sveikatos priežiūros paslaugos butu atliekamos  ne vėliau kaip per 7 kalendorines dienas</t>
  </si>
  <si>
    <t>Siekti, kad įstaigoje teikiamos Antrinės ambulatorinės sveikatos priežiūros paslaugos butu atliekamos ne vėliau kaip per 30 kalendorinių dienų</t>
  </si>
  <si>
    <t xml:space="preserve"> Siekti, kad įstaigoje teikiamos stacionarinės, dienos stacionaro ir (ar) dienos chirurgijos sveikatos priežiūros paslaugos planinės pagalbos atveju butu atliekamos  ne vėliau kaip per 60 kalendorinių dienų.</t>
  </si>
  <si>
    <t xml:space="preserve">Gerinti pacientų bendro pasitenkinimo VšĮ Visagino ligoninėje  teikiamomis asmens sveikatos priežiūros paslaugomis </t>
  </si>
  <si>
    <t>2028 metais siekti atlikti ne mažiau 2 pacientų apklausų ir 1 darbuotojų apklausą</t>
  </si>
  <si>
    <t xml:space="preserve">Gyventojų informuotumo užtikrinimas . Ligoninės internetinės svetainės pagal šiuolaikinius standartus atnaujinimas </t>
  </si>
  <si>
    <t>+</t>
  </si>
  <si>
    <t>5.2. Plėtoti įstaigos  infrastruktūrą  ir gerinti sveikatos priežiūros paslaugų kokybę ir į pacientą orientuotą sveikatos priežiūrą.</t>
  </si>
  <si>
    <t>Dienos stacionaro paslaugų apimties didinimas, palyginant su 2022 metų rezultatais</t>
  </si>
  <si>
    <t xml:space="preserve">Ne mažau nei 17% paslaugų skaičiaus augimas  </t>
  </si>
  <si>
    <t xml:space="preserve">5.3. Gerinti ir plėsti slaugos ir palaikomojo gydymo ir paliatyviosios pagalbos paslaugas </t>
  </si>
  <si>
    <t>Gerinti pacientų mitybą</t>
  </si>
  <si>
    <t xml:space="preserve">Didinti vienviečių palatų skaičių </t>
  </si>
  <si>
    <t xml:space="preserve">Atlikti patalpų remontą Slaugos ir palaikomojo skyriuje </t>
  </si>
  <si>
    <t xml:space="preserve">5.4. Užtikrinti nuolatinį skubiosios medicinos pagalbos teikimą </t>
  </si>
  <si>
    <t xml:space="preserve">Užtikrinti B tipo Skubiosios pagalbos skyriaus  veiklą </t>
  </si>
  <si>
    <t xml:space="preserve">Užtikrinti RIT  , RIP bei Anestezijos  paslaugų teikimą </t>
  </si>
  <si>
    <t>1.1.  projektas, pateiktas  pagal 2022-2030 metų plėtros programos valdytojos LR SAM  sveikatos priežiūros kokybės ir efektyvumo didinimo plėtros programos pažangos priemonę Nr.11-002-02-11-01 "Gerinti sveikatos priežiūros paslaugų kokybę ir prieinamumą"  bei projekto Nr. 09-029-P-0009 „VšĮ Visagino ligoninės infrastruktūros modernizavimas“</t>
  </si>
  <si>
    <t>Kvalifikacijos kėlimas ne mažiau nei 16 % įstaigos bendro personalo skaičiaus</t>
  </si>
  <si>
    <t>2026 metais siekti atlikti ne mažiau 2 pacientų apklausų ir 1 darbuotojų apklausą.</t>
  </si>
  <si>
    <t xml:space="preserve">2027 metais siekti atlikti ne mažiau 2 pacientų apklausų ir 1 darbuotojų apklausą </t>
  </si>
  <si>
    <t>Ne mažiau 18% paslaugų skaičiaus augimas</t>
  </si>
  <si>
    <t>Ne mažiau 19%
paslaugų skaičiaus augimas</t>
  </si>
  <si>
    <t xml:space="preserve">VšĮ Visagino ligoninės pagrindiniai veiklos rodikliai </t>
  </si>
  <si>
    <r>
      <t>2026</t>
    </r>
    <r>
      <rPr>
        <b/>
        <sz val="9"/>
        <color rgb="FF000000"/>
        <rFont val="Ariel"/>
        <charset val="186"/>
      </rPr>
      <t xml:space="preserve"> metais</t>
    </r>
  </si>
  <si>
    <r>
      <t>2027</t>
    </r>
    <r>
      <rPr>
        <b/>
        <sz val="9"/>
        <color rgb="FF000000"/>
        <rFont val="Ariel"/>
        <charset val="186"/>
      </rPr>
      <t xml:space="preserve"> metais</t>
    </r>
  </si>
  <si>
    <t xml:space="preserve"> 2743,45 Eur</t>
  </si>
  <si>
    <t>105 600,00 Eur</t>
  </si>
  <si>
    <t>90000 Eur</t>
  </si>
  <si>
    <r>
      <t xml:space="preserve">1.2.  </t>
    </r>
    <r>
      <rPr>
        <b/>
        <sz val="9"/>
        <color rgb="FF000000"/>
        <rFont val="Ariel"/>
        <charset val="186"/>
      </rPr>
      <t>projektas Nr. 09-</t>
    </r>
    <r>
      <rPr>
        <b/>
        <sz val="9"/>
        <rFont val="Ariel"/>
        <charset val="186"/>
      </rPr>
      <t>022-P-0024 „Visagino savivaldybės sveikatos centro sveikatos priežiūros paslaugoms teikti reikiamos infrastruktūros modernizavimas“</t>
    </r>
  </si>
  <si>
    <r>
      <t>1.3.</t>
    </r>
    <r>
      <rPr>
        <b/>
        <sz val="9"/>
        <color rgb="FF000000"/>
        <rFont val="Ariel"/>
        <charset val="186"/>
      </rPr>
      <t xml:space="preserve"> projektas Nr. 09-027-P-0042 „Sveikatos priežiūros specialistų</t>
    </r>
    <r>
      <rPr>
        <b/>
        <sz val="9"/>
        <rFont val="Ariel"/>
        <charset val="186"/>
      </rPr>
      <t xml:space="preserve"> rengimas/pritraukimas dirbti Visagino savivaldybės sveikatos įstaigose</t>
    </r>
  </si>
  <si>
    <r>
      <t>3.5.</t>
    </r>
    <r>
      <rPr>
        <b/>
        <sz val="9"/>
        <rFont val="Ariel"/>
        <charset val="186"/>
      </rPr>
      <t xml:space="preserve"> </t>
    </r>
    <r>
      <rPr>
        <b/>
        <sz val="9"/>
        <color rgb="FF000000"/>
        <rFont val="Ariel"/>
        <charset val="186"/>
      </rPr>
      <t xml:space="preserve">Virtuali IP telefonija </t>
    </r>
  </si>
  <si>
    <t>Įgyvendinant priemonę bus įgyvendinamos Lietuvos Respublikos užsienio reikalų ministro  2021 m. gruodžio 27 d. įsakymu Nr. V-550 „Dėl Lietuvos diasporos politikos strateginių gairių „Globali Lietuva“ 2022‒2030 m. patvirtinimo", patvirtintos Lietuvos diasporos politikos strateginių gairių „Globali Lietuva“ 2022‒2030 m." nuostatos, o numatytos įgyvendinti priemonės bus įtrauktos į Lietuvos diasporos politikos strateginių gairių „Globali Lietuva“ 2022‒2030 m. įgyvendinimo veiksmų planą 2025–2027 m.  
Taip pat siekiant skatinti įvairių tautybių Lietuvos jaunimo integraciją, tarpusavio pasitikėjimą ir ugdyti pilietiškumą,  planuojama dalyvauti Jaunimo vasaros mokyklos „Stiprūs įvairovėje“ projekto veiklose. Vasaros mokyklos dalyviai susipažįsta su aktyvaus pilietiškumo formomis: savanoryste, dalyvavimu jaunimo politikoje, neformaliomis iniciatyvomis, dalyvavimu valstybės gynyboje ir parama kitoms valstybės institucijoms, dalyvavimu per meną. Pagrindiniai pasiekti rezultatai: dalyviai pagerina demokratinių sprendimų priėmimo, refleksijos ir kritinio informacijos vertinimo įgūdžius, nugalėdami stereotipus padidina savo pasitikėjimą kitų tautybių bendrapiliečių atžvilgiu, jaučiasi įkvėpti prisidėti kuriant šiuolaikinę Lietuvos valstybę.</t>
  </si>
  <si>
    <t>12 (2025)</t>
  </si>
  <si>
    <t>3200 (2025)</t>
  </si>
  <si>
    <t>32 (2025) skaičius, 76 proc.</t>
  </si>
  <si>
    <t>53 (2025)</t>
  </si>
  <si>
    <t>2 (2025)</t>
  </si>
  <si>
    <t>Įgyvendinant šią priemonę bus organizuojamos:
-sportinės varžybos,
-miesto šventės sporto renginių dalis,
-dalyvavimas tarptautiniuose turnyruose. Taip pat organizavimas tokių renginių kaip ralis, dviračių žygiai  ir kt. 
-savivaldybės biudžeto lėšomis remiama aukšto meistriškumo komandinių sporto šakų (futbolo, krepšinio, tinklinio) ir reprezentuojančių Visagino savivaldybę veikla.</t>
  </si>
  <si>
    <t>Aktuali 2026-01-21</t>
  </si>
  <si>
    <t>SB(L)</t>
  </si>
  <si>
    <t>Naujų prekybinių kioskų įsigijimas ir schemos parengimas</t>
  </si>
  <si>
    <t>BN+MTRN</t>
  </si>
  <si>
    <t>Aktuali 2026-01-22</t>
  </si>
  <si>
    <r>
      <t xml:space="preserve">Visagino savivaldybės neformaliojo vaikų švietimo teikėjų veiklos išorinio vertinimo įgyvendinimui papildomai numatyti kasmet po 3500 Eur prie planuotos sumos
2026   4000+3500=7500
2027   4500+3500=8000
2028    5000+3500=8500
</t>
    </r>
    <r>
      <rPr>
        <i/>
        <sz val="9"/>
        <color rgb="FFFF0000"/>
        <rFont val="Arial"/>
        <family val="2"/>
      </rPr>
      <t>pridėta 2000 eur</t>
    </r>
    <r>
      <rPr>
        <i/>
        <sz val="9"/>
        <rFont val="Arial"/>
        <family val="2"/>
      </rPr>
      <t xml:space="preserve"> socialinio emocinio ugdymo tyrimui mokyklose</t>
    </r>
  </si>
  <si>
    <t xml:space="preserve"> Kogeneracinės biokuro elektrinės (1,25 MW elektros galios 6,8 MW šilumos galios) statybos užbaigimas</t>
  </si>
  <si>
    <t xml:space="preserve">Renginių ir projektų, kurių pagrindinis tikslas gilinti gyventojų žinias apie savižudybių, psichoaktyviųjų medžiagų vartojimo prevenciją, patyčių sampratą bei tinkamą pagalbą įgyvendinimas </t>
  </si>
  <si>
    <t>E-05-05-02</t>
  </si>
  <si>
    <t xml:space="preserve">Užtikrintas lygių galimybių politikos įgyvendinimas </t>
  </si>
  <si>
    <t xml:space="preserve">Užtikrintas moterų ir vyrų lygių galimybių politikos įgyvendinimas </t>
  </si>
  <si>
    <t>E-05-05-03</t>
  </si>
  <si>
    <t>E-05-05-04</t>
  </si>
  <si>
    <t>Užtikrintas koordinuotai teikiamų paslaugų poreikis</t>
  </si>
  <si>
    <t xml:space="preserve">Programos įgyvendinimo koordinatorės:
Viktorija Abaravičienė, viktorija.abaraviciene@visaginas.lt, tel. (0 386) 60 698
Lukas Banys, lukas.banys@visaginas.lt, tel. (0 386) 61 211
Valentina Raubiškienė, valentina.raubiskiene@visaginas.lt, (0 386) 31 372
</t>
  </si>
  <si>
    <t xml:space="preserve">Programos įgyvendinimo koordinatorės:
Valentina Raubiškienė, valentina.raubiskiene@visaginas.lt, tel. (0 386) 31 372
Viktorija Abaravičienė, viktorija.abaraviciene@visaginas.lt, tel. ( 0 386) 60 698
Lukas Banys, lukas.banys@visaginas.lt, tel. (0 386) 61 211
</t>
  </si>
  <si>
    <t xml:space="preserve"> Įgyvendinant priemonę numatoma pradėti rengti techninę dokumentaciją  riedlenčių parko įrengimui.</t>
  </si>
  <si>
    <t xml:space="preserve">2026 m. </t>
  </si>
  <si>
    <t>Automatizuoto gyventojų priėmimo viename langelyje plėtra</t>
  </si>
  <si>
    <t xml:space="preserve">2. </t>
  </si>
  <si>
    <t>2026-2028 m.</t>
  </si>
  <si>
    <t>Naujų papildomų finansavimo šaltinių (vertinant pastaruosius 3 m. )pritraukimas / projektų vykdymas</t>
  </si>
  <si>
    <t>Ne mažiau kaip 2</t>
  </si>
  <si>
    <t>ASPĮ gydytojų ir slaugytojų darbo užmokesčio santykis</t>
  </si>
  <si>
    <t>Įstaigos slaugytojo vidutinis darbo užmokestis ne mažesnis kaip 0,4 įstaigos gydytojo vidutinio darbo užmokesčio</t>
  </si>
  <si>
    <t>Įstaigos slaugytojo vidutinis darbo užmokestis ne mažesnis kaip 0,45 įstaigos gydytojo vidutinio darbo užmokesčio</t>
  </si>
  <si>
    <t>Įstaigos slaugytojo vidutinis darbo užmokestis ne mažesnis kaip 0,5 įstaigos gydytojo vidutinio darbo užmokesčio</t>
  </si>
  <si>
    <t>Vyresnių nei 65 metų asmenų skiepijimas gripo vakcina, proc.</t>
  </si>
  <si>
    <t>Suteiktų ambulatorinių slaugos paslaugų namuose skaičiaus didėjimas,  proc.</t>
  </si>
  <si>
    <t>Asmenų, turinčių priklausomybę nuo opioidų gydymo metadonu, paslaugų skaičiaus didėjimas, proc.</t>
  </si>
  <si>
    <t>Psichiatrijos dienos stacionaro paslaugų skaičiaus didėjimas, proc.</t>
  </si>
  <si>
    <t>Įgyvendinant projektą planuojama įrengti šiuo metu nenaudojamas patalpas Visagino lopšeliuose-darželiuose, pritaikant (rekonstruojant, remontuojant) šias patalpas kokybiškai vykdyti ikimokyklinio ir priešmokyklinio ugdymo programas bei siekiant didinti Visagino lopšelių-darželių ugdymo aprėptį (siūlant paslaugas didesniam įvairių tikslinių grupių skaičiui) ir gerinant teikiamų paslaugų kokybę, diegiant naujus ugdymo modelius (t. y. Visagino lopšelius-darželius specializuojant pagal STEAM koncepcijos kryptis bei daugiakalbę aplinką). 2026 m. investicijos planuojama skirtis vaikų lopšeliui-darželiui „Auksinis raktelis" ir vaikų lopšeliui-darželiui „Gintarėlis“.</t>
  </si>
  <si>
    <t xml:space="preserve">Projektas įgyvendinamas 2021-2027 m. Europos Sąjungos investicijų programos lėšomis. Projekto tikslas - padidinti ugdymo prieinamumą atskirtį patiriantiems vaikams, pritaikant progimnazijų infrastruktūrą neįgaliesiems.
Projekto metu planuojama dvi savivaldybės progimnazijas, jų patalpas  visiškai pritaikyti laisvai ir savarankiškai į jas patekti ir po jas judėti asmenims, turintiems įvairias negalias. Visiškai pritaikyta mokykla bus laikoma tada, kai nebus jokių fizinių kliūčių (arba jos kompensuotos alternatyviomis judėjimą lengvinančiomis priemonėmis), ribojančių savarankišką patekimą į pastatą ir judėjimą pastato viduje visose erdvėse, nepriklausomai nuo asmens turimų judėjimo galimybių.
Vykdymo vieta (-os) – Visagino savivaldybės teritorija: Visagino „Gerosios vilties“ progimnazijos pastatas ir Visagino Draugystės progimnazijos pastatas.
Projekto tikslinė grupė – dviejų savivaldybės progimnazijų mokiniai, jų tėvai ir pedagogai. 
Bendra projekto vertė 1 060 340 Eur, iš jų Europos Sąjungos lėšos 665 749 Eur, savivaldybės biudžeto lėšos 
394 591 Eur. 
Projekto veiklų vykdymo pabaiga 2027 m. </t>
  </si>
  <si>
    <t xml:space="preserve">Programos įgyvendinimo koordinatoriai
Kristina Gedžiūnaitė, kristina.gedziunaite@visaginas.lt, tel. ( 0 386) 33415
Irina Jarec, irina.jarec@visaginas.lt, tel. ( 0 386) 36 017
Danutė Kotovienė, danutė.kotoviene@visaginas.lt., tel. (0 386) 31 587
Marius Naruševičius, marius.narusevicius@visaginas.lt, tel. (0 386) 36 068
</t>
  </si>
  <si>
    <t>R-05-05-03-01</t>
  </si>
  <si>
    <t>R-05-05-02-01</t>
  </si>
  <si>
    <t>R-06-02-01-15</t>
  </si>
  <si>
    <t>R-07-01-01-12</t>
  </si>
  <si>
    <t>09.01.01.07. (TP)
nauja priemonė</t>
  </si>
  <si>
    <t>R-09-03-01-09</t>
  </si>
  <si>
    <t>R-10-01-02-03</t>
  </si>
  <si>
    <t>R-10-02-03-02</t>
  </si>
  <si>
    <t>E-10-02-04</t>
  </si>
  <si>
    <t>R-10-03-06-01</t>
  </si>
  <si>
    <t>R-10-03-06-02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</si>
</sst>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quot;     &quot;;\-#,##0.00&quot;     &quot;;&quot; -&quot;#&quot;     &quot;;@\ "/>
    <numFmt numFmtId="165" formatCode="#,##0.00&quot;    &quot;;\-#,##0.00&quot;    &quot;;&quot; -&quot;#&quot;    &quot;;@\ "/>
    <numFmt numFmtId="166" formatCode="0.000"/>
    <numFmt numFmtId="167" formatCode="0.0"/>
    <numFmt numFmtId="168" formatCode="00"/>
    <numFmt numFmtId="169" formatCode="#,##0.000"/>
    <numFmt numFmtId="170" formatCode="0.0%"/>
    <numFmt numFmtId="171" formatCode="0.0000"/>
  </numFmts>
  <fonts count="212">
    <font>
      <sz val="10"/>
      <name val="Arial"/>
      <family val="2"/>
      <charset val="186"/>
    </font>
    <font>
      <sz val="11"/>
      <color theme="1"/>
      <name val="Calibri"/>
      <family val="2"/>
      <charset val="186"/>
      <scheme val="minor"/>
    </font>
    <font>
      <sz val="11"/>
      <color theme="1"/>
      <name val="Calibri"/>
      <family val="2"/>
      <charset val="186"/>
      <scheme val="minor"/>
    </font>
    <font>
      <sz val="11"/>
      <color indexed="8"/>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TimesLT"/>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b/>
      <sz val="10"/>
      <name val="Times New Roman"/>
      <family val="1"/>
      <charset val="186"/>
    </font>
    <font>
      <sz val="10"/>
      <name val="Times New Roman"/>
      <family val="1"/>
      <charset val="186"/>
    </font>
    <font>
      <sz val="9"/>
      <name val="Times New Roman"/>
      <family val="1"/>
      <charset val="186"/>
    </font>
    <font>
      <sz val="8"/>
      <name val="Times New Roman"/>
      <family val="1"/>
      <charset val="186"/>
    </font>
    <font>
      <sz val="8"/>
      <name val="Arial"/>
      <family val="2"/>
      <charset val="186"/>
    </font>
    <font>
      <sz val="7"/>
      <name val="Times New Roman"/>
      <family val="1"/>
      <charset val="186"/>
    </font>
    <font>
      <b/>
      <i/>
      <sz val="10"/>
      <name val="Times New Roman"/>
      <family val="1"/>
      <charset val="186"/>
    </font>
    <font>
      <b/>
      <sz val="12"/>
      <name val="Times New Roman"/>
      <family val="1"/>
      <charset val="186"/>
    </font>
    <font>
      <sz val="10"/>
      <name val="Arial"/>
      <family val="2"/>
      <charset val="186"/>
    </font>
    <font>
      <sz val="11"/>
      <color theme="1"/>
      <name val="Calibri"/>
      <family val="2"/>
      <charset val="186"/>
      <scheme val="minor"/>
    </font>
    <font>
      <b/>
      <i/>
      <sz val="10"/>
      <color rgb="FFFF00FF"/>
      <name val="Times New Roman"/>
      <family val="1"/>
      <charset val="186"/>
    </font>
    <font>
      <sz val="10"/>
      <color rgb="FF000000"/>
      <name val="Times New Roman"/>
      <family val="1"/>
      <charset val="186"/>
    </font>
    <font>
      <sz val="8"/>
      <color rgb="FF000000"/>
      <name val="Times New Roman"/>
      <family val="1"/>
      <charset val="186"/>
    </font>
    <font>
      <b/>
      <i/>
      <sz val="10"/>
      <color rgb="FF000000"/>
      <name val="Times New Roman"/>
      <family val="1"/>
      <charset val="186"/>
    </font>
    <font>
      <b/>
      <sz val="12"/>
      <color rgb="FF000000"/>
      <name val="Times New Roman"/>
      <family val="1"/>
      <charset val="186"/>
    </font>
    <font>
      <b/>
      <sz val="10"/>
      <name val="Arial"/>
      <family val="2"/>
    </font>
    <font>
      <sz val="12"/>
      <name val="Times New Roman"/>
      <family val="1"/>
    </font>
    <font>
      <i/>
      <sz val="12"/>
      <color rgb="FFFF0000"/>
      <name val="Times New Roman"/>
      <family val="1"/>
    </font>
    <font>
      <i/>
      <sz val="10"/>
      <color rgb="FFFF0000"/>
      <name val="Arial"/>
      <family val="2"/>
    </font>
    <font>
      <sz val="10"/>
      <name val="Arial"/>
      <family val="2"/>
    </font>
    <font>
      <i/>
      <sz val="12"/>
      <name val="Times New Roman"/>
      <family val="1"/>
      <charset val="186"/>
    </font>
    <font>
      <b/>
      <sz val="10"/>
      <name val="Arial"/>
      <family val="2"/>
      <charset val="186"/>
    </font>
    <font>
      <sz val="9"/>
      <name val="Calibri"/>
      <family val="2"/>
      <charset val="186"/>
    </font>
    <font>
      <b/>
      <i/>
      <sz val="10"/>
      <name val="Arial"/>
      <family val="2"/>
    </font>
    <font>
      <b/>
      <sz val="7"/>
      <name val="Arial"/>
      <family val="2"/>
    </font>
    <font>
      <sz val="7"/>
      <name val="Arial"/>
      <family val="2"/>
    </font>
    <font>
      <b/>
      <sz val="7"/>
      <color rgb="FFFF0000"/>
      <name val="Arial"/>
      <family val="2"/>
    </font>
    <font>
      <b/>
      <sz val="7"/>
      <color rgb="FF000000"/>
      <name val="Arial"/>
      <family val="2"/>
    </font>
    <font>
      <b/>
      <i/>
      <sz val="7"/>
      <color rgb="FF000000"/>
      <name val="Arial"/>
      <family val="2"/>
    </font>
    <font>
      <b/>
      <i/>
      <sz val="7"/>
      <name val="Arial"/>
      <family val="2"/>
    </font>
    <font>
      <i/>
      <sz val="7"/>
      <name val="Arial"/>
      <family val="2"/>
    </font>
    <font>
      <sz val="7"/>
      <color rgb="FFFF0000"/>
      <name val="Arial"/>
      <family val="2"/>
    </font>
    <font>
      <sz val="7"/>
      <name val="Arial"/>
      <family val="2"/>
      <charset val="186"/>
    </font>
    <font>
      <b/>
      <sz val="9"/>
      <name val="Arial"/>
      <family val="2"/>
    </font>
    <font>
      <sz val="9"/>
      <name val="Arial"/>
      <family val="2"/>
    </font>
    <font>
      <b/>
      <i/>
      <sz val="9"/>
      <name val="Arial"/>
      <family val="2"/>
    </font>
    <font>
      <i/>
      <sz val="7"/>
      <color rgb="FFFF0000"/>
      <name val="Arial"/>
      <family val="2"/>
    </font>
    <font>
      <sz val="10"/>
      <color rgb="FFFF0000"/>
      <name val="Arial"/>
      <family val="2"/>
    </font>
    <font>
      <sz val="10"/>
      <name val="Ariel"/>
      <charset val="186"/>
    </font>
    <font>
      <b/>
      <sz val="10"/>
      <name val="Ariel"/>
      <charset val="186"/>
    </font>
    <font>
      <i/>
      <sz val="10"/>
      <color rgb="FF000000"/>
      <name val="Ariel"/>
      <charset val="186"/>
    </font>
    <font>
      <b/>
      <sz val="10"/>
      <color rgb="FF000000"/>
      <name val="Ariel"/>
      <charset val="186"/>
    </font>
    <font>
      <b/>
      <sz val="10"/>
      <color rgb="FF000000"/>
      <name val="Arial"/>
      <family val="2"/>
    </font>
    <font>
      <sz val="10"/>
      <color rgb="FFFF0000"/>
      <name val="Arial"/>
      <family val="2"/>
      <charset val="186"/>
    </font>
    <font>
      <strike/>
      <sz val="7"/>
      <color rgb="FFFF0000"/>
      <name val="Arial"/>
      <family val="2"/>
    </font>
    <font>
      <b/>
      <sz val="8"/>
      <name val="Arial"/>
      <family val="2"/>
    </font>
    <font>
      <sz val="8"/>
      <name val="Arial"/>
      <family val="2"/>
    </font>
    <font>
      <i/>
      <sz val="8"/>
      <color rgb="FFFF0000"/>
      <name val="Arial"/>
      <family val="2"/>
    </font>
    <font>
      <b/>
      <i/>
      <sz val="8"/>
      <name val="Arial"/>
      <family val="2"/>
    </font>
    <font>
      <sz val="8"/>
      <color rgb="FFFF0000"/>
      <name val="Arial"/>
      <family val="2"/>
    </font>
    <font>
      <sz val="10"/>
      <name val="Times New Roman"/>
      <family val="1"/>
    </font>
    <font>
      <b/>
      <sz val="7"/>
      <name val="Arial"/>
      <family val="2"/>
      <charset val="186"/>
    </font>
    <font>
      <i/>
      <sz val="7"/>
      <color rgb="FFFF0000"/>
      <name val="Times New Roman"/>
      <family val="1"/>
      <charset val="186"/>
    </font>
    <font>
      <b/>
      <i/>
      <sz val="7"/>
      <name val="Arial"/>
      <family val="2"/>
      <charset val="186"/>
    </font>
    <font>
      <i/>
      <sz val="7"/>
      <name val="Arial"/>
      <family val="2"/>
      <charset val="186"/>
    </font>
    <font>
      <sz val="7"/>
      <color rgb="FF000000"/>
      <name val="Arial"/>
      <family val="2"/>
    </font>
    <font>
      <i/>
      <sz val="7"/>
      <color rgb="FF000000"/>
      <name val="Arial"/>
      <family val="2"/>
    </font>
    <font>
      <sz val="11"/>
      <name val="Times New Roman"/>
      <family val="1"/>
    </font>
    <font>
      <b/>
      <sz val="10"/>
      <name val="Times New Roman"/>
      <family val="1"/>
    </font>
    <font>
      <sz val="10"/>
      <color rgb="FF000000"/>
      <name val="Times New Roman"/>
      <family val="1"/>
    </font>
    <font>
      <b/>
      <sz val="7"/>
      <name val="Ariel"/>
      <charset val="186"/>
    </font>
    <font>
      <sz val="7"/>
      <name val="Ariel"/>
      <charset val="186"/>
    </font>
    <font>
      <sz val="10"/>
      <color theme="4"/>
      <name val="Arial"/>
      <family val="2"/>
      <charset val="186"/>
    </font>
    <font>
      <i/>
      <sz val="10"/>
      <name val="Arial"/>
      <family val="2"/>
    </font>
    <font>
      <b/>
      <sz val="10"/>
      <color rgb="FFFF0000"/>
      <name val="Arial"/>
      <family val="2"/>
    </font>
    <font>
      <sz val="11"/>
      <name val="Arial"/>
      <family val="2"/>
    </font>
    <font>
      <sz val="10"/>
      <color theme="0"/>
      <name val="Arial"/>
      <family val="2"/>
    </font>
    <font>
      <sz val="7"/>
      <color theme="0"/>
      <name val="Arial"/>
      <family val="2"/>
    </font>
    <font>
      <sz val="8"/>
      <color theme="0"/>
      <name val="Arial"/>
      <family val="2"/>
    </font>
    <font>
      <sz val="9"/>
      <color rgb="FFFF0000"/>
      <name val="Arial"/>
      <family val="2"/>
    </font>
    <font>
      <b/>
      <sz val="9"/>
      <color rgb="FFFF0000"/>
      <name val="Arial"/>
      <family val="2"/>
    </font>
    <font>
      <b/>
      <sz val="9"/>
      <color rgb="FF000000"/>
      <name val="Arial"/>
      <family val="2"/>
    </font>
    <font>
      <b/>
      <sz val="9"/>
      <color indexed="10"/>
      <name val="Arial"/>
      <family val="2"/>
    </font>
    <font>
      <b/>
      <sz val="11"/>
      <name val="Arial"/>
      <family val="2"/>
    </font>
    <font>
      <sz val="9"/>
      <color indexed="10"/>
      <name val="Arial"/>
      <family val="2"/>
    </font>
    <font>
      <i/>
      <sz val="11"/>
      <name val="Arial"/>
      <family val="2"/>
    </font>
    <font>
      <sz val="9"/>
      <color rgb="FF000000"/>
      <name val="Arial"/>
      <family val="2"/>
    </font>
    <font>
      <sz val="9"/>
      <name val="Arial"/>
      <family val="2"/>
      <charset val="186"/>
    </font>
    <font>
      <b/>
      <sz val="9"/>
      <color theme="1"/>
      <name val="Arial"/>
      <family val="2"/>
    </font>
    <font>
      <b/>
      <sz val="9"/>
      <color rgb="FF00B050"/>
      <name val="Arial"/>
      <family val="2"/>
    </font>
    <font>
      <sz val="9"/>
      <color theme="1"/>
      <name val="Arial"/>
      <family val="2"/>
    </font>
    <font>
      <sz val="9"/>
      <color rgb="FFFF0000"/>
      <name val="Arial"/>
      <family val="2"/>
      <charset val="186"/>
    </font>
    <font>
      <i/>
      <sz val="9"/>
      <name val="Arial"/>
      <family val="2"/>
    </font>
    <font>
      <b/>
      <sz val="9"/>
      <color rgb="FFFF0000"/>
      <name val="Arial"/>
      <family val="2"/>
      <charset val="186"/>
    </font>
    <font>
      <b/>
      <i/>
      <sz val="9"/>
      <color rgb="FFFF0000"/>
      <name val="Arial"/>
      <family val="2"/>
    </font>
    <font>
      <b/>
      <i/>
      <sz val="8"/>
      <color rgb="FFFF0000"/>
      <name val="Arial"/>
      <family val="2"/>
    </font>
    <font>
      <i/>
      <sz val="9"/>
      <color rgb="FFFF0000"/>
      <name val="Arial"/>
      <family val="2"/>
    </font>
    <font>
      <b/>
      <sz val="9"/>
      <name val="Arial"/>
      <family val="2"/>
      <charset val="186"/>
    </font>
    <font>
      <b/>
      <sz val="9"/>
      <color rgb="FF000000"/>
      <name val="Arial"/>
      <family val="2"/>
      <charset val="186"/>
    </font>
    <font>
      <b/>
      <i/>
      <sz val="9"/>
      <color rgb="FF000000"/>
      <name val="Arial"/>
      <family val="2"/>
      <charset val="186"/>
    </font>
    <font>
      <i/>
      <sz val="9"/>
      <name val="Arial"/>
      <family val="2"/>
      <charset val="186"/>
    </font>
    <font>
      <b/>
      <i/>
      <sz val="9"/>
      <color rgb="FFFF0000"/>
      <name val="Arial"/>
      <family val="2"/>
      <charset val="186"/>
    </font>
    <font>
      <b/>
      <i/>
      <sz val="10"/>
      <color rgb="FFFF0000"/>
      <name val="Arial"/>
      <family val="2"/>
    </font>
    <font>
      <b/>
      <i/>
      <sz val="7"/>
      <color rgb="FFFF0000"/>
      <name val="Arial"/>
      <family val="2"/>
    </font>
    <font>
      <strike/>
      <sz val="9"/>
      <name val="Arial"/>
      <family val="2"/>
    </font>
    <font>
      <b/>
      <i/>
      <sz val="9"/>
      <name val="Arial"/>
      <family val="2"/>
      <charset val="186"/>
    </font>
    <font>
      <b/>
      <i/>
      <sz val="11"/>
      <color rgb="FFFF0000"/>
      <name val="Times New Roman"/>
      <family val="1"/>
      <charset val="186"/>
    </font>
    <font>
      <i/>
      <sz val="9"/>
      <color rgb="FFFF0000"/>
      <name val="Arial"/>
      <family val="2"/>
      <charset val="186"/>
    </font>
    <font>
      <sz val="7"/>
      <color rgb="FFFF0000"/>
      <name val="Arial"/>
      <family val="2"/>
      <charset val="186"/>
    </font>
    <font>
      <b/>
      <sz val="11"/>
      <color rgb="FFFF0000"/>
      <name val="Arial"/>
      <family val="2"/>
    </font>
    <font>
      <sz val="9"/>
      <color indexed="81"/>
      <name val="Tahoma"/>
      <family val="2"/>
    </font>
    <font>
      <b/>
      <sz val="9"/>
      <color indexed="81"/>
      <name val="Tahoma"/>
      <family val="2"/>
    </font>
    <font>
      <b/>
      <i/>
      <sz val="9"/>
      <color theme="4"/>
      <name val="Arial"/>
      <family val="2"/>
    </font>
    <font>
      <i/>
      <sz val="9"/>
      <color theme="4"/>
      <name val="Arial"/>
      <family val="2"/>
    </font>
    <font>
      <b/>
      <i/>
      <sz val="9"/>
      <color rgb="FFC00000"/>
      <name val="Arial"/>
      <family val="2"/>
    </font>
    <font>
      <sz val="10"/>
      <color rgb="FFFF0000"/>
      <name val="Ariel"/>
      <charset val="186"/>
    </font>
    <font>
      <b/>
      <sz val="10"/>
      <color rgb="FF222222"/>
      <name val="Ariel"/>
      <charset val="186"/>
    </font>
    <font>
      <sz val="10"/>
      <color rgb="FF00B050"/>
      <name val="Arial"/>
      <family val="2"/>
      <charset val="186"/>
    </font>
    <font>
      <i/>
      <strike/>
      <sz val="9"/>
      <name val="Arial"/>
      <family val="2"/>
    </font>
    <font>
      <i/>
      <sz val="9"/>
      <name val="Times New Roman"/>
      <family val="1"/>
    </font>
    <font>
      <i/>
      <sz val="9"/>
      <color rgb="FFFF0000"/>
      <name val="Times New Roman"/>
      <family val="1"/>
    </font>
    <font>
      <i/>
      <sz val="9"/>
      <name val="Times New Roman"/>
      <family val="1"/>
      <charset val="186"/>
    </font>
    <font>
      <i/>
      <sz val="9"/>
      <color rgb="FFFF0000"/>
      <name val="Times New Roman"/>
      <family val="1"/>
      <charset val="186"/>
    </font>
    <font>
      <i/>
      <sz val="9"/>
      <color theme="1"/>
      <name val="Arial"/>
      <family val="2"/>
      <charset val="186"/>
    </font>
    <font>
      <i/>
      <sz val="9"/>
      <color theme="1"/>
      <name val="Arial"/>
      <family val="2"/>
    </font>
    <font>
      <b/>
      <sz val="10"/>
      <color rgb="FF0070C0"/>
      <name val="Arial"/>
      <family val="2"/>
    </font>
    <font>
      <sz val="10"/>
      <color rgb="FF0070C0"/>
      <name val="Arial"/>
      <family val="2"/>
    </font>
    <font>
      <i/>
      <sz val="9"/>
      <color indexed="10"/>
      <name val="Arial"/>
      <family val="2"/>
    </font>
    <font>
      <i/>
      <sz val="11"/>
      <name val="Times New Roman"/>
      <family val="1"/>
    </font>
    <font>
      <sz val="12"/>
      <name val="Arial"/>
      <family val="2"/>
    </font>
    <font>
      <sz val="12"/>
      <color rgb="FFFF0000"/>
      <name val="Arial"/>
      <family val="2"/>
    </font>
    <font>
      <b/>
      <sz val="12"/>
      <color rgb="FFFF0000"/>
      <name val="Arial"/>
      <family val="2"/>
    </font>
    <font>
      <b/>
      <sz val="10"/>
      <color rgb="FFFF0000"/>
      <name val="Ariel"/>
      <charset val="186"/>
    </font>
    <font>
      <sz val="10"/>
      <color rgb="FFFF0000"/>
      <name val="Times New Roman"/>
      <family val="1"/>
      <charset val="186"/>
    </font>
    <font>
      <sz val="9"/>
      <color rgb="FF00B050"/>
      <name val="Arial"/>
      <family val="2"/>
    </font>
    <font>
      <i/>
      <sz val="9"/>
      <color rgb="FF00B050"/>
      <name val="Arial"/>
      <family val="2"/>
    </font>
    <font>
      <sz val="10"/>
      <color rgb="FF00B050"/>
      <name val="Arial"/>
      <family val="2"/>
    </font>
    <font>
      <b/>
      <sz val="9"/>
      <color rgb="FFC00000"/>
      <name val="Arial"/>
      <family val="2"/>
    </font>
    <font>
      <i/>
      <sz val="9"/>
      <color rgb="FF7030A0"/>
      <name val="Arial"/>
      <family val="2"/>
    </font>
    <font>
      <i/>
      <sz val="9"/>
      <color rgb="FF7030A0"/>
      <name val="Arial"/>
      <family val="2"/>
      <charset val="186"/>
    </font>
    <font>
      <b/>
      <sz val="9"/>
      <color rgb="FF7030A0"/>
      <name val="Arial"/>
      <family val="2"/>
    </font>
    <font>
      <b/>
      <i/>
      <sz val="9"/>
      <color rgb="FF7030A0"/>
      <name val="Arial"/>
      <family val="2"/>
    </font>
    <font>
      <sz val="9"/>
      <color rgb="FF7030A0"/>
      <name val="Arial"/>
      <family val="2"/>
    </font>
    <font>
      <i/>
      <sz val="10"/>
      <color rgb="FF7030A0"/>
      <name val="Arial"/>
      <family val="2"/>
    </font>
    <font>
      <sz val="10"/>
      <color rgb="FF7030A0"/>
      <name val="Arial"/>
      <family val="2"/>
    </font>
    <font>
      <sz val="8"/>
      <color rgb="FF7030A0"/>
      <name val="Arial"/>
      <family val="2"/>
    </font>
    <font>
      <sz val="12"/>
      <color rgb="FF7030A0"/>
      <name val="Arial"/>
      <family val="2"/>
    </font>
    <font>
      <b/>
      <sz val="12"/>
      <color rgb="FF7030A0"/>
      <name val="Arial"/>
      <family val="2"/>
    </font>
    <font>
      <b/>
      <sz val="8"/>
      <color rgb="FF7030A0"/>
      <name val="Arial"/>
      <family val="2"/>
    </font>
    <font>
      <b/>
      <i/>
      <sz val="9"/>
      <color theme="1"/>
      <name val="Arial"/>
      <family val="2"/>
    </font>
    <font>
      <i/>
      <sz val="8"/>
      <name val="Arial"/>
      <family val="2"/>
    </font>
    <font>
      <sz val="7"/>
      <color rgb="FF7030A0"/>
      <name val="Arial"/>
      <family val="2"/>
    </font>
    <font>
      <b/>
      <i/>
      <sz val="8"/>
      <color rgb="FF7030A0"/>
      <name val="Arial"/>
      <family val="2"/>
    </font>
    <font>
      <sz val="7"/>
      <color rgb="FF7030A0"/>
      <name val="Arial"/>
      <family val="2"/>
      <charset val="186"/>
    </font>
    <font>
      <sz val="10"/>
      <color rgb="FF7030A0"/>
      <name val="Arial"/>
      <family val="2"/>
      <charset val="186"/>
    </font>
    <font>
      <b/>
      <sz val="9"/>
      <color rgb="FF7030A0"/>
      <name val="Arial"/>
      <family val="2"/>
      <charset val="186"/>
    </font>
    <font>
      <b/>
      <i/>
      <sz val="9"/>
      <color rgb="FF7030A0"/>
      <name val="Arial"/>
      <family val="2"/>
      <charset val="186"/>
    </font>
    <font>
      <i/>
      <sz val="9"/>
      <color rgb="FF7030A0"/>
      <name val="Times New Roman"/>
      <family val="1"/>
      <charset val="186"/>
    </font>
    <font>
      <sz val="9"/>
      <color rgb="FF7030A0"/>
      <name val="Arial"/>
      <family val="2"/>
      <charset val="186"/>
    </font>
    <font>
      <sz val="12"/>
      <color rgb="FF7030A0"/>
      <name val="Arial"/>
      <family val="2"/>
      <charset val="186"/>
    </font>
    <font>
      <b/>
      <sz val="12"/>
      <color rgb="FF7030A0"/>
      <name val="Arial"/>
      <family val="2"/>
      <charset val="186"/>
    </font>
    <font>
      <b/>
      <i/>
      <sz val="10"/>
      <color rgb="FF7030A0"/>
      <name val="Arial"/>
      <family val="2"/>
    </font>
    <font>
      <b/>
      <sz val="11"/>
      <color rgb="FF7030A0"/>
      <name val="Arial"/>
      <family val="2"/>
    </font>
    <font>
      <b/>
      <sz val="7"/>
      <color rgb="FF7030A0"/>
      <name val="Arial"/>
      <family val="2"/>
    </font>
    <font>
      <b/>
      <i/>
      <sz val="7"/>
      <color rgb="FF7030A0"/>
      <name val="Arial"/>
      <family val="2"/>
    </font>
    <font>
      <i/>
      <sz val="7"/>
      <color rgb="FF7030A0"/>
      <name val="Arial"/>
      <family val="2"/>
      <charset val="186"/>
    </font>
    <font>
      <b/>
      <i/>
      <sz val="11"/>
      <color rgb="FF7030A0"/>
      <name val="Times New Roman"/>
      <family val="1"/>
      <charset val="186"/>
    </font>
    <font>
      <i/>
      <sz val="7"/>
      <color rgb="FF7030A0"/>
      <name val="Arial"/>
      <family val="2"/>
    </font>
    <font>
      <b/>
      <i/>
      <sz val="11"/>
      <color rgb="FFFF0000"/>
      <name val="Times New Roman"/>
      <family val="1"/>
    </font>
    <font>
      <i/>
      <sz val="11"/>
      <color rgb="FFFF0000"/>
      <name val="Times New Roman"/>
      <family val="1"/>
    </font>
    <font>
      <sz val="9"/>
      <color theme="7" tint="-0.249977111117893"/>
      <name val="Arial"/>
      <family val="2"/>
    </font>
    <font>
      <b/>
      <sz val="9"/>
      <color theme="4"/>
      <name val="Arial"/>
      <family val="2"/>
      <charset val="186"/>
    </font>
    <font>
      <sz val="7"/>
      <color rgb="FF00B050"/>
      <name val="Arial"/>
      <family val="2"/>
    </font>
    <font>
      <sz val="9"/>
      <color theme="1"/>
      <name val="Arial"/>
      <family val="2"/>
      <charset val="186"/>
    </font>
    <font>
      <sz val="7"/>
      <color theme="1"/>
      <name val="Arial"/>
      <family val="2"/>
    </font>
    <font>
      <b/>
      <sz val="7"/>
      <color theme="1"/>
      <name val="Arial"/>
      <family val="2"/>
    </font>
    <font>
      <i/>
      <sz val="7"/>
      <color theme="1"/>
      <name val="Arial"/>
      <family val="2"/>
    </font>
    <font>
      <sz val="14"/>
      <name val="Arial"/>
      <family val="2"/>
    </font>
    <font>
      <b/>
      <sz val="8"/>
      <color rgb="FFFF0000"/>
      <name val="Arial"/>
      <family val="2"/>
    </font>
    <font>
      <b/>
      <sz val="9"/>
      <color theme="1"/>
      <name val="Arial"/>
      <family val="2"/>
      <charset val="186"/>
    </font>
    <font>
      <sz val="8"/>
      <color theme="1"/>
      <name val="Arial"/>
      <family val="2"/>
    </font>
    <font>
      <b/>
      <sz val="10"/>
      <color theme="1"/>
      <name val="Arial"/>
      <family val="2"/>
    </font>
    <font>
      <sz val="10"/>
      <color theme="1"/>
      <name val="Arial"/>
      <family val="2"/>
    </font>
    <font>
      <b/>
      <sz val="9"/>
      <color theme="7"/>
      <name val="Arial"/>
      <family val="2"/>
      <charset val="186"/>
    </font>
    <font>
      <b/>
      <sz val="9"/>
      <color theme="7"/>
      <name val="Arial"/>
      <family val="2"/>
    </font>
    <font>
      <b/>
      <sz val="10"/>
      <color rgb="FFFF0000"/>
      <name val="Arial"/>
      <family val="2"/>
      <charset val="186"/>
    </font>
    <font>
      <b/>
      <i/>
      <sz val="10"/>
      <color rgb="FFFF0000"/>
      <name val="Arial"/>
      <family val="2"/>
      <charset val="186"/>
    </font>
    <font>
      <sz val="12"/>
      <color theme="1"/>
      <name val="Arial"/>
      <family val="2"/>
    </font>
    <font>
      <b/>
      <strike/>
      <sz val="9"/>
      <name val="Arial"/>
      <family val="2"/>
    </font>
    <font>
      <sz val="10"/>
      <color theme="1"/>
      <name val="Arial"/>
      <family val="2"/>
      <charset val="186"/>
    </font>
    <font>
      <sz val="12"/>
      <name val="Arial"/>
      <family val="2"/>
      <charset val="186"/>
    </font>
    <font>
      <i/>
      <sz val="7"/>
      <color theme="1"/>
      <name val="Arial"/>
      <family val="2"/>
      <charset val="186"/>
    </font>
    <font>
      <sz val="7"/>
      <color theme="1"/>
      <name val="Arial"/>
      <family val="2"/>
      <charset val="186"/>
    </font>
    <font>
      <i/>
      <sz val="11"/>
      <color theme="1"/>
      <name val="Times New Roman"/>
      <family val="1"/>
      <charset val="186"/>
    </font>
    <font>
      <sz val="8"/>
      <color theme="1"/>
      <name val="Arial"/>
      <family val="2"/>
      <charset val="186"/>
    </font>
    <font>
      <sz val="12"/>
      <color theme="1"/>
      <name val="Arial"/>
      <family val="2"/>
      <charset val="186"/>
    </font>
    <font>
      <i/>
      <sz val="10"/>
      <color theme="1"/>
      <name val="Arial"/>
      <family val="2"/>
    </font>
    <font>
      <sz val="10"/>
      <color theme="1"/>
      <name val="Ariel"/>
      <charset val="186"/>
    </font>
    <font>
      <b/>
      <sz val="10"/>
      <color theme="1"/>
      <name val="Ariel"/>
      <charset val="186"/>
    </font>
    <font>
      <b/>
      <sz val="9"/>
      <color rgb="FF000000"/>
      <name val="Ariel"/>
      <charset val="186"/>
    </font>
    <font>
      <b/>
      <sz val="9"/>
      <name val="Ariel"/>
      <charset val="186"/>
    </font>
    <font>
      <b/>
      <i/>
      <sz val="9"/>
      <color rgb="FF000000"/>
      <name val="Ariel"/>
      <charset val="186"/>
    </font>
    <font>
      <sz val="9"/>
      <color rgb="FF000000"/>
      <name val="Ariel"/>
      <charset val="186"/>
    </font>
    <font>
      <sz val="9"/>
      <name val="Ariel"/>
      <charset val="186"/>
    </font>
    <font>
      <sz val="9"/>
      <color rgb="FFFF0000"/>
      <name val="Ariel"/>
      <charset val="186"/>
    </font>
    <font>
      <b/>
      <sz val="9"/>
      <color rgb="FFFF0000"/>
      <name val="Ariel"/>
      <charset val="186"/>
    </font>
    <font>
      <b/>
      <sz val="10"/>
      <name val="Ariel"/>
    </font>
    <font>
      <sz val="10"/>
      <name val="Ariel"/>
    </font>
  </fonts>
  <fills count="57">
    <fill>
      <patternFill patternType="none"/>
    </fill>
    <fill>
      <patternFill patternType="gray125"/>
    </fill>
    <fill>
      <patternFill patternType="solid">
        <fgColor indexed="42"/>
        <bgColor indexed="41"/>
      </patternFill>
    </fill>
    <fill>
      <patternFill patternType="solid">
        <fgColor indexed="22"/>
        <bgColor indexed="31"/>
      </patternFill>
    </fill>
    <fill>
      <patternFill patternType="solid">
        <fgColor indexed="9"/>
        <bgColor indexed="26"/>
      </patternFill>
    </fill>
    <fill>
      <patternFill patternType="solid">
        <fgColor rgb="FFFFFF00"/>
        <bgColor indexed="64"/>
      </patternFill>
    </fill>
    <fill>
      <patternFill patternType="solid">
        <fgColor rgb="FFFF99CC"/>
        <bgColor indexed="64"/>
      </patternFill>
    </fill>
    <fill>
      <patternFill patternType="solid">
        <fgColor rgb="FF99CCFF"/>
        <bgColor indexed="64"/>
      </patternFill>
    </fill>
    <fill>
      <patternFill patternType="solid">
        <fgColor rgb="FFCCFFCC"/>
        <bgColor indexed="64"/>
      </patternFill>
    </fill>
    <fill>
      <patternFill patternType="solid">
        <fgColor rgb="FFFFFFFF"/>
        <bgColor indexed="64"/>
      </patternFill>
    </fill>
    <fill>
      <patternFill patternType="solid">
        <fgColor rgb="FFDBE5F1"/>
        <bgColor indexed="64"/>
      </patternFill>
    </fill>
    <fill>
      <patternFill patternType="solid">
        <fgColor theme="8" tint="0.79998168889431442"/>
        <bgColor indexed="64"/>
      </patternFill>
    </fill>
    <fill>
      <patternFill patternType="solid">
        <fgColor theme="8" tint="0.79998168889431442"/>
        <bgColor indexed="26"/>
      </patternFill>
    </fill>
    <fill>
      <patternFill patternType="solid">
        <fgColor theme="8"/>
        <bgColor indexed="64"/>
      </patternFill>
    </fill>
    <fill>
      <patternFill patternType="solid">
        <fgColor theme="4" tint="0.79998168889431442"/>
        <bgColor indexed="64"/>
      </patternFill>
    </fill>
    <fill>
      <patternFill patternType="solid">
        <fgColor theme="4" tint="0.79998168889431442"/>
        <bgColor indexed="26"/>
      </patternFill>
    </fill>
    <fill>
      <patternFill patternType="solid">
        <fgColor rgb="FFFFFF00"/>
        <bgColor indexed="26"/>
      </patternFill>
    </fill>
    <fill>
      <patternFill patternType="solid">
        <fgColor theme="5" tint="0.79998168889431442"/>
        <bgColor indexed="64"/>
      </patternFill>
    </fill>
    <fill>
      <patternFill patternType="solid">
        <fgColor theme="9" tint="0.79998168889431442"/>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59999389629810485"/>
        <bgColor indexed="26"/>
      </patternFill>
    </fill>
    <fill>
      <patternFill patternType="solid">
        <fgColor theme="8" tint="0.59999389629810485"/>
        <bgColor indexed="26"/>
      </patternFill>
    </fill>
    <fill>
      <patternFill patternType="solid">
        <fgColor theme="8" tint="0.59999389629810485"/>
        <bgColor indexed="64"/>
      </patternFill>
    </fill>
    <fill>
      <patternFill patternType="solid">
        <fgColor theme="6" tint="0.79998168889431442"/>
        <bgColor indexed="64"/>
      </patternFill>
    </fill>
    <fill>
      <patternFill patternType="solid">
        <fgColor theme="6" tint="0.79998168889431442"/>
        <bgColor indexed="26"/>
      </patternFill>
    </fill>
    <fill>
      <patternFill patternType="solid">
        <fgColor theme="6" tint="0.79998168889431442"/>
        <bgColor indexed="9"/>
      </patternFill>
    </fill>
    <fill>
      <patternFill patternType="solid">
        <fgColor theme="6" tint="0.79998168889431442"/>
        <bgColor indexed="31"/>
      </patternFill>
    </fill>
    <fill>
      <patternFill patternType="solid">
        <fgColor theme="0"/>
        <bgColor indexed="64"/>
      </patternFill>
    </fill>
    <fill>
      <patternFill patternType="solid">
        <fgColor theme="5" tint="0.39997558519241921"/>
        <bgColor indexed="64"/>
      </patternFill>
    </fill>
    <fill>
      <patternFill patternType="solid">
        <fgColor theme="5" tint="0.39997558519241921"/>
        <bgColor indexed="26"/>
      </patternFill>
    </fill>
    <fill>
      <patternFill patternType="solid">
        <fgColor theme="5" tint="0.59999389629810485"/>
        <bgColor indexed="64"/>
      </patternFill>
    </fill>
    <fill>
      <patternFill patternType="solid">
        <fgColor rgb="FF92D050"/>
        <bgColor indexed="26"/>
      </patternFill>
    </fill>
    <fill>
      <patternFill patternType="solid">
        <fgColor theme="4" tint="0.59999389629810485"/>
        <bgColor indexed="64"/>
      </patternFill>
    </fill>
    <fill>
      <patternFill patternType="solid">
        <fgColor theme="6"/>
        <bgColor indexed="64"/>
      </patternFill>
    </fill>
    <fill>
      <patternFill patternType="solid">
        <fgColor theme="6"/>
        <bgColor indexed="26"/>
      </patternFill>
    </fill>
    <fill>
      <patternFill patternType="solid">
        <fgColor theme="5"/>
        <bgColor indexed="64"/>
      </patternFill>
    </fill>
    <fill>
      <patternFill patternType="solid">
        <fgColor theme="6" tint="0.39997558519241921"/>
        <bgColor indexed="64"/>
      </patternFill>
    </fill>
    <fill>
      <patternFill patternType="solid">
        <fgColor theme="6" tint="0.39997558519241921"/>
        <bgColor indexed="26"/>
      </patternFill>
    </fill>
    <fill>
      <patternFill patternType="solid">
        <fgColor rgb="FFFF0000"/>
        <bgColor indexed="64"/>
      </patternFill>
    </fill>
    <fill>
      <patternFill patternType="solid">
        <fgColor rgb="FF00B050"/>
        <bgColor indexed="64"/>
      </patternFill>
    </fill>
    <fill>
      <patternFill patternType="solid">
        <fgColor rgb="FF00B050"/>
        <bgColor indexed="26"/>
      </patternFill>
    </fill>
    <fill>
      <patternFill patternType="solid">
        <fgColor theme="9" tint="0.39997558519241921"/>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3" tint="0.59999389629810485"/>
        <bgColor indexed="64"/>
      </patternFill>
    </fill>
    <fill>
      <patternFill patternType="solid">
        <fgColor rgb="FFB7DEE8"/>
        <bgColor indexed="64"/>
      </patternFill>
    </fill>
    <fill>
      <patternFill patternType="solid">
        <fgColor rgb="FF00B0F0"/>
        <bgColor indexed="64"/>
      </patternFill>
    </fill>
    <fill>
      <patternFill patternType="solid">
        <fgColor theme="9" tint="-0.249977111117893"/>
        <bgColor indexed="64"/>
      </patternFill>
    </fill>
    <fill>
      <patternFill patternType="solid">
        <fgColor theme="9" tint="-0.249977111117893"/>
        <bgColor indexed="26"/>
      </patternFill>
    </fill>
    <fill>
      <patternFill patternType="solid">
        <fgColor theme="7" tint="0.79998168889431442"/>
        <bgColor indexed="64"/>
      </patternFill>
    </fill>
    <fill>
      <patternFill patternType="solid">
        <fgColor theme="7" tint="0.79998168889431442"/>
        <bgColor indexed="26"/>
      </patternFill>
    </fill>
    <fill>
      <patternFill patternType="solid">
        <fgColor theme="7" tint="0.79998168889431442"/>
        <bgColor indexed="31"/>
      </patternFill>
    </fill>
    <fill>
      <patternFill patternType="solid">
        <fgColor theme="7" tint="-0.249977111117893"/>
        <bgColor indexed="64"/>
      </patternFill>
    </fill>
    <fill>
      <patternFill patternType="solid">
        <fgColor theme="0"/>
        <bgColor indexed="26"/>
      </patternFill>
    </fill>
    <fill>
      <patternFill patternType="solid">
        <fgColor rgb="FFDEEAF6"/>
        <bgColor indexed="64"/>
      </patternFill>
    </fill>
  </fills>
  <borders count="108">
    <border>
      <left/>
      <right/>
      <top/>
      <bottom/>
      <diagonal/>
    </border>
    <border>
      <left/>
      <right/>
      <top/>
      <bottom style="thick">
        <color indexed="22"/>
      </bottom>
      <diagonal/>
    </border>
    <border>
      <left/>
      <right/>
      <top/>
      <bottom style="thick">
        <color indexed="6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bottom/>
      <diagonal/>
    </border>
    <border>
      <left style="thin">
        <color indexed="64"/>
      </left>
      <right style="thin">
        <color indexed="64"/>
      </right>
      <top/>
      <bottom/>
      <diagonal/>
    </border>
    <border>
      <left style="thin">
        <color indexed="8"/>
      </left>
      <right/>
      <top style="thin">
        <color indexed="8"/>
      </top>
      <bottom/>
      <diagonal/>
    </border>
    <border>
      <left/>
      <right style="thin">
        <color indexed="8"/>
      </right>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8"/>
      </right>
      <top style="thin">
        <color indexed="8"/>
      </top>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8"/>
      </right>
      <top/>
      <bottom/>
      <diagonal/>
    </border>
    <border>
      <left style="medium">
        <color indexed="64"/>
      </left>
      <right/>
      <top/>
      <bottom style="medium">
        <color indexed="64"/>
      </bottom>
      <diagonal/>
    </border>
    <border>
      <left/>
      <right style="thin">
        <color indexed="64"/>
      </right>
      <top/>
      <bottom/>
      <diagonal/>
    </border>
    <border>
      <left style="thin">
        <color indexed="64"/>
      </left>
      <right/>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4"/>
      </left>
      <right style="thin">
        <color theme="4"/>
      </right>
      <top style="thin">
        <color theme="4"/>
      </top>
      <bottom style="thin">
        <color theme="4"/>
      </bottom>
      <diagonal/>
    </border>
    <border>
      <left style="thin">
        <color theme="4"/>
      </left>
      <right/>
      <top/>
      <bottom/>
      <diagonal/>
    </border>
    <border>
      <left/>
      <right style="thin">
        <color theme="4"/>
      </right>
      <top/>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style="thin">
        <color theme="4"/>
      </left>
      <right style="thin">
        <color theme="4"/>
      </right>
      <top/>
      <bottom/>
      <diagonal/>
    </border>
    <border>
      <left style="thin">
        <color indexed="8"/>
      </left>
      <right style="thin">
        <color indexed="64"/>
      </right>
      <top style="thin">
        <color indexed="64"/>
      </top>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right/>
      <top/>
      <bottom style="thin">
        <color theme="4"/>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medium">
        <color theme="4"/>
      </left>
      <right style="thin">
        <color theme="4"/>
      </right>
      <top style="medium">
        <color theme="4"/>
      </top>
      <bottom style="thin">
        <color theme="4"/>
      </bottom>
      <diagonal/>
    </border>
    <border>
      <left style="thin">
        <color theme="4"/>
      </left>
      <right style="thin">
        <color theme="4"/>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style="thin">
        <color theme="4"/>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style="thin">
        <color theme="4"/>
      </right>
      <top style="thin">
        <color theme="4"/>
      </top>
      <bottom style="medium">
        <color theme="4"/>
      </bottom>
      <diagonal/>
    </border>
    <border>
      <left/>
      <right style="medium">
        <color theme="4"/>
      </right>
      <top style="thin">
        <color theme="4"/>
      </top>
      <bottom style="thin">
        <color theme="4"/>
      </bottom>
      <diagonal/>
    </border>
    <border>
      <left style="thin">
        <color theme="4"/>
      </left>
      <right style="medium">
        <color theme="4"/>
      </right>
      <top style="thin">
        <color theme="4"/>
      </top>
      <bottom/>
      <diagonal/>
    </border>
    <border>
      <left style="thin">
        <color theme="4"/>
      </left>
      <right style="medium">
        <color theme="4"/>
      </right>
      <top/>
      <bottom/>
      <diagonal/>
    </border>
    <border>
      <left style="thin">
        <color theme="4"/>
      </left>
      <right style="medium">
        <color theme="4"/>
      </right>
      <top/>
      <bottom style="medium">
        <color theme="4"/>
      </bottom>
      <diagonal/>
    </border>
    <border>
      <left style="thin">
        <color theme="4"/>
      </left>
      <right/>
      <top style="thin">
        <color theme="4"/>
      </top>
      <bottom style="medium">
        <color theme="4"/>
      </bottom>
      <diagonal/>
    </border>
    <border>
      <left/>
      <right/>
      <top style="thin">
        <color theme="4"/>
      </top>
      <bottom style="medium">
        <color theme="4"/>
      </bottom>
      <diagonal/>
    </border>
    <border>
      <left/>
      <right style="thin">
        <color theme="4"/>
      </right>
      <top style="thin">
        <color theme="4"/>
      </top>
      <bottom style="medium">
        <color theme="4"/>
      </bottom>
      <diagonal/>
    </border>
    <border>
      <left style="thin">
        <color theme="4"/>
      </left>
      <right/>
      <top style="thin">
        <color theme="4"/>
      </top>
      <bottom style="thin">
        <color indexed="64"/>
      </bottom>
      <diagonal/>
    </border>
    <border>
      <left style="thin">
        <color theme="4"/>
      </left>
      <right/>
      <top/>
      <bottom style="thin">
        <color theme="4"/>
      </bottom>
      <diagonal/>
    </border>
    <border>
      <left/>
      <right style="thin">
        <color theme="4"/>
      </right>
      <top/>
      <bottom style="thin">
        <color theme="4"/>
      </bottom>
      <diagonal/>
    </border>
    <border>
      <left/>
      <right style="thin">
        <color theme="4"/>
      </right>
      <top style="thin">
        <color theme="4"/>
      </top>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4">
    <xf numFmtId="0" fontId="0" fillId="0" borderId="0"/>
    <xf numFmtId="164" fontId="22" fillId="0" borderId="0" applyFill="0" applyBorder="0" applyAlignment="0" applyProtection="0"/>
    <xf numFmtId="165" fontId="3" fillId="0" borderId="0"/>
    <xf numFmtId="0" fontId="3" fillId="0" borderId="0"/>
    <xf numFmtId="0" fontId="4" fillId="0" borderId="0" applyNumberFormat="0" applyFill="0" applyBorder="0" applyAlignment="0" applyProtection="0"/>
    <xf numFmtId="0" fontId="5" fillId="2" borderId="0" applyNumberFormat="0" applyBorder="0" applyAlignment="0" applyProtection="0"/>
    <xf numFmtId="0" fontId="6" fillId="0" borderId="2" applyNumberFormat="0" applyFill="0" applyAlignment="0" applyProtection="0"/>
    <xf numFmtId="0" fontId="7" fillId="0" borderId="1"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22" fillId="0" borderId="0"/>
    <xf numFmtId="0" fontId="3" fillId="0" borderId="0"/>
    <xf numFmtId="0" fontId="9" fillId="0" borderId="0"/>
    <xf numFmtId="0" fontId="10" fillId="3" borderId="4" applyNumberFormat="0" applyAlignment="0" applyProtection="0"/>
    <xf numFmtId="0" fontId="22" fillId="0" borderId="0">
      <protection locked="0"/>
    </xf>
    <xf numFmtId="0" fontId="22" fillId="0" borderId="0">
      <protection locked="0"/>
    </xf>
    <xf numFmtId="0" fontId="22" fillId="0" borderId="0"/>
    <xf numFmtId="0" fontId="11" fillId="0" borderId="0" applyNumberFormat="0" applyFill="0" applyBorder="0" applyAlignment="0" applyProtection="0"/>
    <xf numFmtId="0" fontId="12" fillId="0" borderId="5" applyNumberFormat="0" applyFill="0" applyAlignment="0" applyProtection="0"/>
    <xf numFmtId="0" fontId="13" fillId="0" borderId="0" applyNumberFormat="0" applyFill="0" applyBorder="0" applyAlignment="0" applyProtection="0"/>
    <xf numFmtId="0" fontId="23" fillId="0" borderId="0"/>
    <xf numFmtId="43" fontId="22" fillId="0" borderId="0" applyFont="0" applyFill="0" applyBorder="0" applyAlignment="0" applyProtection="0"/>
    <xf numFmtId="9" fontId="22" fillId="0" borderId="0" applyFont="0" applyFill="0" applyBorder="0" applyAlignment="0" applyProtection="0"/>
    <xf numFmtId="0" fontId="2" fillId="0" borderId="0"/>
  </cellStyleXfs>
  <cellXfs count="3790">
    <xf numFmtId="0" fontId="0" fillId="0" borderId="0" xfId="0"/>
    <xf numFmtId="0" fontId="0" fillId="0" borderId="0" xfId="0" applyAlignment="1">
      <alignment horizontal="center"/>
    </xf>
    <xf numFmtId="0" fontId="15" fillId="0" borderId="11" xfId="0" applyFont="1" applyBorder="1" applyAlignment="1">
      <alignment wrapText="1"/>
    </xf>
    <xf numFmtId="0" fontId="15" fillId="0" borderId="0" xfId="0" applyFont="1"/>
    <xf numFmtId="0" fontId="14" fillId="0" borderId="0" xfId="0" applyFont="1" applyAlignment="1">
      <alignment horizontal="center" vertical="center" wrapText="1"/>
    </xf>
    <xf numFmtId="0" fontId="15" fillId="0" borderId="34" xfId="0" applyFont="1" applyBorder="1"/>
    <xf numFmtId="0" fontId="14" fillId="0" borderId="34" xfId="0" applyFont="1" applyBorder="1" applyAlignment="1">
      <alignment horizontal="center" vertical="center" wrapText="1"/>
    </xf>
    <xf numFmtId="0" fontId="15" fillId="0" borderId="35" xfId="0" applyFont="1" applyBorder="1" applyAlignment="1">
      <alignment vertical="center" wrapText="1"/>
    </xf>
    <xf numFmtId="0" fontId="15" fillId="0" borderId="37" xfId="0" applyFont="1" applyBorder="1" applyAlignment="1">
      <alignment vertical="center" wrapText="1"/>
    </xf>
    <xf numFmtId="0" fontId="17" fillId="0" borderId="37" xfId="0" applyFont="1" applyBorder="1" applyAlignment="1">
      <alignment vertical="center" wrapText="1"/>
    </xf>
    <xf numFmtId="0" fontId="15" fillId="0" borderId="34" xfId="0" applyFont="1" applyBorder="1" applyAlignment="1">
      <alignment vertical="center" wrapText="1"/>
    </xf>
    <xf numFmtId="0" fontId="15" fillId="8" borderId="35" xfId="0" applyFont="1" applyFill="1" applyBorder="1" applyAlignment="1">
      <alignment vertical="center"/>
    </xf>
    <xf numFmtId="0" fontId="25" fillId="8" borderId="35" xfId="0" applyFont="1" applyFill="1" applyBorder="1" applyAlignment="1">
      <alignment vertical="center" wrapText="1"/>
    </xf>
    <xf numFmtId="0" fontId="15" fillId="8" borderId="35" xfId="0" applyFont="1" applyFill="1" applyBorder="1" applyAlignment="1">
      <alignment vertical="center" wrapText="1"/>
    </xf>
    <xf numFmtId="0" fontId="17" fillId="0" borderId="37" xfId="0" applyFont="1" applyBorder="1" applyAlignment="1">
      <alignment vertical="center"/>
    </xf>
    <xf numFmtId="0" fontId="15" fillId="8" borderId="36" xfId="0" applyFont="1" applyFill="1" applyBorder="1" applyAlignment="1">
      <alignment vertical="center" wrapText="1"/>
    </xf>
    <xf numFmtId="0" fontId="16" fillId="0" borderId="34" xfId="0" applyFont="1" applyBorder="1" applyAlignment="1">
      <alignment vertical="center" wrapText="1"/>
    </xf>
    <xf numFmtId="0" fontId="17" fillId="0" borderId="34" xfId="0" applyFont="1" applyBorder="1" applyAlignment="1">
      <alignment vertical="center" wrapText="1"/>
    </xf>
    <xf numFmtId="0" fontId="25" fillId="0" borderId="37" xfId="0" applyFont="1" applyBorder="1" applyAlignment="1">
      <alignment vertical="center" wrapText="1"/>
    </xf>
    <xf numFmtId="0" fontId="25" fillId="0" borderId="38" xfId="0" applyFont="1" applyBorder="1" applyAlignment="1">
      <alignment vertical="center" wrapText="1"/>
    </xf>
    <xf numFmtId="0" fontId="15" fillId="0" borderId="37" xfId="0" applyFont="1" applyBorder="1" applyAlignment="1">
      <alignment wrapText="1"/>
    </xf>
    <xf numFmtId="0" fontId="15" fillId="0" borderId="34" xfId="0" applyFont="1" applyBorder="1" applyAlignment="1">
      <alignment wrapText="1"/>
    </xf>
    <xf numFmtId="0" fontId="25" fillId="0" borderId="34" xfId="0" applyFont="1" applyBorder="1" applyAlignment="1">
      <alignment vertical="center" wrapText="1"/>
    </xf>
    <xf numFmtId="0" fontId="26" fillId="0" borderId="37" xfId="0" applyFont="1" applyBorder="1" applyAlignment="1">
      <alignment vertical="center" wrapText="1"/>
    </xf>
    <xf numFmtId="3" fontId="15" fillId="0" borderId="34" xfId="0" applyNumberFormat="1" applyFont="1" applyBorder="1" applyAlignment="1">
      <alignment vertical="center" wrapText="1"/>
    </xf>
    <xf numFmtId="0" fontId="19" fillId="0" borderId="34" xfId="0" applyFont="1" applyBorder="1" applyAlignment="1">
      <alignment vertical="center" wrapText="1"/>
    </xf>
    <xf numFmtId="0" fontId="15" fillId="0" borderId="38" xfId="0" applyFont="1" applyBorder="1" applyAlignment="1">
      <alignment horizontal="justify" vertical="center" wrapText="1"/>
    </xf>
    <xf numFmtId="0" fontId="15" fillId="0" borderId="37" xfId="0" applyFont="1" applyBorder="1" applyAlignment="1">
      <alignment horizontal="justify" vertical="center" wrapText="1"/>
    </xf>
    <xf numFmtId="0" fontId="15" fillId="8" borderId="35" xfId="0" applyFont="1" applyFill="1" applyBorder="1" applyAlignment="1">
      <alignment horizontal="justify" vertical="center" wrapText="1"/>
    </xf>
    <xf numFmtId="0" fontId="15" fillId="9" borderId="34" xfId="0" applyFont="1" applyFill="1" applyBorder="1" applyAlignment="1">
      <alignment vertical="center" wrapText="1"/>
    </xf>
    <xf numFmtId="0" fontId="15" fillId="8" borderId="43" xfId="0" applyFont="1" applyFill="1" applyBorder="1" applyAlignment="1">
      <alignment vertical="top"/>
    </xf>
    <xf numFmtId="0" fontId="15" fillId="0" borderId="39" xfId="0" applyFont="1" applyBorder="1" applyAlignment="1">
      <alignment vertical="center" wrapText="1"/>
    </xf>
    <xf numFmtId="0" fontId="15" fillId="0" borderId="41" xfId="0" applyFont="1" applyBorder="1" applyAlignment="1">
      <alignment vertical="center" wrapText="1"/>
    </xf>
    <xf numFmtId="0" fontId="25" fillId="0" borderId="39" xfId="0" applyFont="1" applyBorder="1" applyAlignment="1">
      <alignment vertical="center" wrapText="1"/>
    </xf>
    <xf numFmtId="0" fontId="25" fillId="0" borderId="40" xfId="0" applyFont="1" applyBorder="1" applyAlignment="1">
      <alignment vertical="center" wrapText="1"/>
    </xf>
    <xf numFmtId="0" fontId="25" fillId="8" borderId="39" xfId="0" applyFont="1" applyFill="1" applyBorder="1" applyAlignment="1">
      <alignment vertical="center" wrapText="1"/>
    </xf>
    <xf numFmtId="0" fontId="24" fillId="8" borderId="42" xfId="0" applyFont="1" applyFill="1" applyBorder="1" applyAlignment="1">
      <alignment vertical="center"/>
    </xf>
    <xf numFmtId="0" fontId="24" fillId="8" borderId="43" xfId="0" applyFont="1" applyFill="1" applyBorder="1" applyAlignment="1">
      <alignment vertical="center"/>
    </xf>
    <xf numFmtId="0" fontId="26" fillId="0" borderId="39"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39" xfId="0" applyFont="1" applyBorder="1" applyAlignment="1">
      <alignment horizontal="center" vertical="center" wrapText="1"/>
    </xf>
    <xf numFmtId="0" fontId="17" fillId="0" borderId="39" xfId="0" applyFont="1" applyBorder="1" applyAlignment="1">
      <alignment horizontal="center" vertical="center" wrapText="1"/>
    </xf>
    <xf numFmtId="0" fontId="21" fillId="0" borderId="0" xfId="0" applyFont="1" applyAlignment="1">
      <alignment vertical="center"/>
    </xf>
    <xf numFmtId="0" fontId="14" fillId="0" borderId="11" xfId="0" applyFont="1" applyBorder="1" applyAlignment="1">
      <alignment horizontal="center" vertical="center" wrapText="1"/>
    </xf>
    <xf numFmtId="0" fontId="20" fillId="6" borderId="11" xfId="0" applyFont="1" applyFill="1" applyBorder="1" applyAlignment="1">
      <alignment vertical="center" wrapText="1"/>
    </xf>
    <xf numFmtId="0" fontId="15" fillId="0" borderId="11" xfId="0" applyFont="1" applyBorder="1" applyAlignment="1">
      <alignment vertical="center" wrapText="1"/>
    </xf>
    <xf numFmtId="0" fontId="15" fillId="5" borderId="11" xfId="0" applyFont="1" applyFill="1" applyBorder="1" applyAlignment="1">
      <alignment vertical="top" wrapText="1"/>
    </xf>
    <xf numFmtId="0" fontId="15" fillId="7" borderId="11" xfId="0" applyFont="1" applyFill="1" applyBorder="1" applyAlignment="1">
      <alignment wrapText="1"/>
    </xf>
    <xf numFmtId="0" fontId="15" fillId="8" borderId="11" xfId="0" applyFont="1" applyFill="1" applyBorder="1" applyAlignment="1">
      <alignment vertical="top"/>
    </xf>
    <xf numFmtId="0" fontId="15" fillId="8" borderId="11" xfId="0" applyFont="1" applyFill="1" applyBorder="1" applyAlignment="1">
      <alignment vertical="top" wrapText="1"/>
    </xf>
    <xf numFmtId="0" fontId="15" fillId="6" borderId="11" xfId="0" applyFont="1" applyFill="1" applyBorder="1" applyAlignment="1">
      <alignment vertical="top" wrapText="1"/>
    </xf>
    <xf numFmtId="0" fontId="16" fillId="0" borderId="11" xfId="0" applyFont="1" applyBorder="1" applyAlignment="1">
      <alignment vertical="center" wrapText="1"/>
    </xf>
    <xf numFmtId="0" fontId="17" fillId="0" borderId="11" xfId="0" applyFont="1" applyBorder="1" applyAlignment="1">
      <alignment vertical="center" wrapText="1"/>
    </xf>
    <xf numFmtId="0" fontId="24" fillId="8" borderId="11" xfId="0" applyFont="1" applyFill="1" applyBorder="1" applyAlignment="1">
      <alignment horizontal="left" vertical="center" wrapText="1"/>
    </xf>
    <xf numFmtId="0" fontId="25" fillId="0" borderId="11" xfId="0" applyFont="1" applyBorder="1" applyAlignment="1">
      <alignment vertical="center" wrapText="1"/>
    </xf>
    <xf numFmtId="3" fontId="15" fillId="0" borderId="11" xfId="0" applyNumberFormat="1" applyFont="1" applyBorder="1" applyAlignment="1">
      <alignment vertical="center" wrapText="1"/>
    </xf>
    <xf numFmtId="0" fontId="15" fillId="0" borderId="11" xfId="0" applyFont="1" applyBorder="1" applyAlignment="1">
      <alignment horizontal="center" vertical="center" wrapText="1"/>
    </xf>
    <xf numFmtId="0" fontId="19" fillId="0" borderId="11" xfId="0" applyFont="1" applyBorder="1" applyAlignment="1">
      <alignment vertical="center" wrapText="1"/>
    </xf>
    <xf numFmtId="0" fontId="24" fillId="8" borderId="11" xfId="0" applyFont="1" applyFill="1" applyBorder="1" applyAlignment="1">
      <alignment horizontal="justify" vertical="center" wrapText="1"/>
    </xf>
    <xf numFmtId="0" fontId="20" fillId="7" borderId="11" xfId="0" applyFont="1" applyFill="1" applyBorder="1" applyAlignment="1">
      <alignment vertical="center" wrapText="1"/>
    </xf>
    <xf numFmtId="0" fontId="14" fillId="8" borderId="11" xfId="0" applyFont="1" applyFill="1" applyBorder="1" applyAlignment="1">
      <alignment vertical="center"/>
    </xf>
    <xf numFmtId="0" fontId="24" fillId="8" borderId="11" xfId="0" applyFont="1" applyFill="1" applyBorder="1" applyAlignment="1">
      <alignment vertical="center" wrapText="1"/>
    </xf>
    <xf numFmtId="0" fontId="15" fillId="9" borderId="11" xfId="0" applyFont="1" applyFill="1" applyBorder="1" applyAlignment="1">
      <alignment vertical="center" wrapText="1"/>
    </xf>
    <xf numFmtId="0" fontId="0" fillId="0" borderId="48" xfId="0" applyBorder="1"/>
    <xf numFmtId="0" fontId="0" fillId="0" borderId="49" xfId="0" applyBorder="1"/>
    <xf numFmtId="0" fontId="0" fillId="0" borderId="51" xfId="0" applyBorder="1"/>
    <xf numFmtId="0" fontId="0" fillId="0" borderId="52" xfId="0" applyBorder="1"/>
    <xf numFmtId="0" fontId="0" fillId="0" borderId="53" xfId="0" applyBorder="1"/>
    <xf numFmtId="0" fontId="0" fillId="0" borderId="54" xfId="0" applyBorder="1"/>
    <xf numFmtId="0" fontId="0" fillId="0" borderId="55" xfId="0" applyBorder="1"/>
    <xf numFmtId="0" fontId="0" fillId="0" borderId="50" xfId="0" applyBorder="1"/>
    <xf numFmtId="0" fontId="15" fillId="0" borderId="0" xfId="0" applyFont="1" applyAlignment="1">
      <alignment vertical="center"/>
    </xf>
    <xf numFmtId="0" fontId="15" fillId="0" borderId="49" xfId="0" applyFont="1" applyBorder="1" applyAlignment="1">
      <alignment vertical="center"/>
    </xf>
    <xf numFmtId="0" fontId="34" fillId="0" borderId="0" xfId="0" applyFont="1" applyAlignment="1">
      <alignment horizontal="justify" vertical="center"/>
    </xf>
    <xf numFmtId="0" fontId="0" fillId="10" borderId="45" xfId="0" applyFill="1" applyBorder="1" applyAlignment="1">
      <alignment horizontal="left" vertical="center" wrapText="1"/>
    </xf>
    <xf numFmtId="0" fontId="0" fillId="0" borderId="45" xfId="0" applyBorder="1" applyAlignment="1">
      <alignment horizontal="left" vertical="center"/>
    </xf>
    <xf numFmtId="0" fontId="0" fillId="0" borderId="45" xfId="0" applyBorder="1" applyAlignment="1">
      <alignment horizontal="left" vertical="center" wrapText="1"/>
    </xf>
    <xf numFmtId="0" fontId="36" fillId="0" borderId="51" xfId="0" applyFont="1" applyBorder="1"/>
    <xf numFmtId="0" fontId="0" fillId="0" borderId="47" xfId="0" applyBorder="1"/>
    <xf numFmtId="0" fontId="0" fillId="0" borderId="46" xfId="0" applyBorder="1"/>
    <xf numFmtId="0" fontId="37" fillId="11" borderId="45" xfId="0" applyFont="1" applyFill="1" applyBorder="1" applyAlignment="1">
      <alignment horizontal="left" vertical="center"/>
    </xf>
    <xf numFmtId="0" fontId="37" fillId="11" borderId="45" xfId="0" applyFont="1" applyFill="1" applyBorder="1" applyAlignment="1">
      <alignment horizontal="left" vertical="center" wrapText="1"/>
    </xf>
    <xf numFmtId="0" fontId="29" fillId="0" borderId="0" xfId="0" applyFont="1" applyAlignment="1">
      <alignment horizontal="left" vertical="top" wrapText="1"/>
    </xf>
    <xf numFmtId="0" fontId="39" fillId="0" borderId="0" xfId="0" applyFont="1" applyAlignment="1">
      <alignment vertical="top"/>
    </xf>
    <xf numFmtId="0" fontId="33" fillId="0" borderId="0" xfId="0" applyFont="1"/>
    <xf numFmtId="0" fontId="42" fillId="0" borderId="11" xfId="0" applyFont="1" applyBorder="1" applyAlignment="1">
      <alignment horizontal="center" vertical="center" wrapText="1"/>
    </xf>
    <xf numFmtId="0" fontId="33" fillId="13" borderId="0" xfId="0" applyFont="1" applyFill="1"/>
    <xf numFmtId="0" fontId="39" fillId="0" borderId="0" xfId="0" applyFont="1"/>
    <xf numFmtId="0" fontId="46" fillId="0" borderId="0" xfId="0" applyFont="1"/>
    <xf numFmtId="0" fontId="48" fillId="0" borderId="0" xfId="0" applyFont="1"/>
    <xf numFmtId="0" fontId="48" fillId="13" borderId="0" xfId="0" applyFont="1" applyFill="1"/>
    <xf numFmtId="0" fontId="51" fillId="0" borderId="0" xfId="0" applyFont="1"/>
    <xf numFmtId="0" fontId="33" fillId="0" borderId="11" xfId="0" applyFont="1" applyBorder="1" applyAlignment="1">
      <alignment vertical="center" wrapText="1"/>
    </xf>
    <xf numFmtId="0" fontId="29" fillId="14" borderId="11" xfId="0" applyFont="1" applyFill="1" applyBorder="1" applyAlignment="1">
      <alignment vertical="center" wrapText="1"/>
    </xf>
    <xf numFmtId="0" fontId="29" fillId="14" borderId="11" xfId="0" applyFont="1" applyFill="1" applyBorder="1" applyAlignment="1">
      <alignment horizontal="left" vertical="center" wrapText="1"/>
    </xf>
    <xf numFmtId="169" fontId="33" fillId="0" borderId="11" xfId="0" applyNumberFormat="1" applyFont="1" applyBorder="1" applyAlignment="1">
      <alignment horizontal="left" vertical="center" wrapText="1"/>
    </xf>
    <xf numFmtId="2" fontId="33" fillId="0" borderId="11" xfId="0" applyNumberFormat="1" applyFont="1" applyBorder="1" applyAlignment="1">
      <alignment horizontal="left" vertical="center" wrapText="1"/>
    </xf>
    <xf numFmtId="14" fontId="33" fillId="0" borderId="11" xfId="0" applyNumberFormat="1" applyFont="1" applyBorder="1" applyAlignment="1">
      <alignment vertical="center" wrapText="1"/>
    </xf>
    <xf numFmtId="0" fontId="33" fillId="0" borderId="0" xfId="0" applyFont="1" applyAlignment="1">
      <alignment vertical="top"/>
    </xf>
    <xf numFmtId="0" fontId="38" fillId="0" borderId="0" xfId="0" applyFont="1" applyAlignment="1">
      <alignment horizontal="left" vertical="top" wrapText="1"/>
    </xf>
    <xf numFmtId="0" fontId="52" fillId="0" borderId="0" xfId="0" applyFont="1"/>
    <xf numFmtId="0" fontId="33" fillId="0" borderId="0" xfId="0" applyFont="1" applyAlignment="1">
      <alignment vertical="center"/>
    </xf>
    <xf numFmtId="0" fontId="33" fillId="14" borderId="0" xfId="0" applyFont="1" applyFill="1" applyAlignment="1">
      <alignment vertical="center"/>
    </xf>
    <xf numFmtId="0" fontId="33" fillId="0" borderId="0" xfId="0" applyFont="1" applyAlignment="1">
      <alignment horizontal="left" vertical="center"/>
    </xf>
    <xf numFmtId="0" fontId="33" fillId="0" borderId="11" xfId="0" applyFont="1" applyBorder="1" applyAlignment="1">
      <alignment vertical="center"/>
    </xf>
    <xf numFmtId="0" fontId="53" fillId="0" borderId="11" xfId="0" applyFont="1" applyBorder="1" applyAlignment="1">
      <alignment horizontal="center" vertical="center" wrapText="1"/>
    </xf>
    <xf numFmtId="0" fontId="52" fillId="0" borderId="11" xfId="0" applyFont="1" applyBorder="1" applyAlignment="1">
      <alignment horizontal="center" vertical="center" wrapText="1"/>
    </xf>
    <xf numFmtId="0" fontId="52" fillId="0" borderId="11" xfId="0" applyFont="1" applyBorder="1" applyAlignment="1">
      <alignment horizontal="justify" vertical="center" wrapText="1"/>
    </xf>
    <xf numFmtId="0" fontId="52" fillId="18" borderId="11" xfId="0" applyFont="1" applyFill="1" applyBorder="1"/>
    <xf numFmtId="0" fontId="54" fillId="18" borderId="11" xfId="0" applyFont="1" applyFill="1" applyBorder="1" applyAlignment="1">
      <alignment horizontal="center" vertical="center"/>
    </xf>
    <xf numFmtId="0" fontId="53" fillId="14" borderId="11" xfId="0" applyFont="1" applyFill="1" applyBorder="1" applyAlignment="1">
      <alignment horizontal="center" vertical="center" wrapText="1"/>
    </xf>
    <xf numFmtId="0" fontId="52" fillId="14" borderId="11" xfId="0" applyFont="1" applyFill="1" applyBorder="1" applyAlignment="1">
      <alignment horizontal="center" vertical="center" wrapText="1"/>
    </xf>
    <xf numFmtId="0" fontId="33" fillId="0" borderId="0" xfId="0" applyFont="1" applyAlignment="1">
      <alignment horizontal="left" vertical="top" wrapText="1"/>
    </xf>
    <xf numFmtId="166" fontId="33" fillId="0" borderId="0" xfId="0" applyNumberFormat="1" applyFont="1"/>
    <xf numFmtId="0" fontId="29" fillId="0" borderId="0" xfId="0" applyFont="1" applyAlignment="1">
      <alignment vertical="top" wrapText="1"/>
    </xf>
    <xf numFmtId="166" fontId="39" fillId="0" borderId="0" xfId="0" applyNumberFormat="1" applyFont="1"/>
    <xf numFmtId="166" fontId="48" fillId="0" borderId="0" xfId="0" applyNumberFormat="1" applyFont="1"/>
    <xf numFmtId="0" fontId="41" fillId="0" borderId="17" xfId="0" applyFont="1" applyBorder="1" applyAlignment="1">
      <alignment horizontal="center" vertical="center" wrapText="1"/>
    </xf>
    <xf numFmtId="0" fontId="57" fillId="0" borderId="52" xfId="0" applyFont="1" applyBorder="1"/>
    <xf numFmtId="0" fontId="0" fillId="0" borderId="51" xfId="0" applyBorder="1" applyAlignment="1">
      <alignment horizontal="left"/>
    </xf>
    <xf numFmtId="0" fontId="0" fillId="0" borderId="0" xfId="0" applyAlignment="1">
      <alignment horizontal="left"/>
    </xf>
    <xf numFmtId="0" fontId="38" fillId="0" borderId="0" xfId="0" applyFont="1"/>
    <xf numFmtId="49" fontId="39" fillId="0" borderId="0" xfId="0" applyNumberFormat="1" applyFont="1"/>
    <xf numFmtId="0" fontId="49" fillId="0" borderId="0" xfId="0" applyFont="1" applyAlignment="1">
      <alignment vertical="center"/>
    </xf>
    <xf numFmtId="0" fontId="49" fillId="0" borderId="0" xfId="0" applyFont="1" applyAlignment="1">
      <alignment horizontal="center" vertical="center"/>
    </xf>
    <xf numFmtId="0" fontId="39" fillId="0" borderId="0" xfId="0" applyFont="1" applyAlignment="1">
      <alignment horizontal="center"/>
    </xf>
    <xf numFmtId="0" fontId="39" fillId="0" borderId="0" xfId="0" applyFont="1" applyAlignment="1">
      <alignment horizontal="left" vertical="top" wrapText="1"/>
    </xf>
    <xf numFmtId="0" fontId="48" fillId="0" borderId="11" xfId="0" applyFont="1" applyBorder="1"/>
    <xf numFmtId="0" fontId="37" fillId="0" borderId="0" xfId="0" applyFont="1"/>
    <xf numFmtId="0" fontId="52" fillId="18" borderId="17" xfId="0" applyFont="1" applyFill="1" applyBorder="1"/>
    <xf numFmtId="0" fontId="0" fillId="0" borderId="0" xfId="0" applyAlignment="1">
      <alignment vertical="center"/>
    </xf>
    <xf numFmtId="0" fontId="46" fillId="0" borderId="0" xfId="0" applyFont="1" applyAlignment="1">
      <alignment vertical="center"/>
    </xf>
    <xf numFmtId="0" fontId="71" fillId="0" borderId="0" xfId="0" applyFont="1" applyAlignment="1">
      <alignment vertical="center" wrapText="1"/>
    </xf>
    <xf numFmtId="0" fontId="75" fillId="0" borderId="0" xfId="0" applyFont="1" applyAlignment="1">
      <alignment vertical="center"/>
    </xf>
    <xf numFmtId="0" fontId="75" fillId="0" borderId="0" xfId="0" applyFont="1" applyAlignment="1">
      <alignment vertical="center" wrapText="1"/>
    </xf>
    <xf numFmtId="0" fontId="74" fillId="0" borderId="0" xfId="0" applyFont="1" applyAlignment="1">
      <alignment vertical="center"/>
    </xf>
    <xf numFmtId="0" fontId="75" fillId="0" borderId="0" xfId="0" applyFont="1" applyAlignment="1">
      <alignment horizontal="center" vertical="center" wrapText="1"/>
    </xf>
    <xf numFmtId="0" fontId="74" fillId="0" borderId="0" xfId="0" applyFont="1" applyAlignment="1">
      <alignment vertical="center" textRotation="90" wrapText="1"/>
    </xf>
    <xf numFmtId="0" fontId="72" fillId="0" borderId="0" xfId="0" applyFont="1" applyAlignment="1">
      <alignment horizontal="center" vertical="center" wrapText="1"/>
    </xf>
    <xf numFmtId="0" fontId="30" fillId="0" borderId="0" xfId="0" applyFont="1" applyAlignment="1">
      <alignment vertical="center" wrapText="1"/>
    </xf>
    <xf numFmtId="0" fontId="64" fillId="0" borderId="0" xfId="0" applyFont="1" applyAlignment="1">
      <alignment horizontal="center" vertical="center"/>
    </xf>
    <xf numFmtId="0" fontId="64" fillId="0" borderId="0" xfId="0" applyFont="1" applyAlignment="1">
      <alignment vertical="center"/>
    </xf>
    <xf numFmtId="0" fontId="64" fillId="0" borderId="0" xfId="0" applyFont="1" applyAlignment="1">
      <alignment vertical="center" wrapText="1"/>
    </xf>
    <xf numFmtId="0" fontId="73" fillId="0" borderId="0" xfId="0" applyFont="1" applyAlignment="1">
      <alignment vertical="center" wrapText="1"/>
    </xf>
    <xf numFmtId="0" fontId="72" fillId="0" borderId="0" xfId="0" applyFont="1" applyAlignment="1">
      <alignment vertical="center" wrapText="1"/>
    </xf>
    <xf numFmtId="0" fontId="72" fillId="0" borderId="0" xfId="0" applyFont="1" applyAlignment="1">
      <alignment vertical="center"/>
    </xf>
    <xf numFmtId="0" fontId="33" fillId="29" borderId="0" xfId="0" applyFont="1" applyFill="1"/>
    <xf numFmtId="0" fontId="76" fillId="0" borderId="53" xfId="0" applyFont="1" applyBorder="1"/>
    <xf numFmtId="0" fontId="76" fillId="0" borderId="54" xfId="0" applyFont="1" applyBorder="1"/>
    <xf numFmtId="0" fontId="76" fillId="0" borderId="55" xfId="0" applyFont="1" applyBorder="1"/>
    <xf numFmtId="166" fontId="0" fillId="0" borderId="0" xfId="0" applyNumberFormat="1"/>
    <xf numFmtId="166" fontId="57" fillId="0" borderId="0" xfId="0" applyNumberFormat="1" applyFont="1"/>
    <xf numFmtId="166" fontId="49" fillId="0" borderId="0" xfId="0" applyNumberFormat="1" applyFont="1" applyAlignment="1">
      <alignment vertical="center"/>
    </xf>
    <xf numFmtId="0" fontId="33" fillId="5" borderId="0" xfId="0" applyFont="1" applyFill="1"/>
    <xf numFmtId="0" fontId="51" fillId="5" borderId="0" xfId="0" applyFont="1" applyFill="1"/>
    <xf numFmtId="0" fontId="39" fillId="0" borderId="0" xfId="0" applyFont="1" applyAlignment="1">
      <alignment horizontal="left"/>
    </xf>
    <xf numFmtId="0" fontId="44" fillId="0" borderId="0" xfId="0" applyFont="1"/>
    <xf numFmtId="0" fontId="39" fillId="0" borderId="0" xfId="0" applyFont="1" applyAlignment="1">
      <alignment horizontal="center" vertical="top" wrapText="1"/>
    </xf>
    <xf numFmtId="0" fontId="51" fillId="0" borderId="0" xfId="0" applyFont="1" applyAlignment="1">
      <alignment wrapText="1"/>
    </xf>
    <xf numFmtId="0" fontId="29" fillId="0" borderId="0" xfId="0" applyFont="1" applyAlignment="1">
      <alignment vertical="center"/>
    </xf>
    <xf numFmtId="0" fontId="39" fillId="0" borderId="0" xfId="0" applyFont="1" applyAlignment="1">
      <alignment horizontal="left" wrapText="1"/>
    </xf>
    <xf numFmtId="166" fontId="78" fillId="0" borderId="0" xfId="0" applyNumberFormat="1" applyFont="1"/>
    <xf numFmtId="0" fontId="39" fillId="0" borderId="0" xfId="0" applyFont="1" applyAlignment="1">
      <alignment horizontal="left" vertical="center" wrapText="1"/>
    </xf>
    <xf numFmtId="0" fontId="48" fillId="0" borderId="0" xfId="0" applyFont="1" applyAlignment="1">
      <alignment vertical="center"/>
    </xf>
    <xf numFmtId="0" fontId="48" fillId="0" borderId="11" xfId="0" applyFont="1" applyBorder="1" applyAlignment="1">
      <alignment vertical="center"/>
    </xf>
    <xf numFmtId="166" fontId="47" fillId="0" borderId="11" xfId="0" applyNumberFormat="1" applyFont="1" applyBorder="1" applyAlignment="1">
      <alignment vertical="center"/>
    </xf>
    <xf numFmtId="166" fontId="47" fillId="0" borderId="11" xfId="0" applyNumberFormat="1" applyFont="1" applyBorder="1" applyAlignment="1">
      <alignment horizontal="center" vertical="center" wrapText="1"/>
    </xf>
    <xf numFmtId="166" fontId="47" fillId="0" borderId="12" xfId="0" applyNumberFormat="1" applyFont="1" applyBorder="1" applyAlignment="1">
      <alignment vertical="center"/>
    </xf>
    <xf numFmtId="0" fontId="48" fillId="0" borderId="0" xfId="0" applyFont="1" applyAlignment="1">
      <alignment horizontal="center" vertical="center"/>
    </xf>
    <xf numFmtId="166" fontId="47" fillId="0" borderId="17" xfId="0" applyNumberFormat="1" applyFont="1" applyBorder="1" applyAlignment="1">
      <alignment horizontal="center" vertical="center" wrapText="1"/>
    </xf>
    <xf numFmtId="166" fontId="47" fillId="0" borderId="11" xfId="0" applyNumberFormat="1" applyFont="1" applyBorder="1" applyAlignment="1">
      <alignment horizontal="center" vertical="center"/>
    </xf>
    <xf numFmtId="166" fontId="47" fillId="0" borderId="0" xfId="0" applyNumberFormat="1" applyFont="1" applyAlignment="1">
      <alignment vertical="center" wrapText="1"/>
    </xf>
    <xf numFmtId="166" fontId="84" fillId="0" borderId="0" xfId="0" applyNumberFormat="1" applyFont="1" applyAlignment="1">
      <alignment vertical="center" wrapText="1"/>
    </xf>
    <xf numFmtId="0" fontId="47" fillId="23" borderId="11" xfId="0" applyFont="1" applyFill="1" applyBorder="1" applyAlignment="1">
      <alignment horizontal="center" vertical="center" wrapText="1"/>
    </xf>
    <xf numFmtId="166" fontId="48" fillId="24" borderId="11" xfId="0" applyNumberFormat="1" applyFont="1" applyFill="1" applyBorder="1" applyAlignment="1">
      <alignment vertical="center"/>
    </xf>
    <xf numFmtId="166" fontId="47" fillId="24" borderId="11" xfId="0" applyNumberFormat="1" applyFont="1" applyFill="1" applyBorder="1" applyAlignment="1">
      <alignment horizontal="center" vertical="center"/>
    </xf>
    <xf numFmtId="49" fontId="47" fillId="24" borderId="11" xfId="0" applyNumberFormat="1" applyFont="1" applyFill="1" applyBorder="1" applyAlignment="1">
      <alignment vertical="center" wrapText="1"/>
    </xf>
    <xf numFmtId="49" fontId="48" fillId="24" borderId="11" xfId="0" applyNumberFormat="1" applyFont="1" applyFill="1" applyBorder="1" applyAlignment="1">
      <alignment vertical="center" wrapText="1"/>
    </xf>
    <xf numFmtId="166" fontId="47" fillId="23" borderId="11" xfId="0" applyNumberFormat="1" applyFont="1" applyFill="1" applyBorder="1" applyAlignment="1">
      <alignment horizontal="center" vertical="center"/>
    </xf>
    <xf numFmtId="0" fontId="47" fillId="23" borderId="11" xfId="0" applyFont="1" applyFill="1" applyBorder="1" applyAlignment="1">
      <alignment horizontal="center" vertical="center"/>
    </xf>
    <xf numFmtId="0" fontId="47" fillId="23" borderId="11" xfId="0" applyFont="1" applyFill="1" applyBorder="1" applyAlignment="1">
      <alignment horizontal="left" vertical="center"/>
    </xf>
    <xf numFmtId="0" fontId="89" fillId="0" borderId="0" xfId="0" applyFont="1"/>
    <xf numFmtId="0" fontId="47" fillId="11" borderId="11" xfId="0" applyFont="1" applyFill="1" applyBorder="1" applyAlignment="1">
      <alignment horizontal="center" vertical="center" wrapText="1"/>
    </xf>
    <xf numFmtId="0" fontId="48" fillId="0" borderId="11" xfId="0" applyFont="1" applyBorder="1" applyAlignment="1">
      <alignment horizontal="left" vertical="center" wrapText="1"/>
    </xf>
    <xf numFmtId="0" fontId="47" fillId="11" borderId="11" xfId="0" applyFont="1" applyFill="1" applyBorder="1" applyAlignment="1">
      <alignment horizontal="left" vertical="center" wrapText="1"/>
    </xf>
    <xf numFmtId="0" fontId="47" fillId="0" borderId="11" xfId="0" applyFont="1" applyBorder="1" applyAlignment="1">
      <alignment horizontal="left" vertical="center" wrapText="1"/>
    </xf>
    <xf numFmtId="0" fontId="48" fillId="28" borderId="11" xfId="0" applyFont="1" applyFill="1" applyBorder="1" applyAlignment="1">
      <alignment horizontal="left" vertical="center" wrapText="1"/>
    </xf>
    <xf numFmtId="0" fontId="90" fillId="28" borderId="11" xfId="0" applyFont="1" applyFill="1" applyBorder="1" applyAlignment="1">
      <alignment horizontal="left" vertical="center" wrapText="1"/>
    </xf>
    <xf numFmtId="0" fontId="90" fillId="0" borderId="11" xfId="0" applyFont="1" applyBorder="1" applyAlignment="1">
      <alignment horizontal="left" vertical="center" wrapText="1"/>
    </xf>
    <xf numFmtId="0" fontId="48" fillId="0" borderId="0" xfId="0" applyFont="1" applyAlignment="1">
      <alignment vertical="top"/>
    </xf>
    <xf numFmtId="0" fontId="47" fillId="11" borderId="12" xfId="0" applyFont="1" applyFill="1" applyBorder="1" applyAlignment="1">
      <alignment horizontal="center" vertical="center" wrapText="1"/>
    </xf>
    <xf numFmtId="166" fontId="47" fillId="0" borderId="0" xfId="0" applyNumberFormat="1" applyFont="1" applyAlignment="1">
      <alignment horizontal="center" vertical="center" wrapText="1"/>
    </xf>
    <xf numFmtId="166" fontId="47" fillId="0" borderId="0" xfId="0" applyNumberFormat="1" applyFont="1" applyAlignment="1">
      <alignment horizontal="center" vertical="center"/>
    </xf>
    <xf numFmtId="166" fontId="84" fillId="0" borderId="0" xfId="0" applyNumberFormat="1" applyFont="1" applyAlignment="1">
      <alignment horizontal="center" vertical="center" wrapText="1"/>
    </xf>
    <xf numFmtId="166" fontId="47" fillId="0" borderId="7" xfId="0" applyNumberFormat="1" applyFont="1" applyBorder="1" applyAlignment="1">
      <alignment horizontal="center" vertical="center"/>
    </xf>
    <xf numFmtId="9" fontId="47" fillId="0" borderId="17" xfId="22" applyFont="1" applyFill="1" applyBorder="1" applyAlignment="1">
      <alignment horizontal="center" vertical="center" wrapText="1"/>
    </xf>
    <xf numFmtId="0" fontId="47" fillId="23" borderId="11" xfId="0" applyFont="1" applyFill="1" applyBorder="1" applyAlignment="1">
      <alignment horizontal="left" vertical="center" wrapText="1"/>
    </xf>
    <xf numFmtId="166" fontId="48" fillId="23" borderId="11" xfId="0" applyNumberFormat="1" applyFont="1" applyFill="1" applyBorder="1" applyAlignment="1">
      <alignment horizontal="left" vertical="center"/>
    </xf>
    <xf numFmtId="49" fontId="48" fillId="0" borderId="0" xfId="0" applyNumberFormat="1" applyFont="1"/>
    <xf numFmtId="0" fontId="33" fillId="0" borderId="0" xfId="0" applyFont="1" applyAlignment="1">
      <alignment horizontal="center" vertical="top"/>
    </xf>
    <xf numFmtId="0" fontId="33" fillId="0" borderId="0" xfId="0" applyFont="1" applyAlignment="1">
      <alignment horizontal="center"/>
    </xf>
    <xf numFmtId="0" fontId="29" fillId="0" borderId="0" xfId="0" applyFont="1" applyAlignment="1">
      <alignment horizontal="center" vertical="top" wrapText="1"/>
    </xf>
    <xf numFmtId="0" fontId="48" fillId="0" borderId="0" xfId="0" applyFont="1" applyAlignment="1">
      <alignment horizontal="center"/>
    </xf>
    <xf numFmtId="0" fontId="85" fillId="0" borderId="11" xfId="0" applyFont="1" applyBorder="1" applyAlignment="1">
      <alignment horizontal="center" vertical="center" wrapText="1"/>
    </xf>
    <xf numFmtId="49" fontId="47" fillId="24" borderId="17" xfId="0" applyNumberFormat="1" applyFont="1" applyFill="1" applyBorder="1" applyAlignment="1">
      <alignment vertical="top" wrapText="1"/>
    </xf>
    <xf numFmtId="49" fontId="47" fillId="24" borderId="19" xfId="0" applyNumberFormat="1" applyFont="1" applyFill="1" applyBorder="1" applyAlignment="1">
      <alignment vertical="top" wrapText="1"/>
    </xf>
    <xf numFmtId="166" fontId="47" fillId="23" borderId="11" xfId="0" applyNumberFormat="1" applyFont="1" applyFill="1" applyBorder="1" applyAlignment="1">
      <alignment horizontal="left" vertical="center"/>
    </xf>
    <xf numFmtId="166" fontId="84" fillId="0" borderId="0" xfId="0" applyNumberFormat="1" applyFont="1" applyAlignment="1">
      <alignment horizontal="left" vertical="center" wrapText="1"/>
    </xf>
    <xf numFmtId="9" fontId="84" fillId="0" borderId="17" xfId="22" applyFont="1" applyBorder="1" applyAlignment="1">
      <alignment horizontal="center" vertical="center" wrapText="1"/>
    </xf>
    <xf numFmtId="9" fontId="84" fillId="0" borderId="11" xfId="22" applyFont="1" applyBorder="1" applyAlignment="1">
      <alignment horizontal="center" vertical="center"/>
    </xf>
    <xf numFmtId="0" fontId="47" fillId="0" borderId="11" xfId="0" applyFont="1" applyBorder="1" applyAlignment="1">
      <alignment vertical="center"/>
    </xf>
    <xf numFmtId="49" fontId="48" fillId="24" borderId="11" xfId="0" applyNumberFormat="1" applyFont="1" applyFill="1" applyBorder="1" applyAlignment="1">
      <alignment horizontal="center" vertical="center" wrapText="1"/>
    </xf>
    <xf numFmtId="166" fontId="47" fillId="14" borderId="11" xfId="0" applyNumberFormat="1" applyFont="1" applyFill="1" applyBorder="1" applyAlignment="1">
      <alignment horizontal="left" vertical="center"/>
    </xf>
    <xf numFmtId="166" fontId="47" fillId="0" borderId="11" xfId="0" applyNumberFormat="1" applyFont="1" applyBorder="1" applyAlignment="1">
      <alignment horizontal="left" vertical="center"/>
    </xf>
    <xf numFmtId="49" fontId="47" fillId="23" borderId="11" xfId="0" applyNumberFormat="1" applyFont="1" applyFill="1" applyBorder="1" applyAlignment="1">
      <alignment horizontal="left" vertical="center"/>
    </xf>
    <xf numFmtId="49" fontId="47" fillId="23" borderId="11" xfId="0" applyNumberFormat="1" applyFont="1" applyFill="1" applyBorder="1" applyAlignment="1">
      <alignment horizontal="left" vertical="center" wrapText="1"/>
    </xf>
    <xf numFmtId="166" fontId="84" fillId="0" borderId="11" xfId="0" applyNumberFormat="1" applyFont="1" applyBorder="1" applyAlignment="1">
      <alignment horizontal="left" vertical="center"/>
    </xf>
    <xf numFmtId="166" fontId="47" fillId="0" borderId="0" xfId="0" applyNumberFormat="1" applyFont="1" applyAlignment="1">
      <alignment horizontal="left" vertical="center"/>
    </xf>
    <xf numFmtId="166" fontId="48" fillId="24" borderId="11" xfId="0" applyNumberFormat="1" applyFont="1" applyFill="1" applyBorder="1" applyAlignment="1">
      <alignment horizontal="left" vertical="center"/>
    </xf>
    <xf numFmtId="0" fontId="47" fillId="0" borderId="0" xfId="0" applyFont="1" applyAlignment="1">
      <alignment horizontal="left" vertical="center" wrapText="1"/>
    </xf>
    <xf numFmtId="0" fontId="48" fillId="0" borderId="27" xfId="0" applyFont="1" applyBorder="1" applyAlignment="1">
      <alignment horizontal="left" vertical="center"/>
    </xf>
    <xf numFmtId="0" fontId="48" fillId="0" borderId="0" xfId="0" applyFont="1" applyAlignment="1">
      <alignment horizontal="left" vertical="center"/>
    </xf>
    <xf numFmtId="0" fontId="47" fillId="0" borderId="0" xfId="0" applyFont="1" applyAlignment="1">
      <alignment horizontal="left" vertical="center"/>
    </xf>
    <xf numFmtId="166" fontId="47" fillId="0" borderId="0" xfId="0" applyNumberFormat="1" applyFont="1" applyAlignment="1">
      <alignment horizontal="left" vertical="center" wrapText="1"/>
    </xf>
    <xf numFmtId="9" fontId="47" fillId="0" borderId="17" xfId="22" applyFont="1" applyBorder="1" applyAlignment="1">
      <alignment horizontal="left" vertical="center" wrapText="1"/>
    </xf>
    <xf numFmtId="166" fontId="47" fillId="0" borderId="11" xfId="0" applyNumberFormat="1" applyFont="1" applyBorder="1" applyAlignment="1">
      <alignment horizontal="left" vertical="center" wrapText="1"/>
    </xf>
    <xf numFmtId="166" fontId="47" fillId="0" borderId="17" xfId="0" applyNumberFormat="1" applyFont="1" applyBorder="1" applyAlignment="1">
      <alignment horizontal="left" vertical="center" wrapText="1"/>
    </xf>
    <xf numFmtId="49" fontId="47" fillId="24" borderId="17" xfId="0" applyNumberFormat="1" applyFont="1" applyFill="1" applyBorder="1" applyAlignment="1">
      <alignment horizontal="center" vertical="top" wrapText="1"/>
    </xf>
    <xf numFmtId="0" fontId="52" fillId="18" borderId="11" xfId="0" applyFont="1" applyFill="1" applyBorder="1" applyAlignment="1">
      <alignment horizontal="center"/>
    </xf>
    <xf numFmtId="0" fontId="52" fillId="18" borderId="17" xfId="0" applyFont="1" applyFill="1" applyBorder="1" applyAlignment="1">
      <alignment horizontal="center"/>
    </xf>
    <xf numFmtId="0" fontId="52" fillId="0" borderId="0" xfId="0" applyFont="1" applyAlignment="1">
      <alignment horizontal="center"/>
    </xf>
    <xf numFmtId="0" fontId="0" fillId="0" borderId="49" xfId="0" applyBorder="1" applyAlignment="1">
      <alignment horizontal="center"/>
    </xf>
    <xf numFmtId="0" fontId="35" fillId="10" borderId="45" xfId="0" applyFont="1" applyFill="1" applyBorder="1" applyAlignment="1">
      <alignment horizontal="center" vertical="center" wrapText="1"/>
    </xf>
    <xf numFmtId="0" fontId="0" fillId="10" borderId="45" xfId="0" applyFill="1" applyBorder="1" applyAlignment="1">
      <alignment horizontal="center" vertical="center" wrapText="1"/>
    </xf>
    <xf numFmtId="0" fontId="37" fillId="11" borderId="45" xfId="0" applyFont="1" applyFill="1" applyBorder="1" applyAlignment="1">
      <alignment horizontal="center" vertical="center" wrapText="1"/>
    </xf>
    <xf numFmtId="0" fontId="0" fillId="0" borderId="45" xfId="0" applyBorder="1" applyAlignment="1">
      <alignment horizontal="center" vertical="center" wrapText="1"/>
    </xf>
    <xf numFmtId="0" fontId="0" fillId="0" borderId="45" xfId="0" applyBorder="1" applyAlignment="1">
      <alignment horizontal="center" vertical="center"/>
    </xf>
    <xf numFmtId="0" fontId="37" fillId="11" borderId="45" xfId="0" applyFont="1" applyFill="1" applyBorder="1" applyAlignment="1">
      <alignment horizontal="center" vertical="center"/>
    </xf>
    <xf numFmtId="0" fontId="0" fillId="0" borderId="54" xfId="0" applyBorder="1" applyAlignment="1">
      <alignment horizontal="center"/>
    </xf>
    <xf numFmtId="0" fontId="47" fillId="0" borderId="0" xfId="0" applyFont="1" applyAlignment="1">
      <alignment horizontal="center"/>
    </xf>
    <xf numFmtId="166" fontId="84" fillId="0" borderId="0" xfId="0" applyNumberFormat="1" applyFont="1" applyAlignment="1">
      <alignment horizontal="center" vertical="center"/>
    </xf>
    <xf numFmtId="166" fontId="84" fillId="0" borderId="11" xfId="0" applyNumberFormat="1" applyFont="1" applyBorder="1" applyAlignment="1">
      <alignment horizontal="center" vertical="center"/>
    </xf>
    <xf numFmtId="0" fontId="84" fillId="12" borderId="11" xfId="0" applyFont="1" applyFill="1" applyBorder="1" applyAlignment="1">
      <alignment horizontal="center" vertical="center" wrapText="1"/>
    </xf>
    <xf numFmtId="166" fontId="84" fillId="0" borderId="17" xfId="0" applyNumberFormat="1" applyFont="1" applyBorder="1" applyAlignment="1">
      <alignment horizontal="center" vertical="center" wrapText="1"/>
    </xf>
    <xf numFmtId="166" fontId="84" fillId="0" borderId="7" xfId="0" applyNumberFormat="1" applyFont="1" applyBorder="1" applyAlignment="1">
      <alignment horizontal="center" vertical="center"/>
    </xf>
    <xf numFmtId="166" fontId="84" fillId="0" borderId="11" xfId="0" applyNumberFormat="1" applyFont="1" applyBorder="1" applyAlignment="1">
      <alignment horizontal="center" vertical="center" wrapText="1"/>
    </xf>
    <xf numFmtId="9" fontId="84" fillId="0" borderId="11" xfId="22" applyFont="1" applyFill="1" applyBorder="1" applyAlignment="1">
      <alignment horizontal="center" vertical="top"/>
    </xf>
    <xf numFmtId="9" fontId="84" fillId="0" borderId="7" xfId="22" applyFont="1" applyBorder="1" applyAlignment="1">
      <alignment horizontal="center" vertical="center"/>
    </xf>
    <xf numFmtId="9" fontId="84" fillId="0" borderId="11" xfId="22" applyFont="1" applyBorder="1" applyAlignment="1">
      <alignment horizontal="center" vertical="center" wrapText="1"/>
    </xf>
    <xf numFmtId="166" fontId="97" fillId="0" borderId="11" xfId="0" applyNumberFormat="1" applyFont="1" applyBorder="1" applyAlignment="1">
      <alignment vertical="center"/>
    </xf>
    <xf numFmtId="9" fontId="97" fillId="0" borderId="11" xfId="22" applyFont="1" applyBorder="1" applyAlignment="1">
      <alignment vertical="center"/>
    </xf>
    <xf numFmtId="0" fontId="97" fillId="12" borderId="11" xfId="0" applyFont="1" applyFill="1" applyBorder="1" applyAlignment="1">
      <alignment vertical="center" wrapText="1"/>
    </xf>
    <xf numFmtId="166" fontId="97" fillId="0" borderId="17" xfId="0" applyNumberFormat="1" applyFont="1" applyBorder="1" applyAlignment="1">
      <alignment vertical="center" wrapText="1"/>
    </xf>
    <xf numFmtId="9" fontId="97" fillId="0" borderId="17" xfId="22" applyFont="1" applyBorder="1" applyAlignment="1">
      <alignment vertical="center" wrapText="1"/>
    </xf>
    <xf numFmtId="166" fontId="97" fillId="0" borderId="6" xfId="0" applyNumberFormat="1" applyFont="1" applyBorder="1" applyAlignment="1">
      <alignment vertical="center"/>
    </xf>
    <xf numFmtId="9" fontId="97" fillId="0" borderId="6" xfId="22" applyFont="1" applyFill="1" applyBorder="1" applyAlignment="1">
      <alignment vertical="center"/>
    </xf>
    <xf numFmtId="166" fontId="84" fillId="23" borderId="11" xfId="0" applyNumberFormat="1" applyFont="1" applyFill="1" applyBorder="1" applyAlignment="1">
      <alignment horizontal="left" vertical="center"/>
    </xf>
    <xf numFmtId="166" fontId="84" fillId="14" borderId="11" xfId="0" applyNumberFormat="1" applyFont="1" applyFill="1" applyBorder="1" applyAlignment="1">
      <alignment horizontal="left" vertical="center"/>
    </xf>
    <xf numFmtId="0" fontId="84" fillId="12" borderId="11" xfId="0" applyFont="1" applyFill="1" applyBorder="1" applyAlignment="1">
      <alignment horizontal="left" vertical="center" wrapText="1"/>
    </xf>
    <xf numFmtId="9" fontId="84" fillId="0" borderId="17" xfId="22" applyFont="1" applyBorder="1" applyAlignment="1">
      <alignment horizontal="left" vertical="center" wrapText="1"/>
    </xf>
    <xf numFmtId="9" fontId="84" fillId="0" borderId="17" xfId="22" applyFont="1" applyFill="1" applyBorder="1" applyAlignment="1">
      <alignment horizontal="left" vertical="center" wrapText="1"/>
    </xf>
    <xf numFmtId="166" fontId="84" fillId="0" borderId="11" xfId="0" applyNumberFormat="1" applyFont="1" applyBorder="1" applyAlignment="1">
      <alignment horizontal="left" vertical="center" wrapText="1"/>
    </xf>
    <xf numFmtId="166" fontId="84" fillId="0" borderId="17" xfId="0" applyNumberFormat="1" applyFont="1" applyBorder="1" applyAlignment="1">
      <alignment horizontal="left" vertical="center" wrapText="1"/>
    </xf>
    <xf numFmtId="9" fontId="84" fillId="11" borderId="11" xfId="22" applyFont="1" applyFill="1" applyBorder="1" applyAlignment="1">
      <alignment horizontal="center" vertical="top"/>
    </xf>
    <xf numFmtId="166" fontId="84" fillId="0" borderId="6" xfId="0" applyNumberFormat="1" applyFont="1" applyBorder="1" applyAlignment="1">
      <alignment horizontal="center" vertical="center"/>
    </xf>
    <xf numFmtId="49" fontId="48" fillId="0" borderId="11" xfId="0" applyNumberFormat="1" applyFont="1" applyBorder="1" applyAlignment="1">
      <alignment horizontal="left" vertical="center" wrapText="1"/>
    </xf>
    <xf numFmtId="0" fontId="33" fillId="0" borderId="0" xfId="0" applyFont="1" applyAlignment="1">
      <alignment horizontal="left"/>
    </xf>
    <xf numFmtId="0" fontId="33" fillId="0" borderId="14" xfId="0" applyFont="1" applyBorder="1" applyAlignment="1">
      <alignment horizontal="center" vertical="top"/>
    </xf>
    <xf numFmtId="0" fontId="33" fillId="0" borderId="11" xfId="0" applyFont="1" applyBorder="1" applyAlignment="1">
      <alignment horizontal="center" vertical="top"/>
    </xf>
    <xf numFmtId="49" fontId="48" fillId="24" borderId="11" xfId="0" applyNumberFormat="1" applyFont="1" applyFill="1" applyBorder="1" applyAlignment="1">
      <alignment horizontal="left" vertical="center" wrapText="1"/>
    </xf>
    <xf numFmtId="0" fontId="33" fillId="28" borderId="0" xfId="0" applyFont="1" applyFill="1"/>
    <xf numFmtId="0" fontId="51" fillId="0" borderId="0" xfId="0" applyFont="1" applyAlignment="1">
      <alignment vertical="top"/>
    </xf>
    <xf numFmtId="0" fontId="38" fillId="0" borderId="0" xfId="0" applyFont="1" applyAlignment="1">
      <alignment vertical="top"/>
    </xf>
    <xf numFmtId="0" fontId="33" fillId="0" borderId="29" xfId="0" applyFont="1" applyBorder="1" applyAlignment="1">
      <alignment vertical="center"/>
    </xf>
    <xf numFmtId="0" fontId="60" fillId="0" borderId="0" xfId="0" applyFont="1" applyAlignment="1">
      <alignment horizontal="left" vertical="center"/>
    </xf>
    <xf numFmtId="166" fontId="48" fillId="0" borderId="11" xfId="0" applyNumberFormat="1" applyFont="1" applyBorder="1" applyAlignment="1">
      <alignment horizontal="left" vertical="center"/>
    </xf>
    <xf numFmtId="0" fontId="48" fillId="0" borderId="11" xfId="0" applyFont="1" applyBorder="1" applyAlignment="1">
      <alignment horizontal="left" vertical="center"/>
    </xf>
    <xf numFmtId="0" fontId="33" fillId="0" borderId="51" xfId="0" applyFont="1" applyBorder="1" applyAlignment="1">
      <alignment horizontal="left" vertical="center"/>
    </xf>
    <xf numFmtId="0" fontId="39" fillId="0" borderId="0" xfId="0" applyFont="1" applyAlignment="1">
      <alignment horizontal="left" vertical="center"/>
    </xf>
    <xf numFmtId="0" fontId="29" fillId="0" borderId="0" xfId="0" applyFont="1" applyAlignment="1">
      <alignment horizontal="left" vertical="center"/>
    </xf>
    <xf numFmtId="166" fontId="60" fillId="0" borderId="0" xfId="0" applyNumberFormat="1" applyFont="1" applyAlignment="1">
      <alignment horizontal="left" vertical="center"/>
    </xf>
    <xf numFmtId="166" fontId="33" fillId="0" borderId="0" xfId="0" applyNumberFormat="1" applyFont="1" applyAlignment="1">
      <alignment horizontal="left" vertical="center"/>
    </xf>
    <xf numFmtId="0" fontId="82" fillId="0" borderId="0" xfId="0" applyFont="1" applyAlignment="1">
      <alignment horizontal="left" vertical="center"/>
    </xf>
    <xf numFmtId="0" fontId="80" fillId="0" borderId="0" xfId="0" applyFont="1" applyAlignment="1">
      <alignment horizontal="left" vertical="center"/>
    </xf>
    <xf numFmtId="0" fontId="87" fillId="0" borderId="0" xfId="0" applyFont="1" applyAlignment="1">
      <alignment horizontal="left" vertical="center"/>
    </xf>
    <xf numFmtId="49" fontId="48" fillId="0" borderId="0" xfId="0" applyNumberFormat="1" applyFont="1" applyAlignment="1">
      <alignment horizontal="left" vertical="center"/>
    </xf>
    <xf numFmtId="0" fontId="32" fillId="0" borderId="0" xfId="0" applyFont="1" applyAlignment="1">
      <alignment horizontal="left" vertical="center" wrapText="1"/>
    </xf>
    <xf numFmtId="0" fontId="59" fillId="0" borderId="0" xfId="0" applyFont="1" applyAlignment="1">
      <alignment horizontal="left" vertical="center"/>
    </xf>
    <xf numFmtId="9" fontId="47" fillId="23" borderId="11" xfId="22" applyFont="1" applyFill="1" applyBorder="1" applyAlignment="1">
      <alignment horizontal="left" vertical="center" wrapText="1"/>
    </xf>
    <xf numFmtId="166" fontId="47" fillId="23" borderId="11" xfId="0" applyNumberFormat="1" applyFont="1" applyFill="1" applyBorder="1" applyAlignment="1">
      <alignment horizontal="left" vertical="center" wrapText="1"/>
    </xf>
    <xf numFmtId="0" fontId="85" fillId="23" borderId="11" xfId="0" applyFont="1" applyFill="1" applyBorder="1" applyAlignment="1">
      <alignment horizontal="left" vertical="center" wrapText="1"/>
    </xf>
    <xf numFmtId="9" fontId="47" fillId="0" borderId="11" xfId="22" applyFont="1" applyFill="1" applyBorder="1" applyAlignment="1">
      <alignment horizontal="left" vertical="center" wrapText="1"/>
    </xf>
    <xf numFmtId="49" fontId="47" fillId="0" borderId="11" xfId="0" applyNumberFormat="1" applyFont="1" applyBorder="1" applyAlignment="1">
      <alignment horizontal="left" vertical="center"/>
    </xf>
    <xf numFmtId="49" fontId="47" fillId="14" borderId="11" xfId="0" applyNumberFormat="1" applyFont="1" applyFill="1" applyBorder="1" applyAlignment="1">
      <alignment horizontal="left" vertical="center"/>
    </xf>
    <xf numFmtId="9" fontId="47" fillId="14" borderId="11" xfId="22" applyFont="1" applyFill="1" applyBorder="1" applyAlignment="1">
      <alignment horizontal="left" vertical="center" wrapText="1"/>
    </xf>
    <xf numFmtId="9" fontId="47" fillId="24" borderId="11" xfId="22" applyFont="1" applyFill="1" applyBorder="1" applyAlignment="1">
      <alignment horizontal="left" vertical="center" wrapText="1"/>
    </xf>
    <xf numFmtId="49" fontId="47" fillId="24" borderId="11" xfId="0" applyNumberFormat="1" applyFont="1" applyFill="1" applyBorder="1" applyAlignment="1">
      <alignment horizontal="left" vertical="center" wrapText="1"/>
    </xf>
    <xf numFmtId="49" fontId="84" fillId="24" borderId="11" xfId="0" applyNumberFormat="1" applyFont="1" applyFill="1" applyBorder="1" applyAlignment="1">
      <alignment horizontal="left" vertical="center" wrapText="1"/>
    </xf>
    <xf numFmtId="166" fontId="47" fillId="24" borderId="11" xfId="0" applyNumberFormat="1" applyFont="1" applyFill="1" applyBorder="1" applyAlignment="1">
      <alignment horizontal="left" vertical="center"/>
    </xf>
    <xf numFmtId="166" fontId="47" fillId="15" borderId="11" xfId="0" applyNumberFormat="1" applyFont="1" applyFill="1" applyBorder="1" applyAlignment="1">
      <alignment horizontal="left" vertical="center" wrapText="1"/>
    </xf>
    <xf numFmtId="0" fontId="47" fillId="23" borderId="11" xfId="0" applyFont="1" applyFill="1" applyBorder="1" applyAlignment="1">
      <alignment horizontal="left" vertical="center" textRotation="90" wrapText="1"/>
    </xf>
    <xf numFmtId="0" fontId="47" fillId="15" borderId="11" xfId="0" applyFont="1" applyFill="1" applyBorder="1" applyAlignment="1">
      <alignment horizontal="left" vertical="center" wrapText="1"/>
    </xf>
    <xf numFmtId="9" fontId="47" fillId="0" borderId="17" xfId="22" applyFont="1" applyFill="1" applyBorder="1" applyAlignment="1">
      <alignment horizontal="left" vertical="center" wrapText="1"/>
    </xf>
    <xf numFmtId="0" fontId="59" fillId="5" borderId="0" xfId="0" applyFont="1" applyFill="1" applyAlignment="1">
      <alignment horizontal="left" vertical="center"/>
    </xf>
    <xf numFmtId="0" fontId="48" fillId="23" borderId="11" xfId="0" applyFont="1" applyFill="1" applyBorder="1" applyAlignment="1">
      <alignment horizontal="left" vertical="center" textRotation="90" wrapText="1"/>
    </xf>
    <xf numFmtId="0" fontId="47" fillId="22" borderId="11" xfId="0" applyFont="1" applyFill="1" applyBorder="1" applyAlignment="1">
      <alignment horizontal="left" vertical="center" wrapText="1"/>
    </xf>
    <xf numFmtId="0" fontId="60" fillId="5" borderId="0" xfId="0" applyFont="1" applyFill="1" applyAlignment="1">
      <alignment horizontal="left" vertical="center" wrapText="1"/>
    </xf>
    <xf numFmtId="0" fontId="60" fillId="5" borderId="0" xfId="0" applyFont="1" applyFill="1" applyAlignment="1">
      <alignment horizontal="left" vertical="center"/>
    </xf>
    <xf numFmtId="49" fontId="48" fillId="24" borderId="0" xfId="0" applyNumberFormat="1" applyFont="1" applyFill="1" applyAlignment="1">
      <alignment horizontal="left" vertical="center" wrapText="1"/>
    </xf>
    <xf numFmtId="49" fontId="47" fillId="24" borderId="0" xfId="0" applyNumberFormat="1" applyFont="1" applyFill="1" applyAlignment="1">
      <alignment horizontal="left" vertical="center" wrapText="1"/>
    </xf>
    <xf numFmtId="49" fontId="48" fillId="24" borderId="29" xfId="0" applyNumberFormat="1" applyFont="1" applyFill="1" applyBorder="1" applyAlignment="1">
      <alignment horizontal="left" vertical="center" wrapText="1"/>
    </xf>
    <xf numFmtId="49" fontId="47" fillId="24" borderId="29" xfId="0" applyNumberFormat="1" applyFont="1" applyFill="1" applyBorder="1" applyAlignment="1">
      <alignment horizontal="left" vertical="center" wrapText="1"/>
    </xf>
    <xf numFmtId="0" fontId="47" fillId="12" borderId="17" xfId="0" applyFont="1" applyFill="1" applyBorder="1" applyAlignment="1">
      <alignment horizontal="left" vertical="center" wrapText="1"/>
    </xf>
    <xf numFmtId="9" fontId="47" fillId="11" borderId="11" xfId="22" applyFont="1" applyFill="1" applyBorder="1" applyAlignment="1">
      <alignment horizontal="left" vertical="center" wrapText="1"/>
    </xf>
    <xf numFmtId="166" fontId="47" fillId="0" borderId="7" xfId="0" applyNumberFormat="1" applyFont="1" applyBorder="1" applyAlignment="1">
      <alignment horizontal="left" vertical="center"/>
    </xf>
    <xf numFmtId="9" fontId="47" fillId="0" borderId="11" xfId="22" applyFont="1" applyBorder="1" applyAlignment="1">
      <alignment horizontal="left" vertical="center" wrapText="1"/>
    </xf>
    <xf numFmtId="0" fontId="62" fillId="0" borderId="0" xfId="0" applyFont="1" applyAlignment="1">
      <alignment horizontal="left" vertical="center"/>
    </xf>
    <xf numFmtId="0" fontId="60" fillId="13" borderId="0" xfId="0" applyFont="1" applyFill="1" applyAlignment="1">
      <alignment horizontal="left" vertical="center"/>
    </xf>
    <xf numFmtId="0" fontId="38" fillId="0" borderId="0" xfId="0" applyFont="1" applyAlignment="1">
      <alignment horizontal="left" vertical="center" wrapText="1"/>
    </xf>
    <xf numFmtId="0" fontId="48" fillId="0" borderId="0" xfId="0" applyFont="1" applyAlignment="1">
      <alignment horizontal="left" vertical="center" wrapText="1"/>
    </xf>
    <xf numFmtId="49" fontId="48" fillId="0" borderId="0" xfId="0" applyNumberFormat="1" applyFont="1" applyAlignment="1">
      <alignment horizontal="left" vertical="center" wrapText="1"/>
    </xf>
    <xf numFmtId="0" fontId="38" fillId="0" borderId="0" xfId="0" applyFont="1" applyAlignment="1">
      <alignment horizontal="left" vertical="center"/>
    </xf>
    <xf numFmtId="166" fontId="84" fillId="23" borderId="11" xfId="0" applyNumberFormat="1" applyFont="1" applyFill="1" applyBorder="1" applyAlignment="1">
      <alignment horizontal="left" vertical="center" wrapText="1"/>
    </xf>
    <xf numFmtId="0" fontId="84" fillId="11" borderId="11" xfId="0" applyFont="1" applyFill="1" applyBorder="1" applyAlignment="1">
      <alignment horizontal="left" vertical="center" wrapText="1"/>
    </xf>
    <xf numFmtId="166" fontId="84" fillId="0" borderId="7" xfId="0" applyNumberFormat="1" applyFont="1" applyBorder="1" applyAlignment="1">
      <alignment horizontal="left" vertical="center"/>
    </xf>
    <xf numFmtId="166" fontId="84" fillId="0" borderId="19" xfId="0" applyNumberFormat="1" applyFont="1" applyBorder="1" applyAlignment="1">
      <alignment horizontal="left" vertical="center" wrapText="1"/>
    </xf>
    <xf numFmtId="166" fontId="47" fillId="0" borderId="19" xfId="0" applyNumberFormat="1" applyFont="1" applyBorder="1" applyAlignment="1">
      <alignment horizontal="left" vertical="center" wrapText="1"/>
    </xf>
    <xf numFmtId="166" fontId="38" fillId="0" borderId="0" xfId="0" applyNumberFormat="1" applyFont="1" applyAlignment="1">
      <alignment horizontal="left" vertical="center" wrapText="1"/>
    </xf>
    <xf numFmtId="166" fontId="40" fillId="0" borderId="0" xfId="0" applyNumberFormat="1" applyFont="1" applyAlignment="1">
      <alignment horizontal="left" vertical="center" wrapText="1"/>
    </xf>
    <xf numFmtId="166" fontId="39" fillId="0" borderId="0" xfId="0" applyNumberFormat="1" applyFont="1" applyAlignment="1">
      <alignment horizontal="left" vertical="center"/>
    </xf>
    <xf numFmtId="0" fontId="43" fillId="0" borderId="0" xfId="0" applyFont="1" applyAlignment="1">
      <alignment horizontal="left" vertical="center"/>
    </xf>
    <xf numFmtId="0" fontId="39" fillId="13" borderId="0" xfId="0" applyFont="1" applyFill="1" applyAlignment="1">
      <alignment horizontal="left" vertical="center"/>
    </xf>
    <xf numFmtId="0" fontId="49" fillId="0" borderId="0" xfId="0" applyFont="1" applyAlignment="1">
      <alignment horizontal="left" vertical="center"/>
    </xf>
    <xf numFmtId="166" fontId="48" fillId="0" borderId="0" xfId="0" applyNumberFormat="1" applyFont="1" applyAlignment="1">
      <alignment horizontal="left" vertical="center"/>
    </xf>
    <xf numFmtId="166" fontId="97" fillId="23" borderId="11" xfId="0" applyNumberFormat="1" applyFont="1" applyFill="1" applyBorder="1" applyAlignment="1">
      <alignment horizontal="left" vertical="center"/>
    </xf>
    <xf numFmtId="9" fontId="97" fillId="23" borderId="11" xfId="22" applyFont="1" applyFill="1" applyBorder="1" applyAlignment="1">
      <alignment horizontal="left" vertical="center"/>
    </xf>
    <xf numFmtId="166" fontId="97" fillId="0" borderId="17" xfId="0" applyNumberFormat="1" applyFont="1" applyBorder="1" applyAlignment="1">
      <alignment horizontal="left" vertical="center"/>
    </xf>
    <xf numFmtId="166" fontId="97" fillId="0" borderId="11" xfId="0" applyNumberFormat="1" applyFont="1" applyBorder="1" applyAlignment="1">
      <alignment horizontal="left" vertical="center"/>
    </xf>
    <xf numFmtId="166" fontId="97" fillId="14" borderId="11" xfId="0" applyNumberFormat="1" applyFont="1" applyFill="1" applyBorder="1" applyAlignment="1">
      <alignment horizontal="left" vertical="center"/>
    </xf>
    <xf numFmtId="9" fontId="97" fillId="0" borderId="17" xfId="22" applyFont="1" applyBorder="1" applyAlignment="1">
      <alignment horizontal="left" vertical="center"/>
    </xf>
    <xf numFmtId="9" fontId="97" fillId="14" borderId="11" xfId="22" applyFont="1" applyFill="1" applyBorder="1" applyAlignment="1">
      <alignment horizontal="left" vertical="center"/>
    </xf>
    <xf numFmtId="9" fontId="97" fillId="0" borderId="11" xfId="22" applyFont="1" applyBorder="1" applyAlignment="1">
      <alignment horizontal="left" vertical="center"/>
    </xf>
    <xf numFmtId="9" fontId="97" fillId="24" borderId="11" xfId="22" applyFont="1" applyFill="1" applyBorder="1" applyAlignment="1">
      <alignment horizontal="left" vertical="center"/>
    </xf>
    <xf numFmtId="166" fontId="97" fillId="24" borderId="11" xfId="0" applyNumberFormat="1" applyFont="1" applyFill="1" applyBorder="1" applyAlignment="1">
      <alignment horizontal="left" vertical="center"/>
    </xf>
    <xf numFmtId="0" fontId="97" fillId="12" borderId="11" xfId="0" applyFont="1" applyFill="1" applyBorder="1" applyAlignment="1">
      <alignment horizontal="left" vertical="center" wrapText="1"/>
    </xf>
    <xf numFmtId="166" fontId="97" fillId="0" borderId="17" xfId="0" applyNumberFormat="1" applyFont="1" applyBorder="1" applyAlignment="1">
      <alignment horizontal="left" vertical="center" wrapText="1"/>
    </xf>
    <xf numFmtId="9" fontId="97" fillId="0" borderId="17" xfId="22" applyFont="1" applyBorder="1" applyAlignment="1">
      <alignment horizontal="left" vertical="center" wrapText="1"/>
    </xf>
    <xf numFmtId="9" fontId="97" fillId="0" borderId="17" xfId="22" applyFont="1" applyFill="1" applyBorder="1" applyAlignment="1">
      <alignment horizontal="left" vertical="center" wrapText="1"/>
    </xf>
    <xf numFmtId="166" fontId="97" fillId="0" borderId="20" xfId="0" applyNumberFormat="1" applyFont="1" applyBorder="1" applyAlignment="1">
      <alignment horizontal="left" vertical="center"/>
    </xf>
    <xf numFmtId="9" fontId="97" fillId="0" borderId="11" xfId="22" applyFont="1" applyFill="1" applyBorder="1" applyAlignment="1">
      <alignment horizontal="left" vertical="center"/>
    </xf>
    <xf numFmtId="166" fontId="97" fillId="0" borderId="25" xfId="0" applyNumberFormat="1" applyFont="1" applyBorder="1" applyAlignment="1">
      <alignment horizontal="left" vertical="center"/>
    </xf>
    <xf numFmtId="166" fontId="97" fillId="0" borderId="12" xfId="0" applyNumberFormat="1" applyFont="1" applyBorder="1" applyAlignment="1">
      <alignment horizontal="left" vertical="center" wrapText="1"/>
    </xf>
    <xf numFmtId="9" fontId="97" fillId="0" borderId="11" xfId="22" applyFont="1" applyFill="1" applyBorder="1" applyAlignment="1">
      <alignment horizontal="left" vertical="center" wrapText="1"/>
    </xf>
    <xf numFmtId="166" fontId="97" fillId="0" borderId="14" xfId="0" applyNumberFormat="1" applyFont="1" applyBorder="1" applyAlignment="1">
      <alignment horizontal="left" vertical="center" wrapText="1"/>
    </xf>
    <xf numFmtId="0" fontId="96" fillId="0" borderId="0" xfId="0" applyFont="1" applyAlignment="1">
      <alignment horizontal="left" vertical="center"/>
    </xf>
    <xf numFmtId="166" fontId="96" fillId="0" borderId="0" xfId="0" applyNumberFormat="1" applyFont="1" applyAlignment="1">
      <alignment horizontal="left" vertical="center"/>
    </xf>
    <xf numFmtId="0" fontId="83" fillId="0" borderId="0" xfId="0" applyFont="1" applyAlignment="1">
      <alignment horizontal="left" vertical="center"/>
    </xf>
    <xf numFmtId="0" fontId="48" fillId="5" borderId="0" xfId="0" applyFont="1" applyFill="1" applyAlignment="1">
      <alignment horizontal="left" vertical="center"/>
    </xf>
    <xf numFmtId="0" fontId="83" fillId="5" borderId="0" xfId="0" applyFont="1" applyFill="1" applyAlignment="1">
      <alignment horizontal="left" vertical="center"/>
    </xf>
    <xf numFmtId="0" fontId="48" fillId="13" borderId="0" xfId="0" applyFont="1" applyFill="1" applyAlignment="1">
      <alignment horizontal="left" vertical="center"/>
    </xf>
    <xf numFmtId="0" fontId="101" fillId="0" borderId="0" xfId="0" applyFont="1" applyAlignment="1">
      <alignment horizontal="left" vertical="center" wrapText="1"/>
    </xf>
    <xf numFmtId="0" fontId="91" fillId="0" borderId="0" xfId="0" applyFont="1" applyAlignment="1">
      <alignment horizontal="left" vertical="center" wrapText="1"/>
    </xf>
    <xf numFmtId="0" fontId="102" fillId="0" borderId="0" xfId="0" applyFont="1" applyAlignment="1">
      <alignment horizontal="left" vertical="center" wrapText="1"/>
    </xf>
    <xf numFmtId="0" fontId="103" fillId="0" borderId="0" xfId="0" applyFont="1" applyAlignment="1">
      <alignment horizontal="left" vertical="center" wrapText="1"/>
    </xf>
    <xf numFmtId="0" fontId="91" fillId="0" borderId="0" xfId="0" applyFont="1" applyAlignment="1">
      <alignment horizontal="left" vertical="center"/>
    </xf>
    <xf numFmtId="0" fontId="104" fillId="0" borderId="0" xfId="0" applyFont="1" applyAlignment="1">
      <alignment horizontal="left" vertical="center" wrapText="1"/>
    </xf>
    <xf numFmtId="0" fontId="101" fillId="23" borderId="11" xfId="0" applyFont="1" applyFill="1" applyBorder="1" applyAlignment="1">
      <alignment horizontal="left" vertical="center"/>
    </xf>
    <xf numFmtId="0" fontId="101" fillId="23" borderId="11" xfId="0" applyFont="1" applyFill="1" applyBorder="1" applyAlignment="1">
      <alignment horizontal="left" vertical="center" wrapText="1"/>
    </xf>
    <xf numFmtId="166" fontId="101" fillId="23" borderId="11" xfId="0" applyNumberFormat="1" applyFont="1" applyFill="1" applyBorder="1" applyAlignment="1">
      <alignment horizontal="left" vertical="center"/>
    </xf>
    <xf numFmtId="49" fontId="101" fillId="23" borderId="11" xfId="0" applyNumberFormat="1" applyFont="1" applyFill="1" applyBorder="1" applyAlignment="1">
      <alignment horizontal="left" vertical="center" wrapText="1"/>
    </xf>
    <xf numFmtId="166" fontId="101" fillId="0" borderId="17" xfId="0" applyNumberFormat="1" applyFont="1" applyBorder="1" applyAlignment="1">
      <alignment horizontal="left" vertical="center"/>
    </xf>
    <xf numFmtId="166" fontId="101" fillId="0" borderId="11" xfId="0" applyNumberFormat="1" applyFont="1" applyBorder="1" applyAlignment="1">
      <alignment horizontal="left" vertical="center"/>
    </xf>
    <xf numFmtId="166" fontId="101" fillId="0" borderId="12" xfId="0" applyNumberFormat="1" applyFont="1" applyBorder="1" applyAlignment="1">
      <alignment horizontal="left" vertical="center"/>
    </xf>
    <xf numFmtId="166" fontId="101" fillId="0" borderId="0" xfId="0" applyNumberFormat="1" applyFont="1" applyAlignment="1">
      <alignment horizontal="left" vertical="center"/>
    </xf>
    <xf numFmtId="166" fontId="101" fillId="14" borderId="11" xfId="0" applyNumberFormat="1" applyFont="1" applyFill="1" applyBorder="1" applyAlignment="1">
      <alignment horizontal="left" vertical="center"/>
    </xf>
    <xf numFmtId="0" fontId="91" fillId="0" borderId="6" xfId="0" applyFont="1" applyBorder="1" applyAlignment="1">
      <alignment horizontal="left" vertical="center"/>
    </xf>
    <xf numFmtId="0" fontId="101" fillId="14" borderId="6" xfId="0" applyFont="1" applyFill="1" applyBorder="1" applyAlignment="1">
      <alignment horizontal="left" vertical="center"/>
    </xf>
    <xf numFmtId="166" fontId="101" fillId="14" borderId="12" xfId="0" applyNumberFormat="1" applyFont="1" applyFill="1" applyBorder="1" applyAlignment="1">
      <alignment horizontal="left" vertical="center"/>
    </xf>
    <xf numFmtId="0" fontId="91" fillId="0" borderId="9" xfId="0" applyFont="1" applyBorder="1" applyAlignment="1">
      <alignment horizontal="left" vertical="center"/>
    </xf>
    <xf numFmtId="166" fontId="101" fillId="0" borderId="13" xfId="0" applyNumberFormat="1" applyFont="1" applyBorder="1" applyAlignment="1">
      <alignment horizontal="left" vertical="center"/>
    </xf>
    <xf numFmtId="166" fontId="101" fillId="0" borderId="28" xfId="0" applyNumberFormat="1" applyFont="1" applyBorder="1" applyAlignment="1">
      <alignment horizontal="left" vertical="center"/>
    </xf>
    <xf numFmtId="0" fontId="95" fillId="5" borderId="0" xfId="0" applyFont="1" applyFill="1" applyAlignment="1">
      <alignment horizontal="left" vertical="center"/>
    </xf>
    <xf numFmtId="0" fontId="91" fillId="25" borderId="11" xfId="0" applyFont="1" applyFill="1" applyBorder="1" applyAlignment="1">
      <alignment horizontal="left" vertical="center" textRotation="90" wrapText="1"/>
    </xf>
    <xf numFmtId="0" fontId="101" fillId="24" borderId="11" xfId="0" applyFont="1" applyFill="1" applyBorder="1" applyAlignment="1">
      <alignment horizontal="left" vertical="center"/>
    </xf>
    <xf numFmtId="166" fontId="101" fillId="24" borderId="11" xfId="0" applyNumberFormat="1" applyFont="1" applyFill="1" applyBorder="1" applyAlignment="1">
      <alignment horizontal="left" vertical="center"/>
    </xf>
    <xf numFmtId="0" fontId="101" fillId="11" borderId="11" xfId="0" applyFont="1" applyFill="1" applyBorder="1" applyAlignment="1">
      <alignment horizontal="left" vertical="center" wrapText="1"/>
    </xf>
    <xf numFmtId="0" fontId="101" fillId="11" borderId="12" xfId="0" applyFont="1" applyFill="1" applyBorder="1" applyAlignment="1">
      <alignment horizontal="left" vertical="center" wrapText="1"/>
    </xf>
    <xf numFmtId="166" fontId="101" fillId="0" borderId="17" xfId="0" applyNumberFormat="1" applyFont="1" applyBorder="1" applyAlignment="1">
      <alignment horizontal="left" vertical="center" wrapText="1"/>
    </xf>
    <xf numFmtId="166" fontId="97" fillId="0" borderId="0" xfId="0" applyNumberFormat="1" applyFont="1" applyAlignment="1">
      <alignment horizontal="left" vertical="center" wrapText="1"/>
    </xf>
    <xf numFmtId="166" fontId="101" fillId="0" borderId="7" xfId="0" applyNumberFormat="1" applyFont="1" applyBorder="1" applyAlignment="1">
      <alignment horizontal="left" vertical="center"/>
    </xf>
    <xf numFmtId="166" fontId="101" fillId="0" borderId="11" xfId="0" applyNumberFormat="1" applyFont="1" applyBorder="1" applyAlignment="1">
      <alignment horizontal="left" vertical="center" wrapText="1"/>
    </xf>
    <xf numFmtId="9" fontId="101" fillId="0" borderId="17" xfId="22" applyFont="1" applyFill="1" applyBorder="1" applyAlignment="1">
      <alignment horizontal="left" vertical="center" wrapText="1"/>
    </xf>
    <xf numFmtId="0" fontId="101" fillId="0" borderId="0" xfId="0" applyFont="1" applyAlignment="1">
      <alignment horizontal="left" vertical="center"/>
    </xf>
    <xf numFmtId="166" fontId="91" fillId="0" borderId="0" xfId="0" applyNumberFormat="1" applyFont="1" applyAlignment="1">
      <alignment horizontal="left" vertical="center"/>
    </xf>
    <xf numFmtId="0" fontId="91" fillId="13" borderId="0" xfId="0" applyFont="1" applyFill="1" applyAlignment="1">
      <alignment horizontal="left" vertical="center"/>
    </xf>
    <xf numFmtId="0" fontId="87" fillId="0" borderId="0" xfId="0" applyFont="1" applyAlignment="1">
      <alignment horizontal="left" vertical="center" wrapText="1"/>
    </xf>
    <xf numFmtId="0" fontId="48" fillId="0" borderId="0" xfId="0" applyFont="1" applyAlignment="1">
      <alignment horizontal="left" vertical="top" wrapText="1"/>
    </xf>
    <xf numFmtId="0" fontId="87" fillId="0" borderId="0" xfId="0" applyFont="1" applyAlignment="1">
      <alignment horizontal="left" vertical="top" wrapText="1"/>
    </xf>
    <xf numFmtId="0" fontId="48" fillId="0" borderId="0" xfId="0" applyFont="1" applyAlignment="1">
      <alignment horizontal="left"/>
    </xf>
    <xf numFmtId="49" fontId="91" fillId="0" borderId="19" xfId="0" applyNumberFormat="1" applyFont="1" applyBorder="1" applyAlignment="1">
      <alignment horizontal="left" vertical="center" wrapText="1"/>
    </xf>
    <xf numFmtId="0" fontId="47" fillId="12" borderId="28" xfId="0" applyFont="1" applyFill="1" applyBorder="1" applyAlignment="1">
      <alignment horizontal="left" vertical="center" wrapText="1"/>
    </xf>
    <xf numFmtId="49" fontId="96" fillId="0" borderId="0" xfId="0" applyNumberFormat="1" applyFont="1" applyAlignment="1">
      <alignment vertical="center"/>
    </xf>
    <xf numFmtId="0" fontId="84" fillId="0" borderId="11" xfId="0" applyFont="1" applyBorder="1" applyAlignment="1">
      <alignment horizontal="left" vertical="center" wrapText="1"/>
    </xf>
    <xf numFmtId="0" fontId="42" fillId="0" borderId="17" xfId="0" applyFont="1" applyBorder="1" applyAlignment="1">
      <alignment horizontal="center" vertical="center" wrapText="1"/>
    </xf>
    <xf numFmtId="0" fontId="47" fillId="0" borderId="11" xfId="0" applyFont="1" applyBorder="1" applyAlignment="1">
      <alignment horizontal="center" vertical="center" wrapText="1"/>
    </xf>
    <xf numFmtId="166" fontId="101" fillId="23" borderId="12" xfId="0" applyNumberFormat="1" applyFont="1" applyFill="1" applyBorder="1" applyAlignment="1">
      <alignment horizontal="left" vertical="center"/>
    </xf>
    <xf numFmtId="0" fontId="38" fillId="0" borderId="0" xfId="0" applyFont="1" applyAlignment="1">
      <alignment vertical="top" wrapText="1"/>
    </xf>
    <xf numFmtId="0" fontId="38" fillId="0" borderId="0" xfId="0" applyFont="1" applyAlignment="1">
      <alignment horizontal="center" vertical="top" wrapText="1"/>
    </xf>
    <xf numFmtId="0" fontId="38" fillId="0" borderId="0" xfId="0" applyFont="1" applyAlignment="1">
      <alignment horizontal="center"/>
    </xf>
    <xf numFmtId="0" fontId="45" fillId="0" borderId="0" xfId="0" applyFont="1"/>
    <xf numFmtId="49" fontId="47" fillId="20" borderId="11" xfId="0" applyNumberFormat="1" applyFont="1" applyFill="1" applyBorder="1" applyAlignment="1">
      <alignment horizontal="center" vertical="top" wrapText="1"/>
    </xf>
    <xf numFmtId="49" fontId="48" fillId="24" borderId="11" xfId="0" applyNumberFormat="1" applyFont="1" applyFill="1" applyBorder="1" applyAlignment="1">
      <alignment horizontal="left" vertical="top" wrapText="1"/>
    </xf>
    <xf numFmtId="49" fontId="47" fillId="24" borderId="24" xfId="0" applyNumberFormat="1" applyFont="1" applyFill="1" applyBorder="1" applyAlignment="1">
      <alignment vertical="top" wrapText="1"/>
    </xf>
    <xf numFmtId="49" fontId="47" fillId="24" borderId="14" xfId="0" applyNumberFormat="1" applyFont="1" applyFill="1" applyBorder="1" applyAlignment="1">
      <alignment vertical="top" wrapText="1"/>
    </xf>
    <xf numFmtId="49" fontId="84" fillId="20" borderId="11" xfId="0" applyNumberFormat="1" applyFont="1" applyFill="1" applyBorder="1" applyAlignment="1">
      <alignment vertical="top" wrapText="1"/>
    </xf>
    <xf numFmtId="0" fontId="58" fillId="0" borderId="0" xfId="0" applyFont="1"/>
    <xf numFmtId="9" fontId="47" fillId="0" borderId="11" xfId="22" applyFont="1" applyFill="1" applyBorder="1" applyAlignment="1">
      <alignment horizontal="center" vertical="center" wrapText="1"/>
    </xf>
    <xf numFmtId="49" fontId="83" fillId="20" borderId="17" xfId="0" applyNumberFormat="1" applyFont="1" applyFill="1" applyBorder="1" applyAlignment="1">
      <alignment vertical="top" wrapText="1"/>
    </xf>
    <xf numFmtId="49" fontId="84" fillId="20" borderId="17" xfId="0" applyNumberFormat="1" applyFont="1" applyFill="1" applyBorder="1" applyAlignment="1">
      <alignment horizontal="center" vertical="top" wrapText="1"/>
    </xf>
    <xf numFmtId="49" fontId="84" fillId="20" borderId="17" xfId="0" applyNumberFormat="1" applyFont="1" applyFill="1" applyBorder="1" applyAlignment="1">
      <alignment vertical="top" wrapText="1"/>
    </xf>
    <xf numFmtId="49" fontId="84" fillId="20" borderId="11" xfId="0" applyNumberFormat="1" applyFont="1" applyFill="1" applyBorder="1" applyAlignment="1">
      <alignment vertical="center" wrapText="1"/>
    </xf>
    <xf numFmtId="49" fontId="84" fillId="20" borderId="22" xfId="0" applyNumberFormat="1" applyFont="1" applyFill="1" applyBorder="1" applyAlignment="1">
      <alignment vertical="top" wrapText="1"/>
    </xf>
    <xf numFmtId="49" fontId="84" fillId="20" borderId="23" xfId="0" applyNumberFormat="1" applyFont="1" applyFill="1" applyBorder="1" applyAlignment="1">
      <alignment vertical="center" wrapText="1"/>
    </xf>
    <xf numFmtId="49" fontId="48" fillId="33" borderId="17" xfId="0" applyNumberFormat="1" applyFont="1" applyFill="1" applyBorder="1" applyAlignment="1">
      <alignment vertical="top" wrapText="1"/>
    </xf>
    <xf numFmtId="49" fontId="47" fillId="33" borderId="17" xfId="0" applyNumberFormat="1" applyFont="1" applyFill="1" applyBorder="1" applyAlignment="1">
      <alignment horizontal="center" vertical="top" wrapText="1"/>
    </xf>
    <xf numFmtId="49" fontId="47" fillId="33" borderId="17" xfId="0" applyNumberFormat="1" applyFont="1" applyFill="1" applyBorder="1" applyAlignment="1">
      <alignment vertical="top" wrapText="1"/>
    </xf>
    <xf numFmtId="49" fontId="47" fillId="33" borderId="11" xfId="0" applyNumberFormat="1" applyFont="1" applyFill="1" applyBorder="1" applyAlignment="1">
      <alignment vertical="center" wrapText="1"/>
    </xf>
    <xf numFmtId="49" fontId="47" fillId="33" borderId="11" xfId="0" applyNumberFormat="1" applyFont="1" applyFill="1" applyBorder="1" applyAlignment="1">
      <alignment vertical="top" wrapText="1"/>
    </xf>
    <xf numFmtId="166" fontId="96" fillId="24" borderId="11" xfId="0" applyNumberFormat="1" applyFont="1" applyFill="1" applyBorder="1" applyAlignment="1">
      <alignment horizontal="center" vertical="center"/>
    </xf>
    <xf numFmtId="166" fontId="105" fillId="5" borderId="11" xfId="0" applyNumberFormat="1" applyFont="1" applyFill="1" applyBorder="1" applyAlignment="1">
      <alignment horizontal="center" vertical="center"/>
    </xf>
    <xf numFmtId="166" fontId="105" fillId="5" borderId="17" xfId="0" applyNumberFormat="1" applyFont="1" applyFill="1" applyBorder="1" applyAlignment="1">
      <alignment horizontal="center" vertical="center" wrapText="1"/>
    </xf>
    <xf numFmtId="166" fontId="105" fillId="5" borderId="7" xfId="0" applyNumberFormat="1" applyFont="1" applyFill="1" applyBorder="1" applyAlignment="1">
      <alignment horizontal="center" vertical="center"/>
    </xf>
    <xf numFmtId="166" fontId="105" fillId="5" borderId="11" xfId="0" applyNumberFormat="1" applyFont="1" applyFill="1" applyBorder="1" applyAlignment="1">
      <alignment horizontal="center" vertical="center" wrapText="1"/>
    </xf>
    <xf numFmtId="9" fontId="105" fillId="5" borderId="17" xfId="22" applyFont="1" applyFill="1" applyBorder="1" applyAlignment="1">
      <alignment horizontal="center" vertical="center" wrapText="1"/>
    </xf>
    <xf numFmtId="9" fontId="105" fillId="5" borderId="11" xfId="22" applyFont="1" applyFill="1" applyBorder="1" applyAlignment="1">
      <alignment horizontal="center" vertical="top"/>
    </xf>
    <xf numFmtId="9" fontId="109" fillId="11" borderId="11" xfId="22" applyFont="1" applyFill="1" applyBorder="1" applyAlignment="1">
      <alignment horizontal="center" vertical="center"/>
    </xf>
    <xf numFmtId="0" fontId="109" fillId="11" borderId="11" xfId="0" applyFont="1" applyFill="1" applyBorder="1" applyAlignment="1">
      <alignment horizontal="center" vertical="center" wrapText="1"/>
    </xf>
    <xf numFmtId="49" fontId="96" fillId="24" borderId="28" xfId="0" applyNumberFormat="1" applyFont="1" applyFill="1" applyBorder="1" applyAlignment="1">
      <alignment horizontal="center" vertical="center" wrapText="1"/>
    </xf>
    <xf numFmtId="49" fontId="96" fillId="24" borderId="24" xfId="0" applyNumberFormat="1" applyFont="1" applyFill="1" applyBorder="1" applyAlignment="1">
      <alignment horizontal="center" vertical="center" wrapText="1"/>
    </xf>
    <xf numFmtId="166" fontId="109" fillId="0" borderId="11" xfId="0" applyNumberFormat="1" applyFont="1" applyBorder="1" applyAlignment="1">
      <alignment horizontal="center" vertical="center"/>
    </xf>
    <xf numFmtId="166" fontId="84" fillId="0" borderId="12" xfId="0" applyNumberFormat="1" applyFont="1" applyBorder="1" applyAlignment="1">
      <alignment horizontal="center" vertical="center"/>
    </xf>
    <xf numFmtId="0" fontId="45" fillId="0" borderId="0" xfId="0" applyFont="1" applyAlignment="1">
      <alignment horizontal="left" vertical="center"/>
    </xf>
    <xf numFmtId="9" fontId="47" fillId="0" borderId="11" xfId="22" applyFont="1" applyBorder="1" applyAlignment="1">
      <alignment horizontal="left" vertical="center"/>
    </xf>
    <xf numFmtId="9" fontId="47" fillId="23" borderId="11" xfId="22" applyFont="1" applyFill="1" applyBorder="1" applyAlignment="1">
      <alignment horizontal="left" vertical="center"/>
    </xf>
    <xf numFmtId="0" fontId="96" fillId="25" borderId="11" xfId="0" applyFont="1" applyFill="1" applyBorder="1" applyAlignment="1">
      <alignment horizontal="left" vertical="center" wrapText="1"/>
    </xf>
    <xf numFmtId="166" fontId="96" fillId="24" borderId="11" xfId="0" applyNumberFormat="1" applyFont="1" applyFill="1" applyBorder="1" applyAlignment="1">
      <alignment horizontal="left" vertical="center"/>
    </xf>
    <xf numFmtId="166" fontId="49" fillId="24" borderId="11" xfId="0" applyNumberFormat="1" applyFont="1" applyFill="1" applyBorder="1" applyAlignment="1">
      <alignment horizontal="left" vertical="center"/>
    </xf>
    <xf numFmtId="166" fontId="100" fillId="24" borderId="11" xfId="0" applyNumberFormat="1" applyFont="1" applyFill="1" applyBorder="1" applyAlignment="1">
      <alignment horizontal="left" vertical="center"/>
    </xf>
    <xf numFmtId="0" fontId="51" fillId="0" borderId="0" xfId="0" applyFont="1" applyAlignment="1">
      <alignment horizontal="left" vertical="center"/>
    </xf>
    <xf numFmtId="0" fontId="84" fillId="12" borderId="28" xfId="0" applyFont="1" applyFill="1" applyBorder="1" applyAlignment="1">
      <alignment horizontal="left" vertical="center" wrapText="1"/>
    </xf>
    <xf numFmtId="0" fontId="63" fillId="0" borderId="0" xfId="0" applyFont="1" applyAlignment="1">
      <alignment horizontal="left" vertical="center"/>
    </xf>
    <xf numFmtId="166" fontId="63" fillId="0" borderId="0" xfId="0" applyNumberFormat="1" applyFont="1" applyAlignment="1">
      <alignment horizontal="left" vertical="center"/>
    </xf>
    <xf numFmtId="9" fontId="47" fillId="14" borderId="11" xfId="22" applyFont="1" applyFill="1" applyBorder="1" applyAlignment="1">
      <alignment horizontal="left" vertical="center"/>
    </xf>
    <xf numFmtId="0" fontId="60" fillId="24" borderId="0" xfId="0" applyFont="1" applyFill="1" applyAlignment="1">
      <alignment horizontal="left" vertical="center"/>
    </xf>
    <xf numFmtId="166" fontId="48" fillId="24" borderId="11" xfId="0" applyNumberFormat="1" applyFont="1" applyFill="1" applyBorder="1" applyAlignment="1">
      <alignment horizontal="left" vertical="center" wrapText="1"/>
    </xf>
    <xf numFmtId="49" fontId="49" fillId="24" borderId="11" xfId="0" applyNumberFormat="1" applyFont="1" applyFill="1" applyBorder="1" applyAlignment="1">
      <alignment horizontal="left" vertical="center"/>
    </xf>
    <xf numFmtId="166" fontId="49" fillId="24" borderId="11" xfId="0" applyNumberFormat="1" applyFont="1" applyFill="1" applyBorder="1" applyAlignment="1" applyProtection="1">
      <alignment horizontal="left" vertical="center"/>
      <protection locked="0"/>
    </xf>
    <xf numFmtId="9" fontId="49" fillId="24" borderId="11" xfId="22" applyFont="1" applyFill="1" applyBorder="1" applyAlignment="1">
      <alignment horizontal="left" vertical="center" wrapText="1"/>
    </xf>
    <xf numFmtId="166" fontId="96" fillId="24" borderId="11" xfId="0" applyNumberFormat="1" applyFont="1" applyFill="1" applyBorder="1" applyAlignment="1">
      <alignment vertical="center"/>
    </xf>
    <xf numFmtId="166" fontId="98" fillId="24" borderId="11" xfId="0" applyNumberFormat="1" applyFont="1" applyFill="1" applyBorder="1" applyAlignment="1">
      <alignment horizontal="left" vertical="center"/>
    </xf>
    <xf numFmtId="0" fontId="96" fillId="24" borderId="11" xfId="0" applyFont="1" applyFill="1" applyBorder="1" applyAlignment="1">
      <alignment horizontal="left" vertical="center" wrapText="1"/>
    </xf>
    <xf numFmtId="0" fontId="96" fillId="24" borderId="11" xfId="0" applyFont="1" applyFill="1" applyBorder="1" applyAlignment="1">
      <alignment horizontal="left" vertical="center"/>
    </xf>
    <xf numFmtId="0" fontId="49" fillId="24" borderId="11" xfId="0" applyFont="1" applyFill="1" applyBorder="1" applyAlignment="1">
      <alignment horizontal="left" vertical="center" wrapText="1"/>
    </xf>
    <xf numFmtId="0" fontId="49" fillId="24" borderId="11" xfId="0" applyFont="1" applyFill="1" applyBorder="1" applyAlignment="1">
      <alignment horizontal="left" vertical="center" textRotation="90" wrapText="1"/>
    </xf>
    <xf numFmtId="166" fontId="48" fillId="34" borderId="11" xfId="0" applyNumberFormat="1" applyFont="1" applyFill="1" applyBorder="1" applyAlignment="1">
      <alignment horizontal="left" vertical="center"/>
    </xf>
    <xf numFmtId="49" fontId="48" fillId="34" borderId="11" xfId="0" applyNumberFormat="1" applyFont="1" applyFill="1" applyBorder="1" applyAlignment="1">
      <alignment horizontal="left" vertical="center" wrapText="1"/>
    </xf>
    <xf numFmtId="166" fontId="83" fillId="34" borderId="11" xfId="0" applyNumberFormat="1" applyFont="1" applyFill="1" applyBorder="1" applyAlignment="1">
      <alignment horizontal="left" vertical="center"/>
    </xf>
    <xf numFmtId="9" fontId="47" fillId="34" borderId="11" xfId="22" applyFont="1" applyFill="1" applyBorder="1" applyAlignment="1">
      <alignment horizontal="left" vertical="center" wrapText="1"/>
    </xf>
    <xf numFmtId="9" fontId="96" fillId="24" borderId="11" xfId="22" applyFont="1" applyFill="1" applyBorder="1" applyAlignment="1">
      <alignment horizontal="left" vertical="center" wrapText="1"/>
    </xf>
    <xf numFmtId="166" fontId="96" fillId="24" borderId="11" xfId="0" applyNumberFormat="1" applyFont="1" applyFill="1" applyBorder="1" applyAlignment="1">
      <alignment horizontal="left" vertical="center" wrapText="1"/>
    </xf>
    <xf numFmtId="0" fontId="100" fillId="0" borderId="0" xfId="0" applyFont="1" applyAlignment="1">
      <alignment horizontal="left" vertical="center" wrapText="1"/>
    </xf>
    <xf numFmtId="166" fontId="83" fillId="0" borderId="0" xfId="0" applyNumberFormat="1" applyFont="1" applyAlignment="1">
      <alignment horizontal="left" vertical="center"/>
    </xf>
    <xf numFmtId="49" fontId="48" fillId="0" borderId="24" xfId="0" applyNumberFormat="1" applyFont="1" applyBorder="1" applyAlignment="1">
      <alignment horizontal="center" vertical="center" wrapText="1"/>
    </xf>
    <xf numFmtId="0" fontId="84" fillId="5" borderId="11" xfId="0" applyFont="1" applyFill="1" applyBorder="1" applyAlignment="1">
      <alignment horizontal="center" vertical="center" wrapText="1"/>
    </xf>
    <xf numFmtId="166" fontId="96" fillId="24" borderId="28" xfId="0" applyNumberFormat="1" applyFont="1" applyFill="1" applyBorder="1" applyAlignment="1">
      <alignment horizontal="left" vertical="center"/>
    </xf>
    <xf numFmtId="49" fontId="101" fillId="24" borderId="11" xfId="0" applyNumberFormat="1" applyFont="1" applyFill="1" applyBorder="1" applyAlignment="1">
      <alignment horizontal="left" vertical="center"/>
    </xf>
    <xf numFmtId="0" fontId="47" fillId="0" borderId="27" xfId="0" applyFont="1" applyBorder="1" applyAlignment="1">
      <alignment horizontal="left" vertical="center" wrapText="1"/>
    </xf>
    <xf numFmtId="166" fontId="45" fillId="0" borderId="0" xfId="0" applyNumberFormat="1" applyFont="1"/>
    <xf numFmtId="0" fontId="78" fillId="0" borderId="0" xfId="0" applyFont="1" applyAlignment="1">
      <alignment vertical="top" wrapText="1"/>
    </xf>
    <xf numFmtId="0" fontId="83" fillId="0" borderId="0" xfId="0" applyFont="1"/>
    <xf numFmtId="0" fontId="78" fillId="0" borderId="0" xfId="0" applyFont="1" applyAlignment="1">
      <alignment horizontal="left" vertical="top" wrapText="1"/>
    </xf>
    <xf numFmtId="0" fontId="84" fillId="11" borderId="11" xfId="0" applyFont="1" applyFill="1" applyBorder="1" applyAlignment="1">
      <alignment horizontal="center" vertical="center" wrapText="1"/>
    </xf>
    <xf numFmtId="0" fontId="98" fillId="0" borderId="0" xfId="0" applyFont="1" applyAlignment="1">
      <alignment vertical="center"/>
    </xf>
    <xf numFmtId="166" fontId="51" fillId="0" borderId="0" xfId="0" applyNumberFormat="1" applyFont="1"/>
    <xf numFmtId="0" fontId="78" fillId="0" borderId="0" xfId="0" applyFont="1"/>
    <xf numFmtId="0" fontId="84" fillId="12" borderId="12" xfId="0" applyFont="1" applyFill="1" applyBorder="1" applyAlignment="1">
      <alignment horizontal="center" vertical="center" wrapText="1"/>
    </xf>
    <xf numFmtId="166" fontId="47" fillId="0" borderId="28" xfId="0" applyNumberFormat="1" applyFont="1" applyBorder="1" applyAlignment="1">
      <alignment vertical="center" wrapText="1"/>
    </xf>
    <xf numFmtId="166" fontId="92" fillId="0" borderId="8" xfId="0" applyNumberFormat="1" applyFont="1" applyBorder="1" applyAlignment="1">
      <alignment vertical="center"/>
    </xf>
    <xf numFmtId="9" fontId="47" fillId="0" borderId="28" xfId="22" applyFont="1" applyBorder="1" applyAlignment="1">
      <alignment vertical="center" wrapText="1"/>
    </xf>
    <xf numFmtId="0" fontId="112" fillId="0" borderId="0" xfId="0" applyFont="1" applyAlignment="1">
      <alignment horizontal="center" vertical="top" wrapText="1"/>
    </xf>
    <xf numFmtId="0" fontId="112" fillId="0" borderId="0" xfId="0" applyFont="1"/>
    <xf numFmtId="0" fontId="97" fillId="11" borderId="11" xfId="0" applyFont="1" applyFill="1" applyBorder="1" applyAlignment="1">
      <alignment horizontal="center" vertical="center" wrapText="1"/>
    </xf>
    <xf numFmtId="0" fontId="95" fillId="0" borderId="0" xfId="0" applyFont="1" applyAlignment="1">
      <alignment vertical="center"/>
    </xf>
    <xf numFmtId="0" fontId="57" fillId="0" borderId="0" xfId="0" applyFont="1"/>
    <xf numFmtId="0" fontId="105" fillId="0" borderId="0" xfId="0" applyFont="1" applyAlignment="1">
      <alignment vertical="center"/>
    </xf>
    <xf numFmtId="166" fontId="112" fillId="0" borderId="0" xfId="0" applyNumberFormat="1" applyFont="1"/>
    <xf numFmtId="0" fontId="96" fillId="24" borderId="11" xfId="0" applyFont="1" applyFill="1" applyBorder="1" applyAlignment="1">
      <alignment vertical="center"/>
    </xf>
    <xf numFmtId="166" fontId="98" fillId="24" borderId="11" xfId="0" applyNumberFormat="1" applyFont="1" applyFill="1" applyBorder="1" applyAlignment="1">
      <alignment vertical="center"/>
    </xf>
    <xf numFmtId="166" fontId="49" fillId="24" borderId="11" xfId="0" applyNumberFormat="1" applyFont="1" applyFill="1" applyBorder="1" applyAlignment="1">
      <alignment vertical="center"/>
    </xf>
    <xf numFmtId="166" fontId="49" fillId="24" borderId="11" xfId="0" applyNumberFormat="1" applyFont="1" applyFill="1" applyBorder="1" applyAlignment="1">
      <alignment horizontal="center" vertical="center"/>
    </xf>
    <xf numFmtId="0" fontId="49" fillId="24" borderId="11" xfId="0" applyFont="1" applyFill="1" applyBorder="1" applyAlignment="1">
      <alignment vertical="center"/>
    </xf>
    <xf numFmtId="166" fontId="49" fillId="37" borderId="11" xfId="0" applyNumberFormat="1" applyFont="1" applyFill="1" applyBorder="1" applyAlignment="1">
      <alignment horizontal="center" vertical="center"/>
    </xf>
    <xf numFmtId="166" fontId="49" fillId="20" borderId="11" xfId="0" applyNumberFormat="1" applyFont="1" applyFill="1" applyBorder="1" applyAlignment="1">
      <alignment horizontal="center" vertical="center"/>
    </xf>
    <xf numFmtId="166" fontId="47" fillId="0" borderId="29" xfId="0" applyNumberFormat="1" applyFont="1" applyBorder="1" applyAlignment="1">
      <alignment horizontal="center" vertical="center"/>
    </xf>
    <xf numFmtId="9" fontId="98" fillId="24" borderId="11" xfId="22" applyFont="1" applyFill="1" applyBorder="1" applyAlignment="1">
      <alignment horizontal="center" vertical="top"/>
    </xf>
    <xf numFmtId="0" fontId="113" fillId="0" borderId="0" xfId="0" applyFont="1" applyAlignment="1">
      <alignment horizontal="left" vertical="top" wrapText="1"/>
    </xf>
    <xf numFmtId="0" fontId="45" fillId="0" borderId="0" xfId="0" applyFont="1" applyAlignment="1">
      <alignment horizontal="left"/>
    </xf>
    <xf numFmtId="0" fontId="40" fillId="0" borderId="0" xfId="0" applyFont="1" applyAlignment="1">
      <alignment horizontal="left" vertical="top" wrapText="1"/>
    </xf>
    <xf numFmtId="0" fontId="106" fillId="0" borderId="0" xfId="0" applyFont="1"/>
    <xf numFmtId="9" fontId="47" fillId="5" borderId="11" xfId="22" applyFont="1" applyFill="1" applyBorder="1" applyAlignment="1">
      <alignment horizontal="center" vertical="top"/>
    </xf>
    <xf numFmtId="9" fontId="47" fillId="0" borderId="11" xfId="22" applyFont="1" applyFill="1" applyBorder="1" applyAlignment="1">
      <alignment horizontal="center" vertical="top"/>
    </xf>
    <xf numFmtId="0" fontId="51" fillId="0" borderId="0" xfId="0" applyFont="1" applyAlignment="1">
      <alignment horizontal="left" vertical="top" wrapText="1"/>
    </xf>
    <xf numFmtId="49" fontId="100" fillId="0" borderId="0" xfId="0" applyNumberFormat="1" applyFont="1" applyAlignment="1">
      <alignment vertical="center"/>
    </xf>
    <xf numFmtId="0" fontId="100" fillId="0" borderId="0" xfId="0" applyFont="1" applyAlignment="1">
      <alignment horizontal="left" vertical="center"/>
    </xf>
    <xf numFmtId="49" fontId="96" fillId="24" borderId="17" xfId="0" applyNumberFormat="1" applyFont="1" applyFill="1" applyBorder="1" applyAlignment="1">
      <alignment horizontal="left" vertical="center"/>
    </xf>
    <xf numFmtId="166" fontId="98" fillId="24" borderId="17" xfId="0" applyNumberFormat="1" applyFont="1" applyFill="1" applyBorder="1" applyAlignment="1">
      <alignment horizontal="left" vertical="center"/>
    </xf>
    <xf numFmtId="0" fontId="49" fillId="24" borderId="11" xfId="0" applyFont="1" applyFill="1" applyBorder="1" applyAlignment="1">
      <alignment horizontal="left" vertical="center"/>
    </xf>
    <xf numFmtId="49" fontId="96" fillId="18" borderId="17" xfId="0" applyNumberFormat="1" applyFont="1" applyFill="1" applyBorder="1" applyAlignment="1">
      <alignment horizontal="left" vertical="center"/>
    </xf>
    <xf numFmtId="166" fontId="98" fillId="18" borderId="17" xfId="0" applyNumberFormat="1" applyFont="1" applyFill="1" applyBorder="1" applyAlignment="1">
      <alignment horizontal="left" vertical="center"/>
    </xf>
    <xf numFmtId="166" fontId="49" fillId="18" borderId="11" xfId="0" applyNumberFormat="1" applyFont="1" applyFill="1" applyBorder="1" applyAlignment="1">
      <alignment horizontal="left" vertical="center"/>
    </xf>
    <xf numFmtId="166" fontId="98" fillId="18" borderId="11" xfId="0" applyNumberFormat="1" applyFont="1" applyFill="1" applyBorder="1" applyAlignment="1">
      <alignment horizontal="left" vertical="center"/>
    </xf>
    <xf numFmtId="49" fontId="96" fillId="43" borderId="17" xfId="0" applyNumberFormat="1" applyFont="1" applyFill="1" applyBorder="1" applyAlignment="1">
      <alignment horizontal="left" vertical="center" textRotation="90"/>
    </xf>
    <xf numFmtId="166" fontId="98" fillId="43" borderId="17" xfId="0" applyNumberFormat="1" applyFont="1" applyFill="1" applyBorder="1" applyAlignment="1">
      <alignment horizontal="left" vertical="center"/>
    </xf>
    <xf numFmtId="166" fontId="49" fillId="43" borderId="11" xfId="0" applyNumberFormat="1" applyFont="1" applyFill="1" applyBorder="1" applyAlignment="1">
      <alignment horizontal="left" vertical="center"/>
    </xf>
    <xf numFmtId="0" fontId="48" fillId="43" borderId="0" xfId="0" applyFont="1" applyFill="1" applyAlignment="1">
      <alignment horizontal="left" vertical="center"/>
    </xf>
    <xf numFmtId="0" fontId="49" fillId="43" borderId="17" xfId="0" applyFont="1" applyFill="1" applyBorder="1" applyAlignment="1">
      <alignment horizontal="left" vertical="center"/>
    </xf>
    <xf numFmtId="166" fontId="83" fillId="0" borderId="11" xfId="0" applyNumberFormat="1" applyFont="1" applyBorder="1" applyAlignment="1">
      <alignment horizontal="left" vertical="center"/>
    </xf>
    <xf numFmtId="166" fontId="84" fillId="0" borderId="28" xfId="0" applyNumberFormat="1" applyFont="1" applyBorder="1" applyAlignment="1">
      <alignment horizontal="center" vertical="center" wrapText="1"/>
    </xf>
    <xf numFmtId="166" fontId="84" fillId="0" borderId="8" xfId="0" applyNumberFormat="1" applyFont="1" applyBorder="1" applyAlignment="1">
      <alignment horizontal="center" vertical="center"/>
    </xf>
    <xf numFmtId="166" fontId="96" fillId="24" borderId="17" xfId="0" applyNumberFormat="1" applyFont="1" applyFill="1" applyBorder="1" applyAlignment="1">
      <alignment horizontal="left" vertical="center"/>
    </xf>
    <xf numFmtId="166" fontId="49" fillId="24" borderId="17" xfId="0" applyNumberFormat="1" applyFont="1" applyFill="1" applyBorder="1" applyAlignment="1">
      <alignment horizontal="left" vertical="center"/>
    </xf>
    <xf numFmtId="49" fontId="84" fillId="23" borderId="11" xfId="0" applyNumberFormat="1" applyFont="1" applyFill="1" applyBorder="1" applyAlignment="1">
      <alignment horizontal="left" vertical="center" wrapText="1"/>
    </xf>
    <xf numFmtId="0" fontId="48" fillId="0" borderId="0" xfId="0" applyFont="1" applyAlignment="1">
      <alignment horizontal="left" vertical="top"/>
    </xf>
    <xf numFmtId="166" fontId="62" fillId="0" borderId="0" xfId="0" applyNumberFormat="1" applyFont="1" applyAlignment="1">
      <alignment horizontal="left" vertical="center"/>
    </xf>
    <xf numFmtId="166" fontId="99" fillId="0" borderId="0" xfId="0" applyNumberFormat="1" applyFont="1" applyAlignment="1">
      <alignment horizontal="left" vertical="center"/>
    </xf>
    <xf numFmtId="9" fontId="47" fillId="14" borderId="11" xfId="22" applyFont="1" applyFill="1" applyBorder="1" applyAlignment="1">
      <alignment horizontal="center" vertical="center" wrapText="1"/>
    </xf>
    <xf numFmtId="0" fontId="40" fillId="0" borderId="0" xfId="0" applyFont="1" applyAlignment="1">
      <alignment horizontal="left" vertical="center" wrapText="1"/>
    </xf>
    <xf numFmtId="166" fontId="45" fillId="0" borderId="0" xfId="0" applyNumberFormat="1" applyFont="1" applyAlignment="1">
      <alignment horizontal="left" vertical="center"/>
    </xf>
    <xf numFmtId="0" fontId="107" fillId="0" borderId="0" xfId="0" applyFont="1" applyAlignment="1">
      <alignment horizontal="left" vertical="center"/>
    </xf>
    <xf numFmtId="0" fontId="96" fillId="24" borderId="11" xfId="0" applyFont="1" applyFill="1" applyBorder="1" applyAlignment="1">
      <alignment horizontal="left" vertical="center" textRotation="90" wrapText="1"/>
    </xf>
    <xf numFmtId="9" fontId="47" fillId="14" borderId="17" xfId="22" applyFont="1" applyFill="1" applyBorder="1" applyAlignment="1">
      <alignment horizontal="center" vertical="center" wrapText="1"/>
    </xf>
    <xf numFmtId="9" fontId="84" fillId="14" borderId="17" xfId="22" applyFont="1" applyFill="1" applyBorder="1" applyAlignment="1">
      <alignment horizontal="center" vertical="center" wrapText="1"/>
    </xf>
    <xf numFmtId="9" fontId="47" fillId="14" borderId="28" xfId="22" applyFont="1" applyFill="1" applyBorder="1" applyAlignment="1">
      <alignment horizontal="center" vertical="center" wrapText="1"/>
    </xf>
    <xf numFmtId="166" fontId="117" fillId="24" borderId="11" xfId="0" applyNumberFormat="1" applyFont="1" applyFill="1" applyBorder="1" applyAlignment="1">
      <alignment horizontal="left" vertical="center"/>
    </xf>
    <xf numFmtId="0" fontId="96" fillId="0" borderId="0" xfId="0" applyFont="1"/>
    <xf numFmtId="9" fontId="47" fillId="0" borderId="11" xfId="22" applyFont="1" applyFill="1" applyBorder="1" applyAlignment="1">
      <alignment horizontal="left" vertical="center"/>
    </xf>
    <xf numFmtId="0" fontId="53" fillId="18" borderId="11" xfId="0" applyFont="1" applyFill="1" applyBorder="1" applyAlignment="1">
      <alignment horizontal="center" vertical="center" wrapText="1"/>
    </xf>
    <xf numFmtId="0" fontId="52" fillId="0" borderId="0" xfId="0" applyFont="1" applyAlignment="1">
      <alignment horizontal="left"/>
    </xf>
    <xf numFmtId="0" fontId="53" fillId="18" borderId="0" xfId="0" applyFont="1" applyFill="1" applyAlignment="1">
      <alignment horizontal="center" vertical="center" wrapText="1"/>
    </xf>
    <xf numFmtId="0" fontId="53" fillId="18" borderId="0" xfId="0" applyFont="1" applyFill="1" applyAlignment="1">
      <alignment horizontal="center" vertical="center"/>
    </xf>
    <xf numFmtId="0" fontId="55" fillId="18" borderId="0" xfId="0" applyFont="1" applyFill="1" applyAlignment="1">
      <alignment horizontal="center" vertical="center"/>
    </xf>
    <xf numFmtId="0" fontId="119" fillId="0" borderId="11" xfId="0" applyFont="1" applyBorder="1" applyAlignment="1">
      <alignment horizontal="center" vertical="center" wrapText="1"/>
    </xf>
    <xf numFmtId="0" fontId="119" fillId="0" borderId="11" xfId="0" applyFont="1" applyBorder="1" applyAlignment="1">
      <alignment horizontal="left" vertical="center" wrapText="1"/>
    </xf>
    <xf numFmtId="0" fontId="121" fillId="0" borderId="45" xfId="0" applyFont="1" applyBorder="1" applyAlignment="1">
      <alignment horizontal="center" vertical="center"/>
    </xf>
    <xf numFmtId="0" fontId="121" fillId="0" borderId="46" xfId="0" applyFont="1" applyBorder="1" applyAlignment="1">
      <alignment horizontal="center" vertical="center" wrapText="1"/>
    </xf>
    <xf numFmtId="166" fontId="49" fillId="24" borderId="11" xfId="0" applyNumberFormat="1" applyFont="1" applyFill="1" applyBorder="1" applyAlignment="1">
      <alignment horizontal="left" vertical="center" wrapText="1"/>
    </xf>
    <xf numFmtId="0" fontId="0" fillId="0" borderId="56" xfId="0" applyBorder="1" applyAlignment="1">
      <alignment horizontal="center" vertical="center"/>
    </xf>
    <xf numFmtId="9" fontId="96" fillId="24" borderId="11" xfId="22" applyFont="1" applyFill="1" applyBorder="1" applyAlignment="1">
      <alignment horizontal="left" vertical="center"/>
    </xf>
    <xf numFmtId="166" fontId="83" fillId="0" borderId="17" xfId="0" applyNumberFormat="1" applyFont="1" applyBorder="1" applyAlignment="1">
      <alignment horizontal="left" vertical="center" wrapText="1"/>
    </xf>
    <xf numFmtId="166" fontId="83" fillId="0" borderId="11" xfId="0" applyNumberFormat="1" applyFont="1" applyBorder="1" applyAlignment="1">
      <alignment horizontal="left" vertical="center" wrapText="1"/>
    </xf>
    <xf numFmtId="166" fontId="96" fillId="18" borderId="11" xfId="0" applyNumberFormat="1" applyFont="1" applyFill="1" applyBorder="1" applyAlignment="1">
      <alignment horizontal="left" vertical="center"/>
    </xf>
    <xf numFmtId="166" fontId="96" fillId="43" borderId="11" xfId="0" applyNumberFormat="1" applyFont="1" applyFill="1" applyBorder="1" applyAlignment="1">
      <alignment horizontal="left" vertical="center"/>
    </xf>
    <xf numFmtId="0" fontId="52" fillId="0" borderId="11"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17" xfId="0" applyFont="1" applyBorder="1" applyAlignment="1">
      <alignment horizontal="center" vertical="center" wrapText="1"/>
    </xf>
    <xf numFmtId="0" fontId="52" fillId="0" borderId="22" xfId="0" applyFont="1" applyBorder="1" applyAlignment="1">
      <alignment horizontal="center" vertical="center" wrapText="1"/>
    </xf>
    <xf numFmtId="0" fontId="0" fillId="0" borderId="11" xfId="0" applyBorder="1" applyAlignment="1">
      <alignment horizontal="center" vertical="center" wrapText="1"/>
    </xf>
    <xf numFmtId="9" fontId="15" fillId="0" borderId="11" xfId="0" applyNumberFormat="1" applyFont="1" applyBorder="1" applyAlignment="1">
      <alignment horizontal="center" vertical="center" wrapText="1"/>
    </xf>
    <xf numFmtId="9" fontId="0" fillId="0" borderId="11" xfId="0" applyNumberFormat="1" applyBorder="1" applyAlignment="1">
      <alignment horizontal="center" vertical="center" wrapText="1"/>
    </xf>
    <xf numFmtId="0" fontId="52" fillId="0" borderId="12" xfId="0" applyFont="1" applyBorder="1" applyAlignment="1">
      <alignment horizontal="center" vertical="center" wrapText="1"/>
    </xf>
    <xf numFmtId="0" fontId="52" fillId="0" borderId="19" xfId="0" applyFont="1" applyBorder="1" applyAlignment="1">
      <alignment horizontal="center" vertical="center" wrapText="1"/>
    </xf>
    <xf numFmtId="0" fontId="52" fillId="0" borderId="12" xfId="0" applyFont="1" applyBorder="1" applyAlignment="1">
      <alignment horizontal="justify" vertical="center" wrapText="1"/>
    </xf>
    <xf numFmtId="0" fontId="52" fillId="0" borderId="22" xfId="0" applyFont="1" applyBorder="1" applyAlignment="1">
      <alignment horizontal="justify" vertical="center" wrapText="1"/>
    </xf>
    <xf numFmtId="0" fontId="52" fillId="0" borderId="19" xfId="0" applyFont="1" applyBorder="1" applyAlignment="1">
      <alignment horizontal="justify" vertical="center" wrapText="1"/>
    </xf>
    <xf numFmtId="9" fontId="15" fillId="0" borderId="17" xfId="0" applyNumberFormat="1" applyFont="1" applyBorder="1" applyAlignment="1">
      <alignment horizontal="center" vertical="center" wrapText="1"/>
    </xf>
    <xf numFmtId="0" fontId="33" fillId="0" borderId="11" xfId="0" applyFont="1" applyBorder="1" applyAlignment="1">
      <alignment horizontal="center" vertical="center" wrapText="1"/>
    </xf>
    <xf numFmtId="9" fontId="47" fillId="0" borderId="17" xfId="22" applyFont="1" applyBorder="1" applyAlignment="1">
      <alignment horizontal="center" vertical="center" wrapText="1"/>
    </xf>
    <xf numFmtId="9" fontId="47" fillId="0" borderId="11" xfId="22" applyFont="1" applyBorder="1" applyAlignment="1">
      <alignment horizontal="center" vertical="center"/>
    </xf>
    <xf numFmtId="9" fontId="47" fillId="0" borderId="7" xfId="22" applyFont="1" applyBorder="1" applyAlignment="1">
      <alignment horizontal="center" vertical="center"/>
    </xf>
    <xf numFmtId="9" fontId="47" fillId="0" borderId="11" xfId="22" applyFont="1" applyBorder="1" applyAlignment="1">
      <alignment horizontal="center" vertical="center" wrapText="1"/>
    </xf>
    <xf numFmtId="166" fontId="96" fillId="24" borderId="12" xfId="0" applyNumberFormat="1" applyFont="1" applyFill="1" applyBorder="1" applyAlignment="1">
      <alignment vertical="center"/>
    </xf>
    <xf numFmtId="166" fontId="100" fillId="24" borderId="11" xfId="0" applyNumberFormat="1" applyFont="1" applyFill="1" applyBorder="1" applyAlignment="1">
      <alignment horizontal="center" vertical="center"/>
    </xf>
    <xf numFmtId="0" fontId="57" fillId="0" borderId="45" xfId="0" applyFont="1" applyBorder="1" applyAlignment="1">
      <alignment horizontal="center" vertical="center" wrapText="1"/>
    </xf>
    <xf numFmtId="166" fontId="0" fillId="0" borderId="45" xfId="0" applyNumberFormat="1" applyBorder="1" applyAlignment="1">
      <alignment horizontal="center" vertical="center"/>
    </xf>
    <xf numFmtId="0" fontId="51" fillId="0" borderId="45" xfId="0" applyFont="1" applyBorder="1" applyAlignment="1">
      <alignment horizontal="center" vertical="center" wrapText="1"/>
    </xf>
    <xf numFmtId="0" fontId="33" fillId="0" borderId="45" xfId="0" applyFont="1" applyBorder="1" applyAlignment="1">
      <alignment horizontal="center" vertical="center"/>
    </xf>
    <xf numFmtId="0" fontId="33" fillId="0" borderId="45" xfId="0" applyFont="1" applyBorder="1" applyAlignment="1">
      <alignment horizontal="center" vertical="center" wrapText="1"/>
    </xf>
    <xf numFmtId="0" fontId="33" fillId="0" borderId="65" xfId="0" applyFont="1" applyBorder="1" applyAlignment="1">
      <alignment horizontal="center" vertical="center" wrapText="1"/>
    </xf>
    <xf numFmtId="0" fontId="33" fillId="0" borderId="57" xfId="0" applyFont="1" applyBorder="1" applyAlignment="1">
      <alignment horizontal="center" vertical="center"/>
    </xf>
    <xf numFmtId="0" fontId="33" fillId="0" borderId="0" xfId="0" applyFont="1" applyAlignment="1">
      <alignment wrapText="1"/>
    </xf>
    <xf numFmtId="166" fontId="100" fillId="43" borderId="11" xfId="0" applyNumberFormat="1" applyFont="1" applyFill="1" applyBorder="1" applyAlignment="1">
      <alignment horizontal="left" vertical="center"/>
    </xf>
    <xf numFmtId="166" fontId="100" fillId="18" borderId="11" xfId="0" applyNumberFormat="1" applyFont="1" applyFill="1" applyBorder="1" applyAlignment="1">
      <alignment horizontal="left" vertical="center"/>
    </xf>
    <xf numFmtId="166" fontId="83" fillId="23" borderId="11" xfId="0" applyNumberFormat="1" applyFont="1" applyFill="1" applyBorder="1" applyAlignment="1">
      <alignment horizontal="left" vertical="center"/>
    </xf>
    <xf numFmtId="166" fontId="83" fillId="14" borderId="11" xfId="0" applyNumberFormat="1" applyFont="1" applyFill="1" applyBorder="1" applyAlignment="1">
      <alignment horizontal="left" vertical="center"/>
    </xf>
    <xf numFmtId="0" fontId="83" fillId="11" borderId="11" xfId="0" applyFont="1" applyFill="1" applyBorder="1" applyAlignment="1">
      <alignment horizontal="left" vertical="center" wrapText="1"/>
    </xf>
    <xf numFmtId="9" fontId="83" fillId="0" borderId="11" xfId="22" applyFont="1" applyBorder="1" applyAlignment="1">
      <alignment horizontal="left" vertical="center" wrapText="1"/>
    </xf>
    <xf numFmtId="166" fontId="83" fillId="0" borderId="7" xfId="0" applyNumberFormat="1" applyFont="1" applyBorder="1" applyAlignment="1">
      <alignment horizontal="left" vertical="center"/>
    </xf>
    <xf numFmtId="9" fontId="83" fillId="0" borderId="17" xfId="22" applyFont="1" applyFill="1" applyBorder="1" applyAlignment="1">
      <alignment horizontal="left" vertical="center" wrapText="1"/>
    </xf>
    <xf numFmtId="9" fontId="49" fillId="19" borderId="11" xfId="22" applyFont="1" applyFill="1" applyBorder="1" applyAlignment="1">
      <alignment horizontal="left" vertical="center" wrapText="1"/>
    </xf>
    <xf numFmtId="166" fontId="49" fillId="19" borderId="11" xfId="0" applyNumberFormat="1" applyFont="1" applyFill="1" applyBorder="1" applyAlignment="1">
      <alignment horizontal="left" vertical="center"/>
    </xf>
    <xf numFmtId="166" fontId="98" fillId="19" borderId="11" xfId="0" applyNumberFormat="1" applyFont="1" applyFill="1" applyBorder="1" applyAlignment="1">
      <alignment horizontal="left" vertical="center"/>
    </xf>
    <xf numFmtId="166" fontId="49" fillId="24" borderId="28" xfId="0" applyNumberFormat="1" applyFont="1" applyFill="1" applyBorder="1" applyAlignment="1">
      <alignment horizontal="left" vertical="center"/>
    </xf>
    <xf numFmtId="0" fontId="52" fillId="0" borderId="11" xfId="0" applyFont="1" applyBorder="1" applyAlignment="1">
      <alignment vertical="center" wrapText="1"/>
    </xf>
    <xf numFmtId="0" fontId="29" fillId="0" borderId="0" xfId="0" applyFont="1" applyAlignment="1">
      <alignment horizontal="center"/>
    </xf>
    <xf numFmtId="49" fontId="83" fillId="0" borderId="11" xfId="0" applyNumberFormat="1" applyFont="1" applyBorder="1" applyAlignment="1">
      <alignment horizontal="left" vertical="center" wrapText="1"/>
    </xf>
    <xf numFmtId="0" fontId="52" fillId="0" borderId="16" xfId="0" applyFont="1" applyBorder="1" applyAlignment="1">
      <alignment horizontal="left" vertical="center" wrapText="1"/>
    </xf>
    <xf numFmtId="0" fontId="29" fillId="10" borderId="45" xfId="0" applyFont="1" applyFill="1" applyBorder="1" applyAlignment="1">
      <alignment horizontal="center" vertical="center" wrapText="1"/>
    </xf>
    <xf numFmtId="0" fontId="33" fillId="10" borderId="45" xfId="0" applyFont="1" applyFill="1" applyBorder="1" applyAlignment="1">
      <alignment horizontal="center" vertical="center" wrapText="1"/>
    </xf>
    <xf numFmtId="49" fontId="49" fillId="19" borderId="11" xfId="0" applyNumberFormat="1" applyFont="1" applyFill="1" applyBorder="1" applyAlignment="1">
      <alignment horizontal="left" vertical="center"/>
    </xf>
    <xf numFmtId="0" fontId="29" fillId="0" borderId="0" xfId="0" applyFont="1" applyAlignment="1">
      <alignment horizontal="left" wrapText="1"/>
    </xf>
    <xf numFmtId="166" fontId="29" fillId="0" borderId="0" xfId="0" applyNumberFormat="1" applyFont="1"/>
    <xf numFmtId="0" fontId="29" fillId="0" borderId="0" xfId="0" applyFont="1"/>
    <xf numFmtId="0" fontId="29" fillId="0" borderId="0" xfId="0" applyFont="1" applyAlignment="1">
      <alignment horizontal="right" wrapText="1"/>
    </xf>
    <xf numFmtId="0" fontId="96" fillId="41" borderId="11" xfId="0" applyFont="1" applyFill="1" applyBorder="1" applyAlignment="1">
      <alignment horizontal="left" vertical="center" wrapText="1"/>
    </xf>
    <xf numFmtId="166" fontId="96" fillId="40" borderId="11" xfId="0" applyNumberFormat="1" applyFont="1" applyFill="1" applyBorder="1" applyAlignment="1">
      <alignment horizontal="left" vertical="center"/>
    </xf>
    <xf numFmtId="166" fontId="100" fillId="40" borderId="11" xfId="0" applyNumberFormat="1" applyFont="1" applyFill="1" applyBorder="1" applyAlignment="1">
      <alignment horizontal="left" vertical="center"/>
    </xf>
    <xf numFmtId="9" fontId="96" fillId="40" borderId="11" xfId="22" applyFont="1" applyFill="1" applyBorder="1" applyAlignment="1">
      <alignment horizontal="left" vertical="center" wrapText="1"/>
    </xf>
    <xf numFmtId="166" fontId="92" fillId="0" borderId="11" xfId="0" applyNumberFormat="1" applyFont="1" applyBorder="1" applyAlignment="1">
      <alignment horizontal="left" vertical="center"/>
    </xf>
    <xf numFmtId="0" fontId="49" fillId="25" borderId="17" xfId="0" applyFont="1" applyFill="1" applyBorder="1" applyAlignment="1">
      <alignment horizontal="left" vertical="center" wrapText="1"/>
    </xf>
    <xf numFmtId="166" fontId="100" fillId="24" borderId="28" xfId="0" applyNumberFormat="1" applyFont="1" applyFill="1" applyBorder="1" applyAlignment="1">
      <alignment horizontal="left" vertical="center"/>
    </xf>
    <xf numFmtId="49" fontId="49" fillId="24" borderId="16" xfId="0" applyNumberFormat="1" applyFont="1" applyFill="1" applyBorder="1" applyAlignment="1">
      <alignment horizontal="left" vertical="center"/>
    </xf>
    <xf numFmtId="9" fontId="47" fillId="0" borderId="7" xfId="22" applyFont="1" applyBorder="1" applyAlignment="1">
      <alignment horizontal="left" vertical="center"/>
    </xf>
    <xf numFmtId="9" fontId="47" fillId="0" borderId="19" xfId="22" applyFont="1" applyBorder="1" applyAlignment="1">
      <alignment horizontal="left" vertical="center" wrapText="1"/>
    </xf>
    <xf numFmtId="0" fontId="29" fillId="0" borderId="0" xfId="0" applyFont="1" applyAlignment="1">
      <alignment wrapText="1"/>
    </xf>
    <xf numFmtId="166" fontId="105" fillId="24" borderId="11" xfId="0" applyNumberFormat="1" applyFont="1" applyFill="1" applyBorder="1" applyAlignment="1">
      <alignment vertical="center"/>
    </xf>
    <xf numFmtId="166" fontId="97" fillId="0" borderId="12" xfId="0" applyNumberFormat="1" applyFont="1" applyBorder="1" applyAlignment="1">
      <alignment vertical="center"/>
    </xf>
    <xf numFmtId="166" fontId="97" fillId="0" borderId="28" xfId="0" applyNumberFormat="1" applyFont="1" applyBorder="1" applyAlignment="1">
      <alignment vertical="center" wrapText="1"/>
    </xf>
    <xf numFmtId="166" fontId="97" fillId="0" borderId="8" xfId="0" applyNumberFormat="1" applyFont="1" applyBorder="1" applyAlignment="1">
      <alignment vertical="center"/>
    </xf>
    <xf numFmtId="9" fontId="97" fillId="0" borderId="28" xfId="22" applyFont="1" applyBorder="1" applyAlignment="1">
      <alignment vertical="center" wrapText="1"/>
    </xf>
    <xf numFmtId="166" fontId="109" fillId="24" borderId="11" xfId="0" applyNumberFormat="1" applyFont="1" applyFill="1" applyBorder="1" applyAlignment="1">
      <alignment vertical="center"/>
    </xf>
    <xf numFmtId="0" fontId="96" fillId="24" borderId="12" xfId="0" applyFont="1" applyFill="1" applyBorder="1" applyAlignment="1">
      <alignment vertical="center" wrapText="1"/>
    </xf>
    <xf numFmtId="0" fontId="96" fillId="24" borderId="26" xfId="0" applyFont="1" applyFill="1" applyBorder="1" applyAlignment="1">
      <alignment vertical="center" wrapText="1"/>
    </xf>
    <xf numFmtId="0" fontId="96" fillId="24" borderId="14" xfId="0" applyFont="1" applyFill="1" applyBorder="1" applyAlignment="1">
      <alignment vertical="center" wrapText="1"/>
    </xf>
    <xf numFmtId="166" fontId="100" fillId="24" borderId="12" xfId="0" applyNumberFormat="1" applyFont="1" applyFill="1" applyBorder="1" applyAlignment="1">
      <alignment vertical="center"/>
    </xf>
    <xf numFmtId="9" fontId="47" fillId="0" borderId="12" xfId="22" applyFont="1" applyBorder="1" applyAlignment="1">
      <alignment vertical="center"/>
    </xf>
    <xf numFmtId="9" fontId="96" fillId="24" borderId="12" xfId="22" applyFont="1" applyFill="1" applyBorder="1" applyAlignment="1">
      <alignment vertical="center"/>
    </xf>
    <xf numFmtId="9" fontId="47" fillId="0" borderId="8" xfId="22" applyFont="1" applyBorder="1" applyAlignment="1">
      <alignment vertical="center"/>
    </xf>
    <xf numFmtId="9" fontId="84" fillId="0" borderId="11" xfId="22" applyFont="1" applyFill="1" applyBorder="1" applyAlignment="1">
      <alignment horizontal="center" vertical="center" wrapText="1"/>
    </xf>
    <xf numFmtId="166" fontId="47" fillId="0" borderId="28" xfId="0" applyNumberFormat="1" applyFont="1" applyBorder="1" applyAlignment="1">
      <alignment horizontal="center" vertical="center" wrapText="1"/>
    </xf>
    <xf numFmtId="0" fontId="96" fillId="0" borderId="0" xfId="0" applyFont="1" applyAlignment="1">
      <alignment horizontal="left" vertical="center" wrapText="1"/>
    </xf>
    <xf numFmtId="166" fontId="29" fillId="0" borderId="0" xfId="0" applyNumberFormat="1" applyFont="1" applyAlignment="1">
      <alignment wrapText="1"/>
    </xf>
    <xf numFmtId="166" fontId="98" fillId="24" borderId="11" xfId="0" applyNumberFormat="1" applyFont="1" applyFill="1" applyBorder="1" applyAlignment="1">
      <alignment horizontal="center" vertical="center"/>
    </xf>
    <xf numFmtId="9" fontId="49" fillId="24" borderId="17" xfId="22" applyFont="1" applyFill="1" applyBorder="1" applyAlignment="1">
      <alignment horizontal="left" vertical="center" wrapText="1"/>
    </xf>
    <xf numFmtId="9" fontId="98" fillId="24" borderId="17" xfId="22" applyFont="1" applyFill="1" applyBorder="1" applyAlignment="1">
      <alignment horizontal="left" vertical="center" wrapText="1"/>
    </xf>
    <xf numFmtId="166" fontId="47" fillId="0" borderId="27" xfId="0" applyNumberFormat="1" applyFont="1" applyBorder="1" applyAlignment="1">
      <alignment vertical="center" wrapText="1"/>
    </xf>
    <xf numFmtId="166" fontId="47" fillId="0" borderId="20" xfId="0" applyNumberFormat="1" applyFont="1" applyBorder="1" applyAlignment="1">
      <alignment horizontal="left" vertical="center"/>
    </xf>
    <xf numFmtId="166" fontId="47" fillId="0" borderId="28" xfId="0" applyNumberFormat="1" applyFont="1" applyBorder="1" applyAlignment="1">
      <alignment horizontal="left" vertical="center" wrapText="1"/>
    </xf>
    <xf numFmtId="166" fontId="43" fillId="0" borderId="0" xfId="0" applyNumberFormat="1" applyFont="1" applyAlignment="1">
      <alignment horizontal="left" vertical="center"/>
    </xf>
    <xf numFmtId="0" fontId="101" fillId="0" borderId="0" xfId="0" applyFont="1" applyAlignment="1">
      <alignment vertical="center"/>
    </xf>
    <xf numFmtId="0" fontId="33" fillId="0" borderId="0" xfId="0" applyFont="1" applyAlignment="1">
      <alignment horizontal="left" vertical="center" wrapText="1"/>
    </xf>
    <xf numFmtId="49" fontId="48" fillId="24" borderId="16" xfId="0" applyNumberFormat="1" applyFont="1" applyFill="1" applyBorder="1" applyAlignment="1">
      <alignment horizontal="center" vertical="center" wrapText="1"/>
    </xf>
    <xf numFmtId="0" fontId="48" fillId="24" borderId="11" xfId="0" applyFont="1" applyFill="1" applyBorder="1" applyAlignment="1">
      <alignment horizontal="center" vertical="center"/>
    </xf>
    <xf numFmtId="49" fontId="48" fillId="0" borderId="32" xfId="0" applyNumberFormat="1" applyFont="1" applyBorder="1" applyAlignment="1">
      <alignment horizontal="center" vertical="center" wrapText="1"/>
    </xf>
    <xf numFmtId="0" fontId="43" fillId="0" borderId="0" xfId="0" applyFont="1" applyAlignment="1">
      <alignment horizontal="center" vertical="center"/>
    </xf>
    <xf numFmtId="0" fontId="55" fillId="18" borderId="11" xfId="0" applyFont="1" applyFill="1" applyBorder="1" applyAlignment="1">
      <alignment horizontal="center" vertical="center"/>
    </xf>
    <xf numFmtId="166" fontId="48" fillId="0" borderId="11" xfId="0" applyNumberFormat="1" applyFont="1" applyBorder="1" applyAlignment="1">
      <alignment horizontal="justify" vertical="center"/>
    </xf>
    <xf numFmtId="49" fontId="48" fillId="0" borderId="11" xfId="0" applyNumberFormat="1" applyFont="1" applyBorder="1" applyAlignment="1">
      <alignment horizontal="justify" vertical="center" wrapText="1"/>
    </xf>
    <xf numFmtId="166" fontId="83" fillId="0" borderId="11" xfId="0" applyNumberFormat="1" applyFont="1" applyBorder="1" applyAlignment="1">
      <alignment horizontal="justify" vertical="center"/>
    </xf>
    <xf numFmtId="49" fontId="48" fillId="0" borderId="16" xfId="0" applyNumberFormat="1" applyFont="1" applyBorder="1" applyAlignment="1">
      <alignment horizontal="justify" vertical="center" wrapText="1"/>
    </xf>
    <xf numFmtId="49" fontId="48" fillId="0" borderId="17" xfId="0" applyNumberFormat="1" applyFont="1" applyBorder="1" applyAlignment="1">
      <alignment horizontal="justify" vertical="center" wrapText="1"/>
    </xf>
    <xf numFmtId="0" fontId="29" fillId="0" borderId="0" xfId="0" applyFont="1" applyAlignment="1">
      <alignment horizontal="justify" vertical="center"/>
    </xf>
    <xf numFmtId="0" fontId="48" fillId="0" borderId="0" xfId="0" applyFont="1" applyAlignment="1">
      <alignment horizontal="justify" vertical="center"/>
    </xf>
    <xf numFmtId="0" fontId="33" fillId="0" borderId="0" xfId="0" applyFont="1" applyAlignment="1">
      <alignment horizontal="justify" vertical="center"/>
    </xf>
    <xf numFmtId="0" fontId="47" fillId="23" borderId="11" xfId="0" applyFont="1" applyFill="1" applyBorder="1" applyAlignment="1">
      <alignment horizontal="justify" vertical="center" wrapText="1"/>
    </xf>
    <xf numFmtId="49" fontId="47" fillId="0" borderId="19" xfId="0" applyNumberFormat="1" applyFont="1" applyBorder="1" applyAlignment="1">
      <alignment horizontal="justify" vertical="center" wrapText="1"/>
    </xf>
    <xf numFmtId="0" fontId="96" fillId="24" borderId="11" xfId="0" applyFont="1" applyFill="1" applyBorder="1" applyAlignment="1">
      <alignment horizontal="justify" vertical="center" wrapText="1"/>
    </xf>
    <xf numFmtId="0" fontId="96" fillId="24" borderId="17" xfId="0" applyFont="1" applyFill="1" applyBorder="1" applyAlignment="1">
      <alignment horizontal="justify" vertical="center" wrapText="1"/>
    </xf>
    <xf numFmtId="0" fontId="96" fillId="24" borderId="16" xfId="0" applyFont="1" applyFill="1" applyBorder="1" applyAlignment="1">
      <alignment horizontal="justify" vertical="center" wrapText="1"/>
    </xf>
    <xf numFmtId="0" fontId="47" fillId="22" borderId="11" xfId="0" applyFont="1" applyFill="1" applyBorder="1" applyAlignment="1">
      <alignment horizontal="justify" vertical="center" wrapText="1"/>
    </xf>
    <xf numFmtId="0" fontId="60" fillId="0" borderId="0" xfId="0" applyFont="1" applyAlignment="1">
      <alignment horizontal="justify" vertical="center"/>
    </xf>
    <xf numFmtId="0" fontId="85" fillId="23" borderId="11" xfId="0" applyFont="1" applyFill="1" applyBorder="1" applyAlignment="1">
      <alignment horizontal="justify" vertical="center" wrapText="1"/>
    </xf>
    <xf numFmtId="49" fontId="47" fillId="23" borderId="11" xfId="0" applyNumberFormat="1" applyFont="1" applyFill="1" applyBorder="1" applyAlignment="1">
      <alignment horizontal="justify" vertical="center" wrapText="1"/>
    </xf>
    <xf numFmtId="49" fontId="47" fillId="0" borderId="11" xfId="0" applyNumberFormat="1" applyFont="1" applyBorder="1" applyAlignment="1">
      <alignment horizontal="justify" vertical="center" wrapText="1"/>
    </xf>
    <xf numFmtId="0" fontId="96" fillId="25" borderId="11" xfId="0" applyFont="1" applyFill="1" applyBorder="1" applyAlignment="1">
      <alignment horizontal="justify" vertical="center" wrapText="1"/>
    </xf>
    <xf numFmtId="0" fontId="59" fillId="0" borderId="0" xfId="0" applyFont="1" applyAlignment="1">
      <alignment horizontal="justify" vertical="center"/>
    </xf>
    <xf numFmtId="49" fontId="60" fillId="0" borderId="0" xfId="0" applyNumberFormat="1" applyFont="1" applyAlignment="1">
      <alignment horizontal="justify" vertical="center"/>
    </xf>
    <xf numFmtId="0" fontId="59" fillId="0" borderId="0" xfId="0" applyFont="1" applyAlignment="1">
      <alignment horizontal="justify" vertical="center" wrapText="1"/>
    </xf>
    <xf numFmtId="0" fontId="83" fillId="0" borderId="0" xfId="0" applyFont="1" applyAlignment="1">
      <alignment horizontal="justify" vertical="center" wrapText="1"/>
    </xf>
    <xf numFmtId="0" fontId="99" fillId="0" borderId="0" xfId="0" applyFont="1" applyAlignment="1">
      <alignment horizontal="justify" vertical="center" wrapText="1"/>
    </xf>
    <xf numFmtId="0" fontId="61" fillId="0" borderId="0" xfId="0" applyFont="1" applyAlignment="1">
      <alignment horizontal="justify" vertical="center" wrapText="1"/>
    </xf>
    <xf numFmtId="166" fontId="96" fillId="24" borderId="17" xfId="0" applyNumberFormat="1" applyFont="1" applyFill="1" applyBorder="1" applyAlignment="1">
      <alignment horizontal="justify" vertical="center"/>
    </xf>
    <xf numFmtId="166" fontId="96" fillId="24" borderId="11" xfId="0" applyNumberFormat="1" applyFont="1" applyFill="1" applyBorder="1" applyAlignment="1">
      <alignment horizontal="justify" vertical="center"/>
    </xf>
    <xf numFmtId="0" fontId="96" fillId="24" borderId="11" xfId="0" applyFont="1" applyFill="1" applyBorder="1" applyAlignment="1">
      <alignment horizontal="justify" vertical="center"/>
    </xf>
    <xf numFmtId="49" fontId="49" fillId="24" borderId="11" xfId="0" applyNumberFormat="1" applyFont="1" applyFill="1" applyBorder="1" applyAlignment="1">
      <alignment horizontal="justify" vertical="center" wrapText="1"/>
    </xf>
    <xf numFmtId="166" fontId="96" fillId="24" borderId="16" xfId="0" applyNumberFormat="1" applyFont="1" applyFill="1" applyBorder="1" applyAlignment="1">
      <alignment horizontal="justify" vertical="center"/>
    </xf>
    <xf numFmtId="49" fontId="48" fillId="0" borderId="19" xfId="0" applyNumberFormat="1" applyFont="1" applyBorder="1" applyAlignment="1">
      <alignment horizontal="justify" vertical="center" wrapText="1"/>
    </xf>
    <xf numFmtId="166" fontId="48" fillId="24" borderId="11" xfId="0" applyNumberFormat="1" applyFont="1" applyFill="1" applyBorder="1" applyAlignment="1">
      <alignment horizontal="justify" vertical="center"/>
    </xf>
    <xf numFmtId="0" fontId="48" fillId="24" borderId="11" xfId="0" applyFont="1" applyFill="1" applyBorder="1" applyAlignment="1">
      <alignment horizontal="justify" vertical="center"/>
    </xf>
    <xf numFmtId="49" fontId="48" fillId="24" borderId="11" xfId="0" applyNumberFormat="1" applyFont="1" applyFill="1" applyBorder="1" applyAlignment="1">
      <alignment horizontal="justify" vertical="center" wrapText="1"/>
    </xf>
    <xf numFmtId="166" fontId="47" fillId="24" borderId="11" xfId="0" applyNumberFormat="1" applyFont="1" applyFill="1" applyBorder="1" applyAlignment="1">
      <alignment horizontal="justify" vertical="center"/>
    </xf>
    <xf numFmtId="166" fontId="47" fillId="23" borderId="11" xfId="0" applyNumberFormat="1" applyFont="1" applyFill="1" applyBorder="1" applyAlignment="1">
      <alignment horizontal="justify" vertical="center" wrapText="1"/>
    </xf>
    <xf numFmtId="166" fontId="96" fillId="24" borderId="11" xfId="0" applyNumberFormat="1" applyFont="1" applyFill="1" applyBorder="1" applyAlignment="1">
      <alignment horizontal="justify" vertical="center" wrapText="1"/>
    </xf>
    <xf numFmtId="49" fontId="100" fillId="24" borderId="11" xfId="0" applyNumberFormat="1" applyFont="1" applyFill="1" applyBorder="1" applyAlignment="1">
      <alignment horizontal="justify" vertical="center" wrapText="1"/>
    </xf>
    <xf numFmtId="49" fontId="96" fillId="24" borderId="11" xfId="0" applyNumberFormat="1" applyFont="1" applyFill="1" applyBorder="1" applyAlignment="1">
      <alignment horizontal="justify" vertical="center" wrapText="1"/>
    </xf>
    <xf numFmtId="49" fontId="96" fillId="24" borderId="16" xfId="0" applyNumberFormat="1" applyFont="1" applyFill="1" applyBorder="1" applyAlignment="1">
      <alignment horizontal="justify" vertical="center" wrapText="1"/>
    </xf>
    <xf numFmtId="166" fontId="98" fillId="24" borderId="11" xfId="0" applyNumberFormat="1" applyFont="1" applyFill="1" applyBorder="1" applyAlignment="1">
      <alignment horizontal="justify" vertical="center" wrapText="1"/>
    </xf>
    <xf numFmtId="166" fontId="48" fillId="23" borderId="11" xfId="0" applyNumberFormat="1" applyFont="1" applyFill="1" applyBorder="1" applyAlignment="1">
      <alignment horizontal="justify" vertical="center" wrapText="1"/>
    </xf>
    <xf numFmtId="0" fontId="47" fillId="23" borderId="11" xfId="0" applyFont="1" applyFill="1" applyBorder="1" applyAlignment="1">
      <alignment horizontal="justify" vertical="center"/>
    </xf>
    <xf numFmtId="49" fontId="96" fillId="24" borderId="17" xfId="0" applyNumberFormat="1" applyFont="1" applyFill="1" applyBorder="1" applyAlignment="1">
      <alignment horizontal="justify" vertical="center" wrapText="1"/>
    </xf>
    <xf numFmtId="166" fontId="96" fillId="27" borderId="11" xfId="0" applyNumberFormat="1" applyFont="1" applyFill="1" applyBorder="1" applyAlignment="1">
      <alignment horizontal="justify" vertical="center" wrapText="1"/>
    </xf>
    <xf numFmtId="0" fontId="49" fillId="24" borderId="11" xfId="0" applyFont="1" applyFill="1" applyBorder="1" applyAlignment="1">
      <alignment horizontal="justify" vertical="center"/>
    </xf>
    <xf numFmtId="0" fontId="49" fillId="24" borderId="16" xfId="0" applyFont="1" applyFill="1" applyBorder="1" applyAlignment="1">
      <alignment horizontal="justify" vertical="center"/>
    </xf>
    <xf numFmtId="49" fontId="96" fillId="24" borderId="19" xfId="0" applyNumberFormat="1" applyFont="1" applyFill="1" applyBorder="1" applyAlignment="1">
      <alignment horizontal="justify" vertical="center" wrapText="1"/>
    </xf>
    <xf numFmtId="166" fontId="83" fillId="23" borderId="11" xfId="0" applyNumberFormat="1" applyFont="1" applyFill="1" applyBorder="1" applyAlignment="1">
      <alignment horizontal="justify" vertical="center" wrapText="1"/>
    </xf>
    <xf numFmtId="49" fontId="47" fillId="24" borderId="17" xfId="0" applyNumberFormat="1" applyFont="1" applyFill="1" applyBorder="1" applyAlignment="1">
      <alignment horizontal="justify" vertical="center" wrapText="1"/>
    </xf>
    <xf numFmtId="49" fontId="48" fillId="24" borderId="17" xfId="0" applyNumberFormat="1" applyFont="1" applyFill="1" applyBorder="1" applyAlignment="1">
      <alignment horizontal="justify" vertical="center" wrapText="1"/>
    </xf>
    <xf numFmtId="0" fontId="48" fillId="0" borderId="11" xfId="0" applyFont="1" applyBorder="1" applyAlignment="1">
      <alignment horizontal="justify" vertical="center"/>
    </xf>
    <xf numFmtId="0" fontId="47" fillId="0" borderId="0" xfId="0" applyFont="1" applyAlignment="1">
      <alignment horizontal="justify" vertical="center" wrapText="1"/>
    </xf>
    <xf numFmtId="166" fontId="47" fillId="0" borderId="0" xfId="0" applyNumberFormat="1" applyFont="1" applyAlignment="1">
      <alignment horizontal="justify" vertical="center" wrapText="1"/>
    </xf>
    <xf numFmtId="166" fontId="84" fillId="0" borderId="0" xfId="0" applyNumberFormat="1" applyFont="1" applyAlignment="1">
      <alignment horizontal="justify" vertical="center" wrapText="1"/>
    </xf>
    <xf numFmtId="0" fontId="60" fillId="0" borderId="11" xfId="0" applyFont="1" applyBorder="1" applyAlignment="1">
      <alignment horizontal="justify" vertical="center"/>
    </xf>
    <xf numFmtId="0" fontId="47" fillId="0" borderId="0" xfId="0" applyFont="1" applyAlignment="1">
      <alignment horizontal="justify" vertical="center"/>
    </xf>
    <xf numFmtId="9" fontId="60" fillId="0" borderId="0" xfId="22" applyFont="1" applyAlignment="1">
      <alignment horizontal="justify" vertical="center"/>
    </xf>
    <xf numFmtId="0" fontId="63" fillId="0" borderId="0" xfId="0" applyFont="1" applyAlignment="1">
      <alignment horizontal="justify" vertical="center"/>
    </xf>
    <xf numFmtId="0" fontId="48" fillId="23" borderId="11" xfId="0" applyFont="1" applyFill="1" applyBorder="1" applyAlignment="1">
      <alignment horizontal="justify" vertical="center" textRotation="90" wrapText="1"/>
    </xf>
    <xf numFmtId="0" fontId="84" fillId="23" borderId="11" xfId="0" applyFont="1" applyFill="1" applyBorder="1" applyAlignment="1">
      <alignment horizontal="justify" vertical="center" wrapText="1"/>
    </xf>
    <xf numFmtId="9" fontId="84" fillId="23" borderId="11" xfId="22" applyFont="1" applyFill="1" applyBorder="1" applyAlignment="1">
      <alignment horizontal="justify" vertical="center" wrapText="1"/>
    </xf>
    <xf numFmtId="9" fontId="47" fillId="23" borderId="11" xfId="22" applyFont="1" applyFill="1" applyBorder="1" applyAlignment="1">
      <alignment horizontal="justify" vertical="center" wrapText="1"/>
    </xf>
    <xf numFmtId="166" fontId="84" fillId="23" borderId="11" xfId="0" applyNumberFormat="1" applyFont="1" applyFill="1" applyBorder="1" applyAlignment="1">
      <alignment horizontal="justify" vertical="center" wrapText="1"/>
    </xf>
    <xf numFmtId="49" fontId="48" fillId="0" borderId="11" xfId="0" applyNumberFormat="1" applyFont="1" applyBorder="1" applyAlignment="1">
      <alignment horizontal="justify" vertical="center"/>
    </xf>
    <xf numFmtId="166" fontId="84" fillId="0" borderId="11" xfId="0" applyNumberFormat="1" applyFont="1" applyBorder="1" applyAlignment="1">
      <alignment horizontal="justify" vertical="center"/>
    </xf>
    <xf numFmtId="9" fontId="84" fillId="0" borderId="11" xfId="22" applyFont="1" applyFill="1" applyBorder="1" applyAlignment="1">
      <alignment horizontal="justify" vertical="center" wrapText="1"/>
    </xf>
    <xf numFmtId="166" fontId="47" fillId="0" borderId="11" xfId="0" applyNumberFormat="1" applyFont="1" applyBorder="1" applyAlignment="1">
      <alignment horizontal="justify" vertical="center"/>
    </xf>
    <xf numFmtId="9" fontId="47" fillId="0" borderId="11" xfId="22" applyFont="1" applyBorder="1" applyAlignment="1">
      <alignment horizontal="justify" vertical="center"/>
    </xf>
    <xf numFmtId="166" fontId="47" fillId="0" borderId="11" xfId="0" applyNumberFormat="1" applyFont="1" applyBorder="1" applyAlignment="1">
      <alignment horizontal="justify" vertical="center" wrapText="1"/>
    </xf>
    <xf numFmtId="0" fontId="47" fillId="14" borderId="11" xfId="0" applyFont="1" applyFill="1" applyBorder="1" applyAlignment="1">
      <alignment horizontal="justify" vertical="center"/>
    </xf>
    <xf numFmtId="166" fontId="84" fillId="14" borderId="11" xfId="0" applyNumberFormat="1" applyFont="1" applyFill="1" applyBorder="1" applyAlignment="1">
      <alignment horizontal="justify" vertical="center"/>
    </xf>
    <xf numFmtId="9" fontId="84" fillId="14" borderId="11" xfId="22" applyFont="1" applyFill="1" applyBorder="1" applyAlignment="1">
      <alignment horizontal="justify" vertical="center" wrapText="1"/>
    </xf>
    <xf numFmtId="166" fontId="47" fillId="14" borderId="11" xfId="0" applyNumberFormat="1" applyFont="1" applyFill="1" applyBorder="1" applyAlignment="1">
      <alignment horizontal="justify" vertical="center"/>
    </xf>
    <xf numFmtId="9" fontId="47" fillId="14" borderId="11" xfId="22" applyFont="1" applyFill="1" applyBorder="1" applyAlignment="1">
      <alignment horizontal="justify" vertical="center"/>
    </xf>
    <xf numFmtId="0" fontId="96" fillId="24" borderId="9" xfId="0" applyFont="1" applyFill="1" applyBorder="1" applyAlignment="1">
      <alignment horizontal="justify" vertical="center"/>
    </xf>
    <xf numFmtId="9" fontId="98" fillId="24" borderId="11" xfId="22" applyFont="1" applyFill="1" applyBorder="1" applyAlignment="1">
      <alignment horizontal="justify" vertical="center" wrapText="1"/>
    </xf>
    <xf numFmtId="166" fontId="100" fillId="24" borderId="17" xfId="0" applyNumberFormat="1" applyFont="1" applyFill="1" applyBorder="1" applyAlignment="1">
      <alignment horizontal="justify" vertical="center"/>
    </xf>
    <xf numFmtId="9" fontId="49" fillId="24" borderId="11" xfId="22" applyFont="1" applyFill="1" applyBorder="1" applyAlignment="1">
      <alignment horizontal="justify" vertical="center"/>
    </xf>
    <xf numFmtId="166" fontId="100" fillId="24" borderId="11" xfId="0" applyNumberFormat="1" applyFont="1" applyFill="1" applyBorder="1" applyAlignment="1">
      <alignment horizontal="justify" vertical="center"/>
    </xf>
    <xf numFmtId="0" fontId="96" fillId="24" borderId="6" xfId="0" applyFont="1" applyFill="1" applyBorder="1" applyAlignment="1">
      <alignment horizontal="justify" vertical="center"/>
    </xf>
    <xf numFmtId="166" fontId="100" fillId="26" borderId="11" xfId="0" applyNumberFormat="1" applyFont="1" applyFill="1" applyBorder="1" applyAlignment="1">
      <alignment horizontal="justify" vertical="center"/>
    </xf>
    <xf numFmtId="166" fontId="49" fillId="24" borderId="11" xfId="0" applyNumberFormat="1" applyFont="1" applyFill="1" applyBorder="1" applyAlignment="1">
      <alignment horizontal="justify" vertical="center"/>
    </xf>
    <xf numFmtId="0" fontId="96" fillId="25" borderId="7" xfId="0" applyFont="1" applyFill="1" applyBorder="1" applyAlignment="1">
      <alignment horizontal="justify" vertical="center" textRotation="90" wrapText="1"/>
    </xf>
    <xf numFmtId="0" fontId="96" fillId="25" borderId="11" xfId="0" applyFont="1" applyFill="1" applyBorder="1" applyAlignment="1">
      <alignment horizontal="justify" vertical="center" textRotation="90" wrapText="1"/>
    </xf>
    <xf numFmtId="166" fontId="49" fillId="24" borderId="16" xfId="0" applyNumberFormat="1" applyFont="1" applyFill="1" applyBorder="1" applyAlignment="1">
      <alignment horizontal="justify" vertical="center"/>
    </xf>
    <xf numFmtId="0" fontId="48" fillId="0" borderId="6" xfId="0" applyFont="1" applyBorder="1" applyAlignment="1">
      <alignment horizontal="justify" vertical="center"/>
    </xf>
    <xf numFmtId="0" fontId="47" fillId="14" borderId="6" xfId="0" applyFont="1" applyFill="1" applyBorder="1" applyAlignment="1">
      <alignment horizontal="justify" vertical="center"/>
    </xf>
    <xf numFmtId="166" fontId="47" fillId="0" borderId="17" xfId="0" applyNumberFormat="1" applyFont="1" applyBorder="1" applyAlignment="1">
      <alignment horizontal="justify" vertical="center" wrapText="1"/>
    </xf>
    <xf numFmtId="166" fontId="47" fillId="14" borderId="12" xfId="0" applyNumberFormat="1" applyFont="1" applyFill="1" applyBorder="1" applyAlignment="1">
      <alignment horizontal="justify" vertical="center"/>
    </xf>
    <xf numFmtId="166" fontId="84" fillId="23" borderId="11" xfId="0" applyNumberFormat="1" applyFont="1" applyFill="1" applyBorder="1" applyAlignment="1">
      <alignment horizontal="justify" vertical="center"/>
    </xf>
    <xf numFmtId="166" fontId="47" fillId="23" borderId="11" xfId="0" applyNumberFormat="1" applyFont="1" applyFill="1" applyBorder="1" applyAlignment="1">
      <alignment horizontal="justify" vertical="center"/>
    </xf>
    <xf numFmtId="9" fontId="47" fillId="23" borderId="11" xfId="22" applyFont="1" applyFill="1" applyBorder="1" applyAlignment="1">
      <alignment horizontal="justify" vertical="center"/>
    </xf>
    <xf numFmtId="0" fontId="48" fillId="0" borderId="9" xfId="0" applyFont="1" applyBorder="1" applyAlignment="1">
      <alignment horizontal="justify" vertical="center"/>
    </xf>
    <xf numFmtId="166" fontId="84" fillId="0" borderId="17" xfId="0" applyNumberFormat="1" applyFont="1" applyBorder="1" applyAlignment="1">
      <alignment horizontal="justify" vertical="center"/>
    </xf>
    <xf numFmtId="166" fontId="47" fillId="0" borderId="17" xfId="0" applyNumberFormat="1" applyFont="1" applyBorder="1" applyAlignment="1">
      <alignment horizontal="justify" vertical="center"/>
    </xf>
    <xf numFmtId="166" fontId="83" fillId="24" borderId="11" xfId="0" applyNumberFormat="1" applyFont="1" applyFill="1" applyBorder="1" applyAlignment="1">
      <alignment horizontal="justify" vertical="center"/>
    </xf>
    <xf numFmtId="9" fontId="84" fillId="24" borderId="11" xfId="22" applyFont="1" applyFill="1" applyBorder="1" applyAlignment="1">
      <alignment horizontal="justify" vertical="center" wrapText="1"/>
    </xf>
    <xf numFmtId="166" fontId="86" fillId="0" borderId="11" xfId="0" applyNumberFormat="1" applyFont="1" applyBorder="1" applyAlignment="1">
      <alignment horizontal="justify" vertical="center"/>
    </xf>
    <xf numFmtId="166" fontId="47" fillId="0" borderId="28" xfId="0" applyNumberFormat="1" applyFont="1" applyBorder="1" applyAlignment="1">
      <alignment horizontal="justify" vertical="center"/>
    </xf>
    <xf numFmtId="166" fontId="98" fillId="24" borderId="11" xfId="0" applyNumberFormat="1" applyFont="1" applyFill="1" applyBorder="1" applyAlignment="1">
      <alignment horizontal="justify" vertical="center"/>
    </xf>
    <xf numFmtId="9" fontId="47" fillId="24" borderId="11" xfId="22" applyFont="1" applyFill="1" applyBorder="1" applyAlignment="1">
      <alignment horizontal="justify" vertical="center"/>
    </xf>
    <xf numFmtId="166" fontId="84" fillId="24" borderId="11" xfId="0" applyNumberFormat="1" applyFont="1" applyFill="1" applyBorder="1" applyAlignment="1">
      <alignment horizontal="justify" vertical="center"/>
    </xf>
    <xf numFmtId="0" fontId="96" fillId="24" borderId="7" xfId="0" applyFont="1" applyFill="1" applyBorder="1" applyAlignment="1">
      <alignment horizontal="justify" vertical="center"/>
    </xf>
    <xf numFmtId="166" fontId="98" fillId="24" borderId="16" xfId="0" applyNumberFormat="1" applyFont="1" applyFill="1" applyBorder="1" applyAlignment="1">
      <alignment horizontal="justify" vertical="center"/>
    </xf>
    <xf numFmtId="9" fontId="49" fillId="24" borderId="16" xfId="22" applyFont="1" applyFill="1" applyBorder="1" applyAlignment="1">
      <alignment horizontal="justify" vertical="center"/>
    </xf>
    <xf numFmtId="166" fontId="47" fillId="0" borderId="0" xfId="0" applyNumberFormat="1" applyFont="1" applyAlignment="1">
      <alignment horizontal="justify" vertical="center"/>
    </xf>
    <xf numFmtId="0" fontId="49" fillId="27" borderId="11" xfId="0" applyFont="1" applyFill="1" applyBorder="1" applyAlignment="1">
      <alignment horizontal="justify" vertical="center"/>
    </xf>
    <xf numFmtId="166" fontId="100" fillId="27" borderId="11" xfId="0" applyNumberFormat="1" applyFont="1" applyFill="1" applyBorder="1" applyAlignment="1">
      <alignment horizontal="justify" vertical="center"/>
    </xf>
    <xf numFmtId="166" fontId="96" fillId="27" borderId="11" xfId="0" applyNumberFormat="1" applyFont="1" applyFill="1" applyBorder="1" applyAlignment="1">
      <alignment horizontal="justify" vertical="center"/>
    </xf>
    <xf numFmtId="166" fontId="98" fillId="27" borderId="11" xfId="0" applyNumberFormat="1" applyFont="1" applyFill="1" applyBorder="1" applyAlignment="1">
      <alignment horizontal="justify" vertical="center"/>
    </xf>
    <xf numFmtId="166" fontId="116" fillId="27" borderId="11" xfId="0" applyNumberFormat="1" applyFont="1" applyFill="1" applyBorder="1" applyAlignment="1">
      <alignment horizontal="justify" vertical="center"/>
    </xf>
    <xf numFmtId="166" fontId="49" fillId="0" borderId="11" xfId="0" applyNumberFormat="1" applyFont="1" applyBorder="1" applyAlignment="1">
      <alignment horizontal="justify" vertical="center"/>
    </xf>
    <xf numFmtId="9" fontId="96" fillId="0" borderId="11" xfId="22" applyFont="1" applyBorder="1" applyAlignment="1">
      <alignment horizontal="justify" vertical="center"/>
    </xf>
    <xf numFmtId="166" fontId="100" fillId="0" borderId="11" xfId="0" applyNumberFormat="1" applyFont="1" applyBorder="1" applyAlignment="1">
      <alignment horizontal="justify" vertical="center"/>
    </xf>
    <xf numFmtId="166" fontId="96" fillId="0" borderId="11" xfId="0" applyNumberFormat="1" applyFont="1" applyBorder="1" applyAlignment="1">
      <alignment horizontal="justify" vertical="center"/>
    </xf>
    <xf numFmtId="166" fontId="49" fillId="14" borderId="11" xfId="0" applyNumberFormat="1" applyFont="1" applyFill="1" applyBorder="1" applyAlignment="1">
      <alignment horizontal="justify" vertical="center"/>
    </xf>
    <xf numFmtId="9" fontId="96" fillId="14" borderId="11" xfId="22" applyFont="1" applyFill="1" applyBorder="1" applyAlignment="1">
      <alignment horizontal="justify" vertical="center"/>
    </xf>
    <xf numFmtId="166" fontId="100" fillId="14" borderId="11" xfId="0" applyNumberFormat="1" applyFont="1" applyFill="1" applyBorder="1" applyAlignment="1">
      <alignment horizontal="justify" vertical="center"/>
    </xf>
    <xf numFmtId="166" fontId="96" fillId="14" borderId="11" xfId="0" applyNumberFormat="1" applyFont="1" applyFill="1" applyBorder="1" applyAlignment="1">
      <alignment horizontal="justify" vertical="center"/>
    </xf>
    <xf numFmtId="9" fontId="49" fillId="0" borderId="11" xfId="22" applyFont="1" applyFill="1" applyBorder="1" applyAlignment="1">
      <alignment horizontal="justify" vertical="center"/>
    </xf>
    <xf numFmtId="9" fontId="49" fillId="14" borderId="11" xfId="22" applyFont="1" applyFill="1" applyBorder="1" applyAlignment="1">
      <alignment horizontal="justify" vertical="center"/>
    </xf>
    <xf numFmtId="9" fontId="96" fillId="24" borderId="11" xfId="22" applyFont="1" applyFill="1" applyBorder="1" applyAlignment="1">
      <alignment horizontal="justify" vertical="center" wrapText="1"/>
    </xf>
    <xf numFmtId="9" fontId="96" fillId="24" borderId="11" xfId="22" applyFont="1" applyFill="1" applyBorder="1" applyAlignment="1">
      <alignment horizontal="justify" vertical="center"/>
    </xf>
    <xf numFmtId="43" fontId="48" fillId="0" borderId="11" xfId="21" applyFont="1" applyFill="1" applyBorder="1" applyAlignment="1">
      <alignment horizontal="justify" vertical="center"/>
    </xf>
    <xf numFmtId="0" fontId="47" fillId="24" borderId="11" xfId="0" applyFont="1" applyFill="1" applyBorder="1" applyAlignment="1">
      <alignment horizontal="justify" vertical="center"/>
    </xf>
    <xf numFmtId="0" fontId="47" fillId="14" borderId="15" xfId="0" applyFont="1" applyFill="1" applyBorder="1" applyAlignment="1">
      <alignment horizontal="justify" vertical="center"/>
    </xf>
    <xf numFmtId="166" fontId="84" fillId="14" borderId="19" xfId="0" applyNumberFormat="1" applyFont="1" applyFill="1" applyBorder="1" applyAlignment="1">
      <alignment horizontal="justify" vertical="center"/>
    </xf>
    <xf numFmtId="0" fontId="84" fillId="12" borderId="11" xfId="0" applyFont="1" applyFill="1" applyBorder="1" applyAlignment="1">
      <alignment horizontal="justify" vertical="center" wrapText="1"/>
    </xf>
    <xf numFmtId="0" fontId="47" fillId="12" borderId="11" xfId="0" applyFont="1" applyFill="1" applyBorder="1" applyAlignment="1">
      <alignment horizontal="justify" vertical="center" wrapText="1"/>
    </xf>
    <xf numFmtId="9" fontId="47" fillId="12" borderId="11" xfId="22" applyFont="1" applyFill="1" applyBorder="1" applyAlignment="1">
      <alignment horizontal="justify" vertical="center" wrapText="1"/>
    </xf>
    <xf numFmtId="166" fontId="84" fillId="0" borderId="11" xfId="0" applyNumberFormat="1" applyFont="1" applyBorder="1" applyAlignment="1">
      <alignment horizontal="justify" vertical="center" wrapText="1"/>
    </xf>
    <xf numFmtId="9" fontId="47" fillId="0" borderId="11" xfId="22" applyFont="1" applyBorder="1" applyAlignment="1">
      <alignment horizontal="justify" vertical="center" wrapText="1"/>
    </xf>
    <xf numFmtId="9" fontId="47" fillId="14" borderId="11" xfId="22" applyFont="1" applyFill="1" applyBorder="1" applyAlignment="1">
      <alignment horizontal="justify" vertical="center" wrapText="1"/>
    </xf>
    <xf numFmtId="166" fontId="60" fillId="5" borderId="0" xfId="0" applyNumberFormat="1" applyFont="1" applyFill="1" applyAlignment="1">
      <alignment horizontal="justify" vertical="center"/>
    </xf>
    <xf numFmtId="9" fontId="60" fillId="5" borderId="0" xfId="22" applyFont="1" applyFill="1" applyAlignment="1">
      <alignment horizontal="justify" vertical="center"/>
    </xf>
    <xf numFmtId="166" fontId="63" fillId="5" borderId="0" xfId="0" applyNumberFormat="1" applyFont="1" applyFill="1" applyAlignment="1">
      <alignment horizontal="justify" vertical="center"/>
    </xf>
    <xf numFmtId="166" fontId="60" fillId="0" borderId="0" xfId="0" applyNumberFormat="1" applyFont="1" applyAlignment="1">
      <alignment horizontal="justify" vertical="center"/>
    </xf>
    <xf numFmtId="166" fontId="63" fillId="0" borderId="0" xfId="0" applyNumberFormat="1" applyFont="1" applyAlignment="1">
      <alignment horizontal="justify" vertical="center"/>
    </xf>
    <xf numFmtId="0" fontId="60" fillId="13" borderId="0" xfId="0" applyFont="1" applyFill="1" applyAlignment="1">
      <alignment horizontal="justify" vertical="center"/>
    </xf>
    <xf numFmtId="0" fontId="83" fillId="19" borderId="0" xfId="0" applyFont="1" applyFill="1" applyAlignment="1">
      <alignment horizontal="left" vertical="center"/>
    </xf>
    <xf numFmtId="166" fontId="91" fillId="19" borderId="0" xfId="0" applyNumberFormat="1" applyFont="1" applyFill="1" applyAlignment="1">
      <alignment horizontal="left" vertical="center"/>
    </xf>
    <xf numFmtId="0" fontId="63" fillId="0" borderId="0" xfId="0" applyFont="1" applyAlignment="1">
      <alignment horizontal="right" vertical="center"/>
    </xf>
    <xf numFmtId="0" fontId="60" fillId="19" borderId="0" xfId="0" applyFont="1" applyFill="1" applyAlignment="1">
      <alignment horizontal="left" vertical="center"/>
    </xf>
    <xf numFmtId="166" fontId="60" fillId="19" borderId="0" xfId="0" applyNumberFormat="1" applyFont="1" applyFill="1" applyAlignment="1">
      <alignment horizontal="left" vertical="center"/>
    </xf>
    <xf numFmtId="0" fontId="39" fillId="19" borderId="0" xfId="0" applyFont="1" applyFill="1"/>
    <xf numFmtId="166" fontId="39" fillId="19" borderId="0" xfId="0" applyNumberFormat="1" applyFont="1" applyFill="1"/>
    <xf numFmtId="0" fontId="48" fillId="19" borderId="0" xfId="0" applyFont="1" applyFill="1" applyAlignment="1">
      <alignment horizontal="left" vertical="center"/>
    </xf>
    <xf numFmtId="0" fontId="39" fillId="19" borderId="0" xfId="0" applyFont="1" applyFill="1" applyAlignment="1">
      <alignment horizontal="right"/>
    </xf>
    <xf numFmtId="0" fontId="39" fillId="19" borderId="11" xfId="0" applyFont="1" applyFill="1" applyBorder="1"/>
    <xf numFmtId="0" fontId="39" fillId="19" borderId="11" xfId="0" applyFont="1" applyFill="1" applyBorder="1" applyAlignment="1">
      <alignment horizontal="right"/>
    </xf>
    <xf numFmtId="166" fontId="39" fillId="19" borderId="11" xfId="0" applyNumberFormat="1" applyFont="1" applyFill="1" applyBorder="1"/>
    <xf numFmtId="0" fontId="51" fillId="19" borderId="11" xfId="0" applyFont="1" applyFill="1" applyBorder="1"/>
    <xf numFmtId="0" fontId="33" fillId="19" borderId="11" xfId="0" applyFont="1" applyFill="1" applyBorder="1"/>
    <xf numFmtId="166" fontId="33" fillId="19" borderId="11" xfId="0" applyNumberFormat="1" applyFont="1" applyFill="1" applyBorder="1"/>
    <xf numFmtId="166" fontId="51" fillId="19" borderId="11" xfId="0" applyNumberFormat="1" applyFont="1" applyFill="1" applyBorder="1"/>
    <xf numFmtId="0" fontId="39" fillId="20" borderId="11" xfId="0" applyFont="1" applyFill="1" applyBorder="1"/>
    <xf numFmtId="166" fontId="39" fillId="20" borderId="11" xfId="0" applyNumberFormat="1" applyFont="1" applyFill="1" applyBorder="1"/>
    <xf numFmtId="166" fontId="48" fillId="19" borderId="0" xfId="0" applyNumberFormat="1" applyFont="1" applyFill="1" applyAlignment="1">
      <alignment horizontal="left" vertical="center"/>
    </xf>
    <xf numFmtId="0" fontId="83" fillId="0" borderId="0" xfId="0" applyFont="1" applyAlignment="1">
      <alignment horizontal="right" vertical="center"/>
    </xf>
    <xf numFmtId="0" fontId="133" fillId="19" borderId="0" xfId="0" applyFont="1" applyFill="1"/>
    <xf numFmtId="0" fontId="133" fillId="0" borderId="0" xfId="0" applyFont="1"/>
    <xf numFmtId="166" fontId="133" fillId="0" borderId="0" xfId="0" applyNumberFormat="1" applyFont="1"/>
    <xf numFmtId="166" fontId="133" fillId="31" borderId="0" xfId="0" applyNumberFormat="1" applyFont="1" applyFill="1"/>
    <xf numFmtId="166" fontId="133" fillId="19" borderId="0" xfId="0" applyNumberFormat="1" applyFont="1" applyFill="1"/>
    <xf numFmtId="0" fontId="133" fillId="0" borderId="0" xfId="0" applyFont="1" applyAlignment="1">
      <alignment horizontal="left" vertical="center"/>
    </xf>
    <xf numFmtId="0" fontId="134" fillId="0" borderId="0" xfId="0" applyFont="1" applyAlignment="1">
      <alignment horizontal="left" vertical="center"/>
    </xf>
    <xf numFmtId="166" fontId="133" fillId="0" borderId="0" xfId="0" applyNumberFormat="1" applyFont="1" applyAlignment="1">
      <alignment horizontal="left" vertical="center"/>
    </xf>
    <xf numFmtId="166" fontId="135" fillId="0" borderId="0" xfId="0" applyNumberFormat="1" applyFont="1"/>
    <xf numFmtId="0" fontId="47" fillId="0" borderId="0" xfId="0" applyFont="1" applyAlignment="1">
      <alignment horizontal="center" vertical="center" wrapText="1"/>
    </xf>
    <xf numFmtId="0" fontId="33" fillId="0" borderId="0" xfId="0" applyFont="1" applyAlignment="1">
      <alignment horizontal="center" vertical="center"/>
    </xf>
    <xf numFmtId="167" fontId="81" fillId="0" borderId="0" xfId="0" applyNumberFormat="1" applyFont="1" applyAlignment="1">
      <alignment horizontal="left" vertical="center"/>
    </xf>
    <xf numFmtId="166" fontId="81" fillId="0" borderId="0" xfId="0" applyNumberFormat="1" applyFont="1" applyAlignment="1">
      <alignment horizontal="left" vertical="center"/>
    </xf>
    <xf numFmtId="2" fontId="80" fillId="0" borderId="0" xfId="0" applyNumberFormat="1" applyFont="1" applyAlignment="1">
      <alignment horizontal="left" vertical="center"/>
    </xf>
    <xf numFmtId="166" fontId="80" fillId="0" borderId="0" xfId="0" applyNumberFormat="1" applyFont="1" applyAlignment="1">
      <alignment horizontal="left" vertical="center"/>
    </xf>
    <xf numFmtId="0" fontId="70" fillId="0" borderId="0" xfId="0" applyFont="1" applyAlignment="1">
      <alignment horizontal="left" vertical="center"/>
    </xf>
    <xf numFmtId="0" fontId="56" fillId="0" borderId="0" xfId="0" applyFont="1" applyAlignment="1">
      <alignment horizontal="left" vertical="center"/>
    </xf>
    <xf numFmtId="0" fontId="33" fillId="0" borderId="52" xfId="0" applyFont="1" applyBorder="1" applyAlignment="1">
      <alignment horizontal="left" vertical="center"/>
    </xf>
    <xf numFmtId="0" fontId="39" fillId="0" borderId="51" xfId="0" applyFont="1" applyBorder="1" applyAlignment="1">
      <alignment horizontal="left" vertical="center"/>
    </xf>
    <xf numFmtId="0" fontId="33" fillId="0" borderId="53" xfId="0" applyFont="1" applyBorder="1" applyAlignment="1">
      <alignment horizontal="left" vertical="center"/>
    </xf>
    <xf numFmtId="0" fontId="33" fillId="0" borderId="54" xfId="0" applyFont="1" applyBorder="1" applyAlignment="1">
      <alignment horizontal="left" vertical="center"/>
    </xf>
    <xf numFmtId="0" fontId="80" fillId="0" borderId="54" xfId="0" applyFont="1" applyBorder="1" applyAlignment="1">
      <alignment horizontal="left" vertical="center"/>
    </xf>
    <xf numFmtId="0" fontId="33" fillId="0" borderId="55" xfId="0" applyFont="1" applyBorder="1" applyAlignment="1">
      <alignment horizontal="left" vertical="center"/>
    </xf>
    <xf numFmtId="0" fontId="41" fillId="0" borderId="45" xfId="0" applyFont="1" applyBorder="1" applyAlignment="1">
      <alignment horizontal="left" vertical="center" wrapText="1"/>
    </xf>
    <xf numFmtId="166" fontId="39" fillId="0" borderId="45" xfId="0" quotePrefix="1" applyNumberFormat="1" applyFont="1" applyBorder="1" applyAlignment="1">
      <alignment horizontal="left" vertical="center" wrapText="1"/>
    </xf>
    <xf numFmtId="166" fontId="39" fillId="0" borderId="45" xfId="0" applyNumberFormat="1" applyFont="1" applyBorder="1" applyAlignment="1">
      <alignment horizontal="left" vertical="center" wrapText="1"/>
    </xf>
    <xf numFmtId="166" fontId="44" fillId="0" borderId="45" xfId="0" quotePrefix="1" applyNumberFormat="1" applyFont="1" applyBorder="1" applyAlignment="1">
      <alignment horizontal="left" vertical="center" wrapText="1"/>
    </xf>
    <xf numFmtId="9" fontId="39" fillId="0" borderId="45" xfId="22" applyFont="1" applyBorder="1" applyAlignment="1">
      <alignment horizontal="left" vertical="center" wrapText="1"/>
    </xf>
    <xf numFmtId="166" fontId="45" fillId="0" borderId="45" xfId="0" applyNumberFormat="1" applyFont="1" applyBorder="1" applyAlignment="1">
      <alignment horizontal="left" vertical="center" wrapText="1"/>
    </xf>
    <xf numFmtId="0" fontId="39" fillId="0" borderId="45" xfId="0" applyFont="1" applyBorder="1" applyAlignment="1">
      <alignment horizontal="left" vertical="center" wrapText="1"/>
    </xf>
    <xf numFmtId="9" fontId="41" fillId="14" borderId="45" xfId="22" applyFont="1" applyFill="1" applyBorder="1" applyAlignment="1">
      <alignment horizontal="left" vertical="center" wrapText="1"/>
    </xf>
    <xf numFmtId="0" fontId="41" fillId="10" borderId="45" xfId="0" applyFont="1" applyFill="1" applyBorder="1" applyAlignment="1">
      <alignment horizontal="left" vertical="center" wrapText="1"/>
    </xf>
    <xf numFmtId="0" fontId="42" fillId="10" borderId="45" xfId="0" applyFont="1" applyFill="1" applyBorder="1" applyAlignment="1">
      <alignment horizontal="left" vertical="center" wrapText="1"/>
    </xf>
    <xf numFmtId="0" fontId="43" fillId="10" borderId="45" xfId="0" applyFont="1" applyFill="1" applyBorder="1" applyAlignment="1">
      <alignment horizontal="left" vertical="center" wrapText="1"/>
    </xf>
    <xf numFmtId="0" fontId="69" fillId="10" borderId="45" xfId="0" applyFont="1" applyFill="1" applyBorder="1" applyAlignment="1">
      <alignment horizontal="left" vertical="center" wrapText="1"/>
    </xf>
    <xf numFmtId="0" fontId="39" fillId="0" borderId="45" xfId="0" applyFont="1" applyBorder="1" applyAlignment="1">
      <alignment horizontal="left" vertical="center"/>
    </xf>
    <xf numFmtId="166" fontId="39" fillId="0" borderId="45" xfId="0" applyNumberFormat="1" applyFont="1" applyBorder="1" applyAlignment="1">
      <alignment horizontal="left" vertical="center"/>
    </xf>
    <xf numFmtId="9" fontId="39" fillId="0" borderId="45" xfId="22" applyFont="1" applyBorder="1" applyAlignment="1">
      <alignment horizontal="left" vertical="center"/>
    </xf>
    <xf numFmtId="166" fontId="45" fillId="0" borderId="45" xfId="0" applyNumberFormat="1" applyFont="1" applyBorder="1" applyAlignment="1">
      <alignment horizontal="left" vertical="center"/>
    </xf>
    <xf numFmtId="0" fontId="40" fillId="0" borderId="45" xfId="0" applyFont="1" applyBorder="1" applyAlignment="1">
      <alignment horizontal="left" vertical="center" wrapText="1"/>
    </xf>
    <xf numFmtId="9" fontId="39" fillId="0" borderId="45" xfId="22" quotePrefix="1" applyFont="1" applyBorder="1" applyAlignment="1">
      <alignment horizontal="left" vertical="center" wrapText="1"/>
    </xf>
    <xf numFmtId="166" fontId="45" fillId="0" borderId="45" xfId="0" quotePrefix="1" applyNumberFormat="1" applyFont="1" applyBorder="1" applyAlignment="1">
      <alignment horizontal="left" vertical="center" wrapText="1"/>
    </xf>
    <xf numFmtId="9" fontId="44" fillId="0" borderId="45" xfId="22" quotePrefix="1" applyFont="1" applyFill="1" applyBorder="1" applyAlignment="1">
      <alignment horizontal="left" vertical="center" wrapText="1"/>
    </xf>
    <xf numFmtId="166" fontId="50" fillId="0" borderId="45" xfId="0" quotePrefix="1" applyNumberFormat="1" applyFont="1" applyBorder="1" applyAlignment="1">
      <alignment horizontal="left" vertical="center" wrapText="1"/>
    </xf>
    <xf numFmtId="0" fontId="46" fillId="0" borderId="57" xfId="0" applyFont="1" applyBorder="1" applyAlignment="1">
      <alignment vertical="center"/>
    </xf>
    <xf numFmtId="0" fontId="0" fillId="0" borderId="57" xfId="0" applyBorder="1" applyAlignment="1">
      <alignment vertical="center"/>
    </xf>
    <xf numFmtId="0" fontId="31" fillId="0" borderId="69" xfId="0" applyFont="1" applyBorder="1" applyAlignment="1">
      <alignment vertical="center" wrapText="1"/>
    </xf>
    <xf numFmtId="0" fontId="66" fillId="0" borderId="69" xfId="0" applyFont="1" applyBorder="1" applyAlignment="1">
      <alignment vertical="center" wrapText="1"/>
    </xf>
    <xf numFmtId="0" fontId="43" fillId="14" borderId="69" xfId="0" applyFont="1" applyFill="1" applyBorder="1" applyAlignment="1">
      <alignment vertical="center"/>
    </xf>
    <xf numFmtId="0" fontId="67" fillId="0" borderId="69" xfId="0" applyFont="1" applyBorder="1" applyAlignment="1">
      <alignment vertical="center"/>
    </xf>
    <xf numFmtId="0" fontId="46" fillId="0" borderId="69" xfId="0" applyFont="1" applyBorder="1" applyAlignment="1">
      <alignment vertical="center"/>
    </xf>
    <xf numFmtId="0" fontId="38" fillId="14" borderId="69" xfId="0" applyFont="1" applyFill="1" applyBorder="1" applyAlignment="1">
      <alignment vertical="center"/>
    </xf>
    <xf numFmtId="0" fontId="46" fillId="0" borderId="71" xfId="0" applyFont="1" applyBorder="1" applyAlignment="1">
      <alignment vertical="center"/>
    </xf>
    <xf numFmtId="49" fontId="48" fillId="0" borderId="0" xfId="0" applyNumberFormat="1" applyFont="1" applyAlignment="1">
      <alignment vertical="center"/>
    </xf>
    <xf numFmtId="0" fontId="47" fillId="0" borderId="0" xfId="0" applyFont="1" applyAlignment="1">
      <alignment horizontal="center" vertical="center"/>
    </xf>
    <xf numFmtId="0" fontId="48" fillId="0" borderId="29" xfId="0" applyFont="1" applyBorder="1" applyAlignment="1">
      <alignment vertical="center"/>
    </xf>
    <xf numFmtId="166" fontId="49" fillId="24" borderId="11" xfId="0" applyNumberFormat="1" applyFont="1" applyFill="1" applyBorder="1" applyAlignment="1">
      <alignment horizontal="center" vertical="center" wrapText="1"/>
    </xf>
    <xf numFmtId="166" fontId="47" fillId="24" borderId="11" xfId="0" applyNumberFormat="1" applyFont="1" applyFill="1" applyBorder="1" applyAlignment="1">
      <alignment horizontal="center" vertical="center" wrapText="1"/>
    </xf>
    <xf numFmtId="166" fontId="49" fillId="27" borderId="11" xfId="0" applyNumberFormat="1" applyFont="1" applyFill="1" applyBorder="1" applyAlignment="1">
      <alignment horizontal="center" vertical="center"/>
    </xf>
    <xf numFmtId="166" fontId="84" fillId="23" borderId="11" xfId="0" applyNumberFormat="1" applyFont="1" applyFill="1" applyBorder="1" applyAlignment="1">
      <alignment horizontal="center" vertical="center"/>
    </xf>
    <xf numFmtId="166" fontId="84" fillId="0" borderId="12" xfId="0" applyNumberFormat="1" applyFont="1" applyBorder="1" applyAlignment="1">
      <alignment horizontal="justify" vertical="center"/>
    </xf>
    <xf numFmtId="166" fontId="98" fillId="0" borderId="11" xfId="0" applyNumberFormat="1" applyFont="1" applyBorder="1" applyAlignment="1">
      <alignment horizontal="justify" vertical="center"/>
    </xf>
    <xf numFmtId="0" fontId="96" fillId="0" borderId="0" xfId="0" applyFont="1" applyAlignment="1">
      <alignment horizontal="justify" vertical="center"/>
    </xf>
    <xf numFmtId="0" fontId="32" fillId="0" borderId="0" xfId="0" applyFont="1" applyAlignment="1">
      <alignment horizontal="center" vertical="center" wrapText="1"/>
    </xf>
    <xf numFmtId="0" fontId="96" fillId="24" borderId="11" xfId="0" applyFont="1" applyFill="1" applyBorder="1" applyAlignment="1">
      <alignment horizontal="center" vertical="center"/>
    </xf>
    <xf numFmtId="0" fontId="96" fillId="24" borderId="11" xfId="0" applyFont="1" applyFill="1" applyBorder="1" applyAlignment="1">
      <alignment horizontal="center" vertical="center" wrapText="1"/>
    </xf>
    <xf numFmtId="0" fontId="48" fillId="34" borderId="11" xfId="0" applyFont="1" applyFill="1" applyBorder="1" applyAlignment="1">
      <alignment horizontal="center" vertical="center"/>
    </xf>
    <xf numFmtId="166" fontId="48" fillId="0" borderId="0" xfId="0" applyNumberFormat="1" applyFont="1" applyAlignment="1">
      <alignment horizontal="center" vertical="center"/>
    </xf>
    <xf numFmtId="166" fontId="83" fillId="0" borderId="0" xfId="0" applyNumberFormat="1" applyFont="1" applyAlignment="1">
      <alignment horizontal="center" vertical="center"/>
    </xf>
    <xf numFmtId="0" fontId="60" fillId="0" borderId="0" xfId="0" applyFont="1" applyAlignment="1">
      <alignment horizontal="center" vertical="center"/>
    </xf>
    <xf numFmtId="49" fontId="48" fillId="0" borderId="0" xfId="0" applyNumberFormat="1" applyFont="1" applyAlignment="1">
      <alignment horizontal="center" vertical="center" wrapText="1"/>
    </xf>
    <xf numFmtId="0" fontId="39" fillId="0" borderId="0" xfId="0" applyFont="1" applyAlignment="1">
      <alignment horizontal="center" vertical="center"/>
    </xf>
    <xf numFmtId="0" fontId="47" fillId="0" borderId="0" xfId="0" applyFont="1" applyAlignment="1">
      <alignment vertical="top" wrapText="1"/>
    </xf>
    <xf numFmtId="166" fontId="47" fillId="0" borderId="27" xfId="0" applyNumberFormat="1" applyFont="1" applyBorder="1" applyAlignment="1">
      <alignment horizontal="center" vertical="center" wrapText="1"/>
    </xf>
    <xf numFmtId="166" fontId="38" fillId="0" borderId="0" xfId="0" applyNumberFormat="1" applyFont="1" applyAlignment="1">
      <alignment horizontal="center" vertical="center" wrapText="1"/>
    </xf>
    <xf numFmtId="0" fontId="47" fillId="23" borderId="11" xfId="0" applyFont="1" applyFill="1" applyBorder="1" applyAlignment="1">
      <alignment horizontal="justify" vertical="center" textRotation="90" wrapText="1"/>
    </xf>
    <xf numFmtId="9" fontId="84" fillId="0" borderId="17" xfId="22" applyFont="1" applyBorder="1" applyAlignment="1">
      <alignment horizontal="justify" vertical="center"/>
    </xf>
    <xf numFmtId="9" fontId="84" fillId="0" borderId="11" xfId="22" applyFont="1" applyBorder="1" applyAlignment="1">
      <alignment horizontal="justify" vertical="center"/>
    </xf>
    <xf numFmtId="49" fontId="49" fillId="24" borderId="11" xfId="0" applyNumberFormat="1" applyFont="1" applyFill="1" applyBorder="1" applyAlignment="1">
      <alignment horizontal="justify" vertical="center"/>
    </xf>
    <xf numFmtId="49" fontId="96" fillId="24" borderId="11" xfId="0" applyNumberFormat="1" applyFont="1" applyFill="1" applyBorder="1" applyAlignment="1">
      <alignment horizontal="justify" vertical="center" textRotation="90"/>
    </xf>
    <xf numFmtId="49" fontId="47" fillId="23" borderId="11" xfId="0" applyNumberFormat="1" applyFont="1" applyFill="1" applyBorder="1" applyAlignment="1">
      <alignment horizontal="justify" vertical="center"/>
    </xf>
    <xf numFmtId="49" fontId="48" fillId="23" borderId="11" xfId="0" applyNumberFormat="1" applyFont="1" applyFill="1" applyBorder="1" applyAlignment="1">
      <alignment horizontal="justify" vertical="center" textRotation="90"/>
    </xf>
    <xf numFmtId="9" fontId="84" fillId="23" borderId="11" xfId="22" applyFont="1" applyFill="1" applyBorder="1" applyAlignment="1">
      <alignment horizontal="justify" vertical="center"/>
    </xf>
    <xf numFmtId="166" fontId="48" fillId="23" borderId="11" xfId="0" applyNumberFormat="1" applyFont="1" applyFill="1" applyBorder="1" applyAlignment="1">
      <alignment horizontal="justify" vertical="center"/>
    </xf>
    <xf numFmtId="49" fontId="48" fillId="24" borderId="11" xfId="0" applyNumberFormat="1" applyFont="1" applyFill="1" applyBorder="1" applyAlignment="1">
      <alignment horizontal="justify" vertical="center"/>
    </xf>
    <xf numFmtId="0" fontId="48" fillId="25" borderId="11" xfId="0" applyFont="1" applyFill="1" applyBorder="1" applyAlignment="1">
      <alignment horizontal="justify" vertical="center" textRotation="90" wrapText="1"/>
    </xf>
    <xf numFmtId="0" fontId="48" fillId="24" borderId="11" xfId="0" applyFont="1" applyFill="1" applyBorder="1" applyAlignment="1">
      <alignment horizontal="justify" vertical="center" wrapText="1"/>
    </xf>
    <xf numFmtId="49" fontId="48" fillId="24" borderId="19" xfId="0" applyNumberFormat="1" applyFont="1" applyFill="1" applyBorder="1" applyAlignment="1">
      <alignment horizontal="justify" vertical="center" wrapText="1"/>
    </xf>
    <xf numFmtId="49" fontId="96" fillId="24" borderId="16" xfId="0" applyNumberFormat="1" applyFont="1" applyFill="1" applyBorder="1" applyAlignment="1">
      <alignment horizontal="justify" vertical="center"/>
    </xf>
    <xf numFmtId="0" fontId="96" fillId="25" borderId="10" xfId="0" applyFont="1" applyFill="1" applyBorder="1" applyAlignment="1">
      <alignment horizontal="justify" vertical="center" wrapText="1"/>
    </xf>
    <xf numFmtId="0" fontId="96" fillId="25" borderId="6" xfId="0" applyFont="1" applyFill="1" applyBorder="1" applyAlignment="1">
      <alignment horizontal="justify" vertical="center" textRotation="90" wrapText="1"/>
    </xf>
    <xf numFmtId="9" fontId="100" fillId="24" borderId="11" xfId="22" applyFont="1" applyFill="1" applyBorder="1" applyAlignment="1">
      <alignment horizontal="justify" vertical="center"/>
    </xf>
    <xf numFmtId="166" fontId="48" fillId="24" borderId="11" xfId="0" applyNumberFormat="1" applyFont="1" applyFill="1" applyBorder="1" applyAlignment="1">
      <alignment horizontal="justify" vertical="center" wrapText="1"/>
    </xf>
    <xf numFmtId="0" fontId="96" fillId="25" borderId="25" xfId="0" applyFont="1" applyFill="1" applyBorder="1" applyAlignment="1">
      <alignment horizontal="justify" vertical="center" wrapText="1"/>
    </xf>
    <xf numFmtId="166" fontId="100" fillId="24" borderId="16" xfId="0" applyNumberFormat="1" applyFont="1" applyFill="1" applyBorder="1" applyAlignment="1">
      <alignment horizontal="justify" vertical="center"/>
    </xf>
    <xf numFmtId="49" fontId="96" fillId="24" borderId="17" xfId="0" applyNumberFormat="1" applyFont="1" applyFill="1" applyBorder="1" applyAlignment="1">
      <alignment horizontal="justify" vertical="center"/>
    </xf>
    <xf numFmtId="9" fontId="84" fillId="14" borderId="11" xfId="22" applyFont="1" applyFill="1" applyBorder="1" applyAlignment="1">
      <alignment horizontal="justify" vertical="center"/>
    </xf>
    <xf numFmtId="9" fontId="49" fillId="0" borderId="11" xfId="22" applyFont="1" applyBorder="1" applyAlignment="1">
      <alignment horizontal="justify" vertical="center"/>
    </xf>
    <xf numFmtId="49" fontId="96" fillId="24" borderId="11" xfId="0" applyNumberFormat="1" applyFont="1" applyFill="1" applyBorder="1" applyAlignment="1">
      <alignment horizontal="justify" vertical="center"/>
    </xf>
    <xf numFmtId="9" fontId="84" fillId="0" borderId="11" xfId="22" applyFont="1" applyFill="1" applyBorder="1" applyAlignment="1">
      <alignment horizontal="justify" vertical="center"/>
    </xf>
    <xf numFmtId="9" fontId="84" fillId="24" borderId="11" xfId="22" applyFont="1" applyFill="1" applyBorder="1" applyAlignment="1">
      <alignment horizontal="justify" vertical="center"/>
    </xf>
    <xf numFmtId="0" fontId="49" fillId="24" borderId="6" xfId="0" applyFont="1" applyFill="1" applyBorder="1" applyAlignment="1">
      <alignment horizontal="justify" vertical="center"/>
    </xf>
    <xf numFmtId="9" fontId="100" fillId="24" borderId="17" xfId="22" applyFont="1" applyFill="1" applyBorder="1" applyAlignment="1">
      <alignment horizontal="justify" vertical="center"/>
    </xf>
    <xf numFmtId="49" fontId="48" fillId="11" borderId="11" xfId="0" applyNumberFormat="1" applyFont="1" applyFill="1" applyBorder="1" applyAlignment="1">
      <alignment horizontal="justify" vertical="center" wrapText="1"/>
    </xf>
    <xf numFmtId="0" fontId="96" fillId="25" borderId="16" xfId="0" applyFont="1" applyFill="1" applyBorder="1" applyAlignment="1">
      <alignment horizontal="justify" vertical="center" textRotation="90" wrapText="1"/>
    </xf>
    <xf numFmtId="49" fontId="49" fillId="24" borderId="19" xfId="0" applyNumberFormat="1" applyFont="1" applyFill="1" applyBorder="1" applyAlignment="1">
      <alignment horizontal="justify" vertical="center" wrapText="1"/>
    </xf>
    <xf numFmtId="49" fontId="47" fillId="24" borderId="19" xfId="0" applyNumberFormat="1" applyFont="1" applyFill="1" applyBorder="1" applyAlignment="1">
      <alignment horizontal="justify" vertical="center" wrapText="1"/>
    </xf>
    <xf numFmtId="0" fontId="47" fillId="24" borderId="6" xfId="0" applyFont="1" applyFill="1" applyBorder="1" applyAlignment="1">
      <alignment horizontal="justify" vertical="center"/>
    </xf>
    <xf numFmtId="9" fontId="84" fillId="24" borderId="17" xfId="22" applyFont="1" applyFill="1" applyBorder="1" applyAlignment="1">
      <alignment horizontal="justify" vertical="center"/>
    </xf>
    <xf numFmtId="9" fontId="84" fillId="14" borderId="19" xfId="22" applyFont="1" applyFill="1" applyBorder="1" applyAlignment="1">
      <alignment horizontal="justify" vertical="center"/>
    </xf>
    <xf numFmtId="49" fontId="47" fillId="24" borderId="11" xfId="0" applyNumberFormat="1" applyFont="1" applyFill="1" applyBorder="1" applyAlignment="1">
      <alignment horizontal="justify" vertical="center" wrapText="1"/>
    </xf>
    <xf numFmtId="49" fontId="47" fillId="24" borderId="11" xfId="0" applyNumberFormat="1" applyFont="1" applyFill="1" applyBorder="1" applyAlignment="1">
      <alignment horizontal="justify" vertical="center"/>
    </xf>
    <xf numFmtId="0" fontId="48" fillId="25" borderId="11" xfId="0" applyFont="1" applyFill="1" applyBorder="1" applyAlignment="1">
      <alignment horizontal="justify" vertical="center" wrapText="1"/>
    </xf>
    <xf numFmtId="0" fontId="48" fillId="22" borderId="11" xfId="0" applyFont="1" applyFill="1" applyBorder="1" applyAlignment="1">
      <alignment horizontal="justify" vertical="center" textRotation="90" wrapText="1"/>
    </xf>
    <xf numFmtId="0" fontId="47" fillId="23" borderId="14" xfId="0" applyFont="1" applyFill="1" applyBorder="1" applyAlignment="1">
      <alignment horizontal="justify" vertical="center"/>
    </xf>
    <xf numFmtId="49" fontId="96" fillId="0" borderId="11" xfId="0" applyNumberFormat="1" applyFont="1" applyBorder="1" applyAlignment="1">
      <alignment horizontal="justify" vertical="center" wrapText="1"/>
    </xf>
    <xf numFmtId="0" fontId="47" fillId="22" borderId="11" xfId="0" applyFont="1" applyFill="1" applyBorder="1" applyAlignment="1">
      <alignment horizontal="justify" vertical="center" textRotation="90" wrapText="1"/>
    </xf>
    <xf numFmtId="49" fontId="98" fillId="24" borderId="11" xfId="0" applyNumberFormat="1" applyFont="1" applyFill="1" applyBorder="1" applyAlignment="1">
      <alignment horizontal="justify" vertical="center"/>
    </xf>
    <xf numFmtId="49" fontId="96" fillId="24" borderId="32" xfId="0" applyNumberFormat="1" applyFont="1" applyFill="1" applyBorder="1" applyAlignment="1">
      <alignment horizontal="justify" vertical="center" wrapText="1"/>
    </xf>
    <xf numFmtId="49" fontId="96" fillId="24" borderId="24" xfId="0" applyNumberFormat="1" applyFont="1" applyFill="1" applyBorder="1" applyAlignment="1">
      <alignment horizontal="justify" vertical="center" wrapText="1"/>
    </xf>
    <xf numFmtId="166" fontId="84" fillId="0" borderId="24" xfId="0" applyNumberFormat="1" applyFont="1" applyBorder="1" applyAlignment="1">
      <alignment horizontal="justify" vertical="center" wrapText="1"/>
    </xf>
    <xf numFmtId="166" fontId="84" fillId="0" borderId="17" xfId="0" applyNumberFormat="1" applyFont="1" applyBorder="1" applyAlignment="1">
      <alignment horizontal="justify" vertical="center" wrapText="1"/>
    </xf>
    <xf numFmtId="166" fontId="48" fillId="0" borderId="0" xfId="0" applyNumberFormat="1" applyFont="1" applyAlignment="1">
      <alignment horizontal="justify" vertical="center"/>
    </xf>
    <xf numFmtId="166" fontId="84" fillId="0" borderId="14" xfId="0" applyNumberFormat="1" applyFont="1" applyBorder="1" applyAlignment="1">
      <alignment horizontal="justify" vertical="center"/>
    </xf>
    <xf numFmtId="166" fontId="84" fillId="24" borderId="14" xfId="0" applyNumberFormat="1" applyFont="1" applyFill="1" applyBorder="1" applyAlignment="1">
      <alignment horizontal="justify" vertical="center"/>
    </xf>
    <xf numFmtId="166" fontId="47" fillId="24" borderId="12" xfId="0" applyNumberFormat="1" applyFont="1" applyFill="1" applyBorder="1" applyAlignment="1">
      <alignment horizontal="justify" vertical="center"/>
    </xf>
    <xf numFmtId="166" fontId="84" fillId="14" borderId="11" xfId="0" applyNumberFormat="1" applyFont="1" applyFill="1" applyBorder="1" applyAlignment="1">
      <alignment horizontal="justify" vertical="center" wrapText="1"/>
    </xf>
    <xf numFmtId="0" fontId="96" fillId="24" borderId="14" xfId="0" applyFont="1" applyFill="1" applyBorder="1" applyAlignment="1">
      <alignment horizontal="center" vertical="center"/>
    </xf>
    <xf numFmtId="0" fontId="47" fillId="11" borderId="28" xfId="0" applyFont="1" applyFill="1" applyBorder="1" applyAlignment="1">
      <alignment horizontal="center" vertical="center" wrapText="1"/>
    </xf>
    <xf numFmtId="0" fontId="39" fillId="0" borderId="0" xfId="0" applyFont="1" applyAlignment="1">
      <alignment horizontal="center" vertical="top"/>
    </xf>
    <xf numFmtId="9" fontId="105" fillId="24" borderId="11" xfId="22" applyFont="1" applyFill="1" applyBorder="1" applyAlignment="1">
      <alignment horizontal="justify" vertical="center"/>
    </xf>
    <xf numFmtId="166" fontId="104" fillId="24" borderId="11" xfId="0" applyNumberFormat="1" applyFont="1" applyFill="1" applyBorder="1" applyAlignment="1">
      <alignment horizontal="justify" vertical="center"/>
    </xf>
    <xf numFmtId="49" fontId="48" fillId="40" borderId="11" xfId="0" applyNumberFormat="1" applyFont="1" applyFill="1" applyBorder="1" applyAlignment="1">
      <alignment horizontal="justify" vertical="center"/>
    </xf>
    <xf numFmtId="0" fontId="48" fillId="41" borderId="11" xfId="0" applyFont="1" applyFill="1" applyBorder="1" applyAlignment="1">
      <alignment horizontal="justify" vertical="center" textRotation="90" wrapText="1"/>
    </xf>
    <xf numFmtId="166" fontId="84" fillId="40" borderId="11" xfId="0" applyNumberFormat="1" applyFont="1" applyFill="1" applyBorder="1" applyAlignment="1">
      <alignment horizontal="justify" vertical="center"/>
    </xf>
    <xf numFmtId="9" fontId="84" fillId="40" borderId="11" xfId="22" applyFont="1" applyFill="1" applyBorder="1" applyAlignment="1">
      <alignment horizontal="justify" vertical="center"/>
    </xf>
    <xf numFmtId="166" fontId="47" fillId="40" borderId="11" xfId="0" applyNumberFormat="1" applyFont="1" applyFill="1" applyBorder="1" applyAlignment="1">
      <alignment horizontal="justify" vertical="center"/>
    </xf>
    <xf numFmtId="49" fontId="48" fillId="40" borderId="11" xfId="0" applyNumberFormat="1" applyFont="1" applyFill="1" applyBorder="1" applyAlignment="1">
      <alignment horizontal="justify" vertical="center" wrapText="1"/>
    </xf>
    <xf numFmtId="166" fontId="84" fillId="40" borderId="16" xfId="0" applyNumberFormat="1" applyFont="1" applyFill="1" applyBorder="1" applyAlignment="1">
      <alignment horizontal="justify" vertical="center"/>
    </xf>
    <xf numFmtId="49" fontId="48" fillId="40" borderId="16" xfId="0" applyNumberFormat="1" applyFont="1" applyFill="1" applyBorder="1" applyAlignment="1">
      <alignment horizontal="justify" vertical="center" wrapText="1"/>
    </xf>
    <xf numFmtId="0" fontId="33" fillId="0" borderId="11" xfId="0" applyFont="1" applyBorder="1" applyAlignment="1">
      <alignment horizontal="justify" vertical="center"/>
    </xf>
    <xf numFmtId="166" fontId="33" fillId="0" borderId="11" xfId="0" applyNumberFormat="1" applyFont="1" applyBorder="1" applyAlignment="1">
      <alignment horizontal="justify" vertical="center"/>
    </xf>
    <xf numFmtId="0" fontId="51" fillId="0" borderId="11" xfId="0" applyFont="1" applyBorder="1" applyAlignment="1">
      <alignment horizontal="justify" vertical="center"/>
    </xf>
    <xf numFmtId="166" fontId="48" fillId="24" borderId="16" xfId="0" applyNumberFormat="1" applyFont="1" applyFill="1" applyBorder="1" applyAlignment="1">
      <alignment vertical="center"/>
    </xf>
    <xf numFmtId="49" fontId="48" fillId="24" borderId="16" xfId="0" applyNumberFormat="1" applyFont="1" applyFill="1" applyBorder="1" applyAlignment="1">
      <alignment vertical="center" wrapText="1"/>
    </xf>
    <xf numFmtId="166" fontId="97" fillId="23" borderId="11" xfId="0" applyNumberFormat="1" applyFont="1" applyFill="1" applyBorder="1" applyAlignment="1">
      <alignment horizontal="justify" vertical="center" wrapText="1"/>
    </xf>
    <xf numFmtId="9" fontId="97" fillId="23" borderId="11" xfId="22" applyFont="1" applyFill="1" applyBorder="1" applyAlignment="1">
      <alignment horizontal="justify" vertical="center" wrapText="1"/>
    </xf>
    <xf numFmtId="0" fontId="48" fillId="23" borderId="11" xfId="0" applyFont="1" applyFill="1" applyBorder="1" applyAlignment="1">
      <alignment horizontal="justify" vertical="center"/>
    </xf>
    <xf numFmtId="9" fontId="47" fillId="0" borderId="11" xfId="22" applyFont="1" applyFill="1" applyBorder="1" applyAlignment="1">
      <alignment horizontal="justify" vertical="center" wrapText="1"/>
    </xf>
    <xf numFmtId="166" fontId="97" fillId="14" borderId="11" xfId="0" applyNumberFormat="1" applyFont="1" applyFill="1" applyBorder="1" applyAlignment="1">
      <alignment horizontal="justify" vertical="center"/>
    </xf>
    <xf numFmtId="9" fontId="97" fillId="14" borderId="11" xfId="22" applyFont="1" applyFill="1" applyBorder="1" applyAlignment="1">
      <alignment horizontal="justify" vertical="center"/>
    </xf>
    <xf numFmtId="166" fontId="111" fillId="24" borderId="11" xfId="0" applyNumberFormat="1" applyFont="1" applyFill="1" applyBorder="1" applyAlignment="1">
      <alignment horizontal="justify" vertical="center"/>
    </xf>
    <xf numFmtId="49" fontId="100" fillId="24" borderId="11" xfId="0" applyNumberFormat="1" applyFont="1" applyFill="1" applyBorder="1" applyAlignment="1">
      <alignment horizontal="justify" vertical="center"/>
    </xf>
    <xf numFmtId="166" fontId="105" fillId="24" borderId="11" xfId="0" applyNumberFormat="1" applyFont="1" applyFill="1" applyBorder="1" applyAlignment="1">
      <alignment horizontal="justify" vertical="center"/>
    </xf>
    <xf numFmtId="0" fontId="83" fillId="23" borderId="11" xfId="0" applyFont="1" applyFill="1" applyBorder="1" applyAlignment="1">
      <alignment horizontal="justify" vertical="center" wrapText="1"/>
    </xf>
    <xf numFmtId="166" fontId="97" fillId="0" borderId="11" xfId="0" applyNumberFormat="1" applyFont="1" applyBorder="1" applyAlignment="1">
      <alignment horizontal="justify" vertical="center"/>
    </xf>
    <xf numFmtId="49" fontId="91" fillId="0" borderId="11" xfId="0" applyNumberFormat="1" applyFont="1" applyBorder="1" applyAlignment="1">
      <alignment horizontal="justify" vertical="center" wrapText="1"/>
    </xf>
    <xf numFmtId="9" fontId="97" fillId="0" borderId="11" xfId="22" applyFont="1" applyFill="1" applyBorder="1" applyAlignment="1">
      <alignment horizontal="justify" vertical="center"/>
    </xf>
    <xf numFmtId="9" fontId="97" fillId="0" borderId="11" xfId="22" applyFont="1" applyBorder="1" applyAlignment="1">
      <alignment horizontal="justify" vertical="center"/>
    </xf>
    <xf numFmtId="166" fontId="101" fillId="0" borderId="11" xfId="0" applyNumberFormat="1" applyFont="1" applyBorder="1" applyAlignment="1">
      <alignment horizontal="justify" vertical="center"/>
    </xf>
    <xf numFmtId="0" fontId="100" fillId="24" borderId="11" xfId="0" applyFont="1" applyFill="1" applyBorder="1" applyAlignment="1">
      <alignment horizontal="justify" vertical="center"/>
    </xf>
    <xf numFmtId="0" fontId="96" fillId="24" borderId="11" xfId="0" applyFont="1" applyFill="1" applyBorder="1" applyAlignment="1">
      <alignment horizontal="justify" vertical="center" textRotation="90" wrapText="1"/>
    </xf>
    <xf numFmtId="168" fontId="91" fillId="24" borderId="11" xfId="0" applyNumberFormat="1" applyFont="1" applyFill="1" applyBorder="1" applyAlignment="1">
      <alignment horizontal="justify" vertical="center"/>
    </xf>
    <xf numFmtId="0" fontId="123" fillId="24" borderId="11" xfId="0" applyFont="1" applyFill="1" applyBorder="1" applyAlignment="1">
      <alignment horizontal="justify" vertical="center" wrapText="1"/>
    </xf>
    <xf numFmtId="0" fontId="123" fillId="24" borderId="11" xfId="0" applyFont="1" applyFill="1" applyBorder="1" applyAlignment="1">
      <alignment horizontal="justify" vertical="center" textRotation="90" wrapText="1"/>
    </xf>
    <xf numFmtId="0" fontId="123" fillId="26" borderId="11" xfId="0" applyFont="1" applyFill="1" applyBorder="1" applyAlignment="1">
      <alignment horizontal="justify" vertical="center"/>
    </xf>
    <xf numFmtId="166" fontId="124" fillId="24" borderId="11" xfId="0" applyNumberFormat="1" applyFont="1" applyFill="1" applyBorder="1" applyAlignment="1">
      <alignment horizontal="justify" vertical="center"/>
    </xf>
    <xf numFmtId="166" fontId="123" fillId="24" borderId="11" xfId="0" applyNumberFormat="1" applyFont="1" applyFill="1" applyBorder="1" applyAlignment="1">
      <alignment horizontal="justify" vertical="center"/>
    </xf>
    <xf numFmtId="166" fontId="126" fillId="24" borderId="11" xfId="0" applyNumberFormat="1" applyFont="1" applyFill="1" applyBorder="1" applyAlignment="1">
      <alignment horizontal="justify" vertical="center"/>
    </xf>
    <xf numFmtId="166" fontId="123" fillId="26" borderId="11" xfId="0" applyNumberFormat="1" applyFont="1" applyFill="1" applyBorder="1" applyAlignment="1">
      <alignment horizontal="justify" vertical="center"/>
    </xf>
    <xf numFmtId="0" fontId="123" fillId="24" borderId="11" xfId="0" applyFont="1" applyFill="1" applyBorder="1" applyAlignment="1">
      <alignment horizontal="justify" vertical="center"/>
    </xf>
    <xf numFmtId="166" fontId="124" fillId="26" borderId="11" xfId="0" applyNumberFormat="1" applyFont="1" applyFill="1" applyBorder="1" applyAlignment="1">
      <alignment horizontal="justify" vertical="center"/>
    </xf>
    <xf numFmtId="0" fontId="123" fillId="24" borderId="11" xfId="0" quotePrefix="1" applyFont="1" applyFill="1" applyBorder="1" applyAlignment="1">
      <alignment horizontal="justify" vertical="center" wrapText="1"/>
    </xf>
    <xf numFmtId="166" fontId="101" fillId="14" borderId="11" xfId="0" applyNumberFormat="1" applyFont="1" applyFill="1" applyBorder="1" applyAlignment="1">
      <alignment horizontal="justify" vertical="center"/>
    </xf>
    <xf numFmtId="168" fontId="104" fillId="24" borderId="11" xfId="0" applyNumberFormat="1" applyFont="1" applyFill="1" applyBorder="1" applyAlignment="1">
      <alignment horizontal="justify" vertical="center"/>
    </xf>
    <xf numFmtId="0" fontId="125" fillId="24" borderId="11" xfId="0" applyFont="1" applyFill="1" applyBorder="1" applyAlignment="1">
      <alignment horizontal="justify" vertical="center" wrapText="1"/>
    </xf>
    <xf numFmtId="0" fontId="125" fillId="24" borderId="11" xfId="0" applyFont="1" applyFill="1" applyBorder="1" applyAlignment="1">
      <alignment horizontal="justify" vertical="center" textRotation="90" wrapText="1"/>
    </xf>
    <xf numFmtId="0" fontId="125" fillId="26" borderId="11" xfId="0" applyFont="1" applyFill="1" applyBorder="1" applyAlignment="1">
      <alignment horizontal="justify" vertical="center"/>
    </xf>
    <xf numFmtId="166" fontId="125" fillId="24" borderId="11" xfId="0" applyNumberFormat="1" applyFont="1" applyFill="1" applyBorder="1" applyAlignment="1">
      <alignment horizontal="justify" vertical="center"/>
    </xf>
    <xf numFmtId="166" fontId="125" fillId="26" borderId="11" xfId="0" applyNumberFormat="1" applyFont="1" applyFill="1" applyBorder="1" applyAlignment="1">
      <alignment horizontal="justify" vertical="center"/>
    </xf>
    <xf numFmtId="0" fontId="125" fillId="24" borderId="11" xfId="0" applyFont="1" applyFill="1" applyBorder="1" applyAlignment="1">
      <alignment horizontal="justify" vertical="center"/>
    </xf>
    <xf numFmtId="166" fontId="126" fillId="26" borderId="11" xfId="0" applyNumberFormat="1" applyFont="1" applyFill="1" applyBorder="1" applyAlignment="1">
      <alignment horizontal="justify" vertical="center"/>
    </xf>
    <xf numFmtId="0" fontId="125" fillId="24" borderId="11" xfId="0" quotePrefix="1" applyFont="1" applyFill="1" applyBorder="1" applyAlignment="1">
      <alignment horizontal="justify" vertical="center" wrapText="1"/>
    </xf>
    <xf numFmtId="0" fontId="47" fillId="47" borderId="11" xfId="0" applyFont="1" applyFill="1" applyBorder="1" applyAlignment="1">
      <alignment horizontal="justify" vertical="center" wrapText="1"/>
    </xf>
    <xf numFmtId="168" fontId="104" fillId="0" borderId="11" xfId="0" applyNumberFormat="1" applyFont="1" applyBorder="1" applyAlignment="1">
      <alignment horizontal="justify" vertical="center"/>
    </xf>
    <xf numFmtId="0" fontId="104" fillId="0" borderId="11" xfId="0" applyFont="1" applyBorder="1" applyAlignment="1">
      <alignment horizontal="justify" vertical="center" wrapText="1"/>
    </xf>
    <xf numFmtId="0" fontId="125" fillId="0" borderId="11" xfId="0" applyFont="1" applyBorder="1" applyAlignment="1">
      <alignment horizontal="justify" vertical="center" textRotation="90" wrapText="1"/>
    </xf>
    <xf numFmtId="166" fontId="126" fillId="0" borderId="11" xfId="0" applyNumberFormat="1" applyFont="1" applyBorder="1" applyAlignment="1">
      <alignment horizontal="justify" vertical="center"/>
    </xf>
    <xf numFmtId="9" fontId="127" fillId="0" borderId="11" xfId="22" applyFont="1" applyBorder="1" applyAlignment="1">
      <alignment horizontal="justify" vertical="center"/>
    </xf>
    <xf numFmtId="166" fontId="111" fillId="0" borderId="11" xfId="0" applyNumberFormat="1" applyFont="1" applyBorder="1" applyAlignment="1">
      <alignment horizontal="justify" vertical="center"/>
    </xf>
    <xf numFmtId="166" fontId="125" fillId="0" borderId="11" xfId="0" applyNumberFormat="1" applyFont="1" applyBorder="1" applyAlignment="1">
      <alignment horizontal="justify" vertical="center"/>
    </xf>
    <xf numFmtId="0" fontId="96" fillId="24" borderId="6" xfId="0" applyFont="1" applyFill="1" applyBorder="1" applyAlignment="1">
      <alignment horizontal="justify" vertical="center" wrapText="1"/>
    </xf>
    <xf numFmtId="166" fontId="48" fillId="24" borderId="19" xfId="0" applyNumberFormat="1" applyFont="1" applyFill="1" applyBorder="1" applyAlignment="1">
      <alignment horizontal="justify" vertical="center"/>
    </xf>
    <xf numFmtId="49" fontId="83" fillId="24" borderId="11" xfId="0" applyNumberFormat="1" applyFont="1" applyFill="1" applyBorder="1" applyAlignment="1">
      <alignment horizontal="justify" vertical="center" wrapText="1"/>
    </xf>
    <xf numFmtId="49" fontId="48" fillId="24" borderId="16" xfId="0" applyNumberFormat="1" applyFont="1" applyFill="1" applyBorder="1" applyAlignment="1">
      <alignment horizontal="justify" vertical="center" wrapText="1"/>
    </xf>
    <xf numFmtId="166" fontId="95" fillId="0" borderId="11" xfId="0" applyNumberFormat="1" applyFont="1" applyBorder="1" applyAlignment="1">
      <alignment horizontal="justify" vertical="center"/>
    </xf>
    <xf numFmtId="166" fontId="97" fillId="24" borderId="11" xfId="0" applyNumberFormat="1" applyFont="1" applyFill="1" applyBorder="1" applyAlignment="1">
      <alignment horizontal="justify" vertical="center"/>
    </xf>
    <xf numFmtId="9" fontId="97" fillId="24" borderId="11" xfId="22" applyFont="1" applyFill="1" applyBorder="1" applyAlignment="1">
      <alignment horizontal="justify" vertical="center"/>
    </xf>
    <xf numFmtId="9" fontId="48" fillId="0" borderId="11" xfId="22" applyFont="1" applyBorder="1" applyAlignment="1">
      <alignment horizontal="justify" vertical="center"/>
    </xf>
    <xf numFmtId="9" fontId="47" fillId="0" borderId="11" xfId="22" applyFont="1" applyFill="1" applyBorder="1" applyAlignment="1">
      <alignment horizontal="justify" vertical="center"/>
    </xf>
    <xf numFmtId="9" fontId="95" fillId="0" borderId="11" xfId="22" applyFont="1" applyBorder="1" applyAlignment="1">
      <alignment horizontal="justify" vertical="center"/>
    </xf>
    <xf numFmtId="0" fontId="96" fillId="37" borderId="11" xfId="0" applyFont="1" applyFill="1" applyBorder="1" applyAlignment="1">
      <alignment horizontal="justify" vertical="center" textRotation="90" wrapText="1"/>
    </xf>
    <xf numFmtId="0" fontId="96" fillId="37" borderId="11" xfId="0" applyFont="1" applyFill="1" applyBorder="1" applyAlignment="1">
      <alignment horizontal="justify" vertical="center"/>
    </xf>
    <xf numFmtId="166" fontId="98" fillId="37" borderId="11" xfId="0" applyNumberFormat="1" applyFont="1" applyFill="1" applyBorder="1" applyAlignment="1">
      <alignment horizontal="justify" vertical="center"/>
    </xf>
    <xf numFmtId="166" fontId="96" fillId="37" borderId="11" xfId="0" applyNumberFormat="1" applyFont="1" applyFill="1" applyBorder="1" applyAlignment="1">
      <alignment horizontal="justify" vertical="center"/>
    </xf>
    <xf numFmtId="166" fontId="111" fillId="37" borderId="11" xfId="0" applyNumberFormat="1" applyFont="1" applyFill="1" applyBorder="1" applyAlignment="1">
      <alignment horizontal="justify" vertical="center"/>
    </xf>
    <xf numFmtId="166" fontId="49" fillId="37" borderId="11" xfId="0" applyNumberFormat="1" applyFont="1" applyFill="1" applyBorder="1" applyAlignment="1">
      <alignment horizontal="justify" vertical="center"/>
    </xf>
    <xf numFmtId="49" fontId="48" fillId="37" borderId="11" xfId="0" applyNumberFormat="1" applyFont="1" applyFill="1" applyBorder="1" applyAlignment="1">
      <alignment horizontal="justify" vertical="center" wrapText="1"/>
    </xf>
    <xf numFmtId="0" fontId="49" fillId="37" borderId="11" xfId="0" applyFont="1" applyFill="1" applyBorder="1" applyAlignment="1">
      <alignment horizontal="justify" vertical="center"/>
    </xf>
    <xf numFmtId="0" fontId="48" fillId="24" borderId="11" xfId="0" applyFont="1" applyFill="1" applyBorder="1" applyAlignment="1">
      <alignment horizontal="justify" vertical="center" textRotation="90" wrapText="1"/>
    </xf>
    <xf numFmtId="166" fontId="47" fillId="24" borderId="29" xfId="0" applyNumberFormat="1" applyFont="1" applyFill="1" applyBorder="1" applyAlignment="1">
      <alignment horizontal="justify" vertical="center"/>
    </xf>
    <xf numFmtId="0" fontId="47" fillId="0" borderId="11" xfId="0" applyFont="1" applyBorder="1" applyAlignment="1">
      <alignment horizontal="justify" vertical="center"/>
    </xf>
    <xf numFmtId="49" fontId="96" fillId="20" borderId="11" xfId="0" applyNumberFormat="1" applyFont="1" applyFill="1" applyBorder="1" applyAlignment="1">
      <alignment horizontal="justify" vertical="center" wrapText="1"/>
    </xf>
    <xf numFmtId="0" fontId="96" fillId="20" borderId="11" xfId="0" applyFont="1" applyFill="1" applyBorder="1" applyAlignment="1">
      <alignment horizontal="justify" vertical="center" textRotation="90" wrapText="1"/>
    </xf>
    <xf numFmtId="0" fontId="96" fillId="20" borderId="11" xfId="0" applyFont="1" applyFill="1" applyBorder="1" applyAlignment="1">
      <alignment horizontal="justify" vertical="center"/>
    </xf>
    <xf numFmtId="166" fontId="98" fillId="20" borderId="11" xfId="0" applyNumberFormat="1" applyFont="1" applyFill="1" applyBorder="1" applyAlignment="1">
      <alignment horizontal="justify" vertical="center"/>
    </xf>
    <xf numFmtId="166" fontId="49" fillId="20" borderId="11" xfId="0" applyNumberFormat="1" applyFont="1" applyFill="1" applyBorder="1" applyAlignment="1">
      <alignment horizontal="justify" vertical="center"/>
    </xf>
    <xf numFmtId="166" fontId="105" fillId="20" borderId="11" xfId="0" applyNumberFormat="1" applyFont="1" applyFill="1" applyBorder="1" applyAlignment="1">
      <alignment horizontal="justify" vertical="center"/>
    </xf>
    <xf numFmtId="166" fontId="96" fillId="20" borderId="11" xfId="0" applyNumberFormat="1" applyFont="1" applyFill="1" applyBorder="1" applyAlignment="1">
      <alignment horizontal="justify" vertical="center"/>
    </xf>
    <xf numFmtId="166" fontId="111" fillId="20" borderId="11" xfId="0" applyNumberFormat="1" applyFont="1" applyFill="1" applyBorder="1" applyAlignment="1">
      <alignment horizontal="justify" vertical="center"/>
    </xf>
    <xf numFmtId="0" fontId="49" fillId="20" borderId="11" xfId="0" applyFont="1" applyFill="1" applyBorder="1" applyAlignment="1">
      <alignment horizontal="justify" vertical="center"/>
    </xf>
    <xf numFmtId="166" fontId="47" fillId="24" borderId="32" xfId="0" applyNumberFormat="1" applyFont="1" applyFill="1" applyBorder="1" applyAlignment="1">
      <alignment horizontal="justify" vertical="center"/>
    </xf>
    <xf numFmtId="49" fontId="48" fillId="40" borderId="19" xfId="0" applyNumberFormat="1" applyFont="1" applyFill="1" applyBorder="1" applyAlignment="1">
      <alignment horizontal="justify" vertical="center" wrapText="1"/>
    </xf>
    <xf numFmtId="9" fontId="47" fillId="28" borderId="11" xfId="22" applyFont="1" applyFill="1" applyBorder="1" applyAlignment="1">
      <alignment horizontal="justify" vertical="center"/>
    </xf>
    <xf numFmtId="166" fontId="97" fillId="28" borderId="11" xfId="0" applyNumberFormat="1" applyFont="1" applyFill="1" applyBorder="1" applyAlignment="1">
      <alignment horizontal="justify" vertical="center"/>
    </xf>
    <xf numFmtId="166" fontId="101" fillId="28" borderId="11" xfId="0" applyNumberFormat="1" applyFont="1" applyFill="1" applyBorder="1" applyAlignment="1">
      <alignment horizontal="justify" vertical="center"/>
    </xf>
    <xf numFmtId="166" fontId="105" fillId="37" borderId="11" xfId="0" applyNumberFormat="1" applyFont="1" applyFill="1" applyBorder="1" applyAlignment="1">
      <alignment horizontal="justify" vertical="center"/>
    </xf>
    <xf numFmtId="166" fontId="48" fillId="37" borderId="11" xfId="0" applyNumberFormat="1" applyFont="1" applyFill="1" applyBorder="1" applyAlignment="1">
      <alignment horizontal="justify" vertical="center"/>
    </xf>
    <xf numFmtId="166" fontId="49" fillId="19" borderId="11" xfId="0" applyNumberFormat="1" applyFont="1" applyFill="1" applyBorder="1" applyAlignment="1">
      <alignment horizontal="justify" vertical="center"/>
    </xf>
    <xf numFmtId="166" fontId="111" fillId="19" borderId="11" xfId="0" applyNumberFormat="1" applyFont="1" applyFill="1" applyBorder="1" applyAlignment="1">
      <alignment horizontal="justify" vertical="center"/>
    </xf>
    <xf numFmtId="166" fontId="96" fillId="19" borderId="11" xfId="0" applyNumberFormat="1" applyFont="1" applyFill="1" applyBorder="1" applyAlignment="1">
      <alignment horizontal="justify" vertical="center"/>
    </xf>
    <xf numFmtId="166" fontId="48" fillId="19" borderId="11" xfId="0" applyNumberFormat="1" applyFont="1" applyFill="1" applyBorder="1" applyAlignment="1">
      <alignment horizontal="justify" vertical="center"/>
    </xf>
    <xf numFmtId="49" fontId="48" fillId="19" borderId="11" xfId="0" applyNumberFormat="1" applyFont="1" applyFill="1" applyBorder="1" applyAlignment="1">
      <alignment horizontal="justify" vertical="center" wrapText="1"/>
    </xf>
    <xf numFmtId="166" fontId="83" fillId="0" borderId="0" xfId="0" applyNumberFormat="1" applyFont="1" applyAlignment="1">
      <alignment horizontal="center" vertical="center" wrapText="1"/>
    </xf>
    <xf numFmtId="0" fontId="133" fillId="0" borderId="0" xfId="0" applyFont="1" applyAlignment="1">
      <alignment horizontal="center"/>
    </xf>
    <xf numFmtId="166" fontId="133" fillId="0" borderId="0" xfId="0" applyNumberFormat="1" applyFont="1" applyAlignment="1">
      <alignment horizontal="center"/>
    </xf>
    <xf numFmtId="0" fontId="29" fillId="0" borderId="0" xfId="0" applyFont="1" applyAlignment="1">
      <alignment horizontal="left" vertical="center" wrapText="1"/>
    </xf>
    <xf numFmtId="0" fontId="51" fillId="0" borderId="0" xfId="0" applyFont="1" applyAlignment="1">
      <alignment horizontal="left" vertical="center" wrapText="1"/>
    </xf>
    <xf numFmtId="0" fontId="49" fillId="18" borderId="16" xfId="0" applyFont="1" applyFill="1" applyBorder="1" applyAlignment="1">
      <alignment horizontal="left" vertical="center"/>
    </xf>
    <xf numFmtId="166" fontId="48" fillId="0" borderId="11" xfId="0" applyNumberFormat="1" applyFont="1" applyBorder="1" applyAlignment="1">
      <alignment horizontal="left" vertical="center" wrapText="1"/>
    </xf>
    <xf numFmtId="166" fontId="83" fillId="23" borderId="11" xfId="0" applyNumberFormat="1" applyFont="1" applyFill="1" applyBorder="1" applyAlignment="1">
      <alignment horizontal="justify" vertical="center"/>
    </xf>
    <xf numFmtId="166" fontId="83" fillId="14" borderId="11" xfId="0" applyNumberFormat="1" applyFont="1" applyFill="1" applyBorder="1" applyAlignment="1">
      <alignment horizontal="justify" vertical="center"/>
    </xf>
    <xf numFmtId="9" fontId="84" fillId="0" borderId="17" xfId="22" applyFont="1" applyFill="1" applyBorder="1" applyAlignment="1">
      <alignment horizontal="justify" vertical="center"/>
    </xf>
    <xf numFmtId="166" fontId="83" fillId="40" borderId="11" xfId="0" applyNumberFormat="1" applyFont="1" applyFill="1" applyBorder="1" applyAlignment="1">
      <alignment horizontal="justify" vertical="center"/>
    </xf>
    <xf numFmtId="166" fontId="48" fillId="40" borderId="11" xfId="0" applyNumberFormat="1" applyFont="1" applyFill="1" applyBorder="1" applyAlignment="1">
      <alignment horizontal="justify" vertical="center"/>
    </xf>
    <xf numFmtId="0" fontId="47" fillId="40" borderId="11" xfId="0" applyFont="1" applyFill="1" applyBorder="1" applyAlignment="1">
      <alignment horizontal="justify" vertical="center"/>
    </xf>
    <xf numFmtId="49" fontId="48" fillId="0" borderId="14" xfId="0" applyNumberFormat="1" applyFont="1" applyBorder="1" applyAlignment="1">
      <alignment horizontal="justify" vertical="center" wrapText="1"/>
    </xf>
    <xf numFmtId="166" fontId="47" fillId="28" borderId="11" xfId="0" applyNumberFormat="1" applyFont="1" applyFill="1" applyBorder="1" applyAlignment="1">
      <alignment horizontal="justify" vertical="center"/>
    </xf>
    <xf numFmtId="166" fontId="49" fillId="24" borderId="32" xfId="0" applyNumberFormat="1" applyFont="1" applyFill="1" applyBorder="1" applyAlignment="1">
      <alignment horizontal="justify" vertical="center"/>
    </xf>
    <xf numFmtId="166" fontId="49" fillId="11" borderId="11" xfId="0" applyNumberFormat="1" applyFont="1" applyFill="1" applyBorder="1" applyAlignment="1">
      <alignment horizontal="justify" vertical="center"/>
    </xf>
    <xf numFmtId="166" fontId="100" fillId="11" borderId="11" xfId="0" applyNumberFormat="1" applyFont="1" applyFill="1" applyBorder="1" applyAlignment="1">
      <alignment horizontal="justify" vertical="center"/>
    </xf>
    <xf numFmtId="166" fontId="96" fillId="11" borderId="11" xfId="0" applyNumberFormat="1" applyFont="1" applyFill="1" applyBorder="1" applyAlignment="1">
      <alignment horizontal="justify" vertical="center"/>
    </xf>
    <xf numFmtId="49" fontId="96" fillId="11" borderId="11" xfId="0" applyNumberFormat="1" applyFont="1" applyFill="1" applyBorder="1" applyAlignment="1">
      <alignment horizontal="justify" vertical="center" wrapText="1"/>
    </xf>
    <xf numFmtId="0" fontId="49" fillId="11" borderId="11" xfId="0" applyFont="1" applyFill="1" applyBorder="1" applyAlignment="1">
      <alignment horizontal="justify" vertical="center"/>
    </xf>
    <xf numFmtId="166" fontId="98" fillId="11" borderId="11" xfId="0" applyNumberFormat="1" applyFont="1" applyFill="1" applyBorder="1" applyAlignment="1">
      <alignment horizontal="justify" vertical="center"/>
    </xf>
    <xf numFmtId="166" fontId="49" fillId="18" borderId="11" xfId="0" applyNumberFormat="1" applyFont="1" applyFill="1" applyBorder="1" applyAlignment="1">
      <alignment horizontal="justify" vertical="center"/>
    </xf>
    <xf numFmtId="166" fontId="100" fillId="18" borderId="11" xfId="0" applyNumberFormat="1" applyFont="1" applyFill="1" applyBorder="1" applyAlignment="1">
      <alignment horizontal="justify" vertical="center"/>
    </xf>
    <xf numFmtId="166" fontId="96" fillId="18" borderId="11" xfId="0" applyNumberFormat="1" applyFont="1" applyFill="1" applyBorder="1" applyAlignment="1">
      <alignment horizontal="justify" vertical="center"/>
    </xf>
    <xf numFmtId="0" fontId="49" fillId="18" borderId="11" xfId="0" applyFont="1" applyFill="1" applyBorder="1" applyAlignment="1">
      <alignment horizontal="justify" vertical="center"/>
    </xf>
    <xf numFmtId="166" fontId="98" fillId="18" borderId="11" xfId="0" applyNumberFormat="1" applyFont="1" applyFill="1" applyBorder="1" applyAlignment="1">
      <alignment horizontal="justify" vertical="center"/>
    </xf>
    <xf numFmtId="166" fontId="48" fillId="14" borderId="11" xfId="0" applyNumberFormat="1" applyFont="1" applyFill="1" applyBorder="1" applyAlignment="1">
      <alignment horizontal="justify" vertical="center"/>
    </xf>
    <xf numFmtId="166" fontId="93" fillId="0" borderId="11" xfId="0" applyNumberFormat="1" applyFont="1" applyBorder="1" applyAlignment="1">
      <alignment horizontal="justify" vertical="center"/>
    </xf>
    <xf numFmtId="49" fontId="47" fillId="23" borderId="14" xfId="0" applyNumberFormat="1" applyFont="1" applyFill="1" applyBorder="1" applyAlignment="1">
      <alignment horizontal="justify" vertical="center" wrapText="1"/>
    </xf>
    <xf numFmtId="9" fontId="93" fillId="0" borderId="11" xfId="22" applyFont="1" applyBorder="1" applyAlignment="1">
      <alignment horizontal="justify" vertical="center"/>
    </xf>
    <xf numFmtId="166" fontId="49" fillId="43" borderId="11" xfId="0" applyNumberFormat="1" applyFont="1" applyFill="1" applyBorder="1" applyAlignment="1">
      <alignment horizontal="justify" vertical="center"/>
    </xf>
    <xf numFmtId="166" fontId="100" fillId="43" borderId="11" xfId="0" applyNumberFormat="1" applyFont="1" applyFill="1" applyBorder="1" applyAlignment="1">
      <alignment horizontal="justify" vertical="center"/>
    </xf>
    <xf numFmtId="166" fontId="96" fillId="43" borderId="11" xfId="0" applyNumberFormat="1" applyFont="1" applyFill="1" applyBorder="1" applyAlignment="1">
      <alignment horizontal="justify" vertical="center"/>
    </xf>
    <xf numFmtId="166" fontId="98" fillId="43" borderId="11" xfId="0" applyNumberFormat="1" applyFont="1" applyFill="1" applyBorder="1" applyAlignment="1">
      <alignment horizontal="justify" vertical="center"/>
    </xf>
    <xf numFmtId="166" fontId="83" fillId="28" borderId="11" xfId="0" applyNumberFormat="1" applyFont="1" applyFill="1" applyBorder="1" applyAlignment="1">
      <alignment horizontal="justify" vertical="center"/>
    </xf>
    <xf numFmtId="0" fontId="48" fillId="40" borderId="6" xfId="0" applyFont="1" applyFill="1" applyBorder="1" applyAlignment="1">
      <alignment horizontal="justify" vertical="center"/>
    </xf>
    <xf numFmtId="0" fontId="48" fillId="40" borderId="7" xfId="0" applyFont="1" applyFill="1" applyBorder="1" applyAlignment="1">
      <alignment horizontal="justify" vertical="center"/>
    </xf>
    <xf numFmtId="0" fontId="47" fillId="40" borderId="7" xfId="0" applyFont="1" applyFill="1" applyBorder="1" applyAlignment="1">
      <alignment horizontal="justify" vertical="center"/>
    </xf>
    <xf numFmtId="0" fontId="47" fillId="41" borderId="11" xfId="0" applyFont="1" applyFill="1" applyBorder="1" applyAlignment="1">
      <alignment horizontal="justify" vertical="center" wrapText="1"/>
    </xf>
    <xf numFmtId="0" fontId="47" fillId="40" borderId="6" xfId="0" applyFont="1" applyFill="1" applyBorder="1" applyAlignment="1">
      <alignment horizontal="justify" vertical="center"/>
    </xf>
    <xf numFmtId="0" fontId="47" fillId="11" borderId="11" xfId="0" applyFont="1" applyFill="1" applyBorder="1" applyAlignment="1">
      <alignment vertical="center" wrapText="1"/>
    </xf>
    <xf numFmtId="0" fontId="91" fillId="0" borderId="0" xfId="0" applyFont="1" applyAlignment="1">
      <alignment vertical="center"/>
    </xf>
    <xf numFmtId="0" fontId="101" fillId="23" borderId="11" xfId="0" applyFont="1" applyFill="1" applyBorder="1" applyAlignment="1">
      <alignment horizontal="justify" vertical="center"/>
    </xf>
    <xf numFmtId="0" fontId="101" fillId="23" borderId="11" xfId="0" applyFont="1" applyFill="1" applyBorder="1" applyAlignment="1">
      <alignment horizontal="justify" vertical="center" wrapText="1"/>
    </xf>
    <xf numFmtId="166" fontId="97" fillId="23" borderId="11" xfId="0" applyNumberFormat="1" applyFont="1" applyFill="1" applyBorder="1" applyAlignment="1">
      <alignment horizontal="justify" vertical="center"/>
    </xf>
    <xf numFmtId="9" fontId="97" fillId="23" borderId="11" xfId="22" applyFont="1" applyFill="1" applyBorder="1" applyAlignment="1">
      <alignment horizontal="justify" vertical="center"/>
    </xf>
    <xf numFmtId="166" fontId="101" fillId="23" borderId="11" xfId="0" applyNumberFormat="1" applyFont="1" applyFill="1" applyBorder="1" applyAlignment="1">
      <alignment horizontal="justify" vertical="center"/>
    </xf>
    <xf numFmtId="49" fontId="101" fillId="23" borderId="11" xfId="0" applyNumberFormat="1" applyFont="1" applyFill="1" applyBorder="1" applyAlignment="1">
      <alignment horizontal="justify" vertical="center" wrapText="1"/>
    </xf>
    <xf numFmtId="49" fontId="91" fillId="0" borderId="11" xfId="0" applyNumberFormat="1" applyFont="1" applyBorder="1" applyAlignment="1">
      <alignment horizontal="justify" vertical="center"/>
    </xf>
    <xf numFmtId="9" fontId="95" fillId="0" borderId="11" xfId="22" applyFont="1" applyFill="1" applyBorder="1" applyAlignment="1">
      <alignment horizontal="justify" vertical="center"/>
    </xf>
    <xf numFmtId="0" fontId="101" fillId="14" borderId="11" xfId="0" applyFont="1" applyFill="1" applyBorder="1" applyAlignment="1">
      <alignment horizontal="justify" vertical="center"/>
    </xf>
    <xf numFmtId="9" fontId="95" fillId="14" borderId="11" xfId="22" applyFont="1" applyFill="1" applyBorder="1" applyAlignment="1">
      <alignment horizontal="justify" vertical="center"/>
    </xf>
    <xf numFmtId="49" fontId="91" fillId="24" borderId="11" xfId="0" applyNumberFormat="1" applyFont="1" applyFill="1" applyBorder="1" applyAlignment="1">
      <alignment horizontal="justify" vertical="center"/>
    </xf>
    <xf numFmtId="49" fontId="91" fillId="24" borderId="11" xfId="0" applyNumberFormat="1" applyFont="1" applyFill="1" applyBorder="1" applyAlignment="1">
      <alignment horizontal="justify" vertical="center" textRotation="90"/>
    </xf>
    <xf numFmtId="0" fontId="101" fillId="24" borderId="11" xfId="0" applyFont="1" applyFill="1" applyBorder="1" applyAlignment="1">
      <alignment horizontal="justify" vertical="center"/>
    </xf>
    <xf numFmtId="166" fontId="101" fillId="24" borderId="11" xfId="0" applyNumberFormat="1" applyFont="1" applyFill="1" applyBorder="1" applyAlignment="1">
      <alignment horizontal="justify" vertical="center"/>
    </xf>
    <xf numFmtId="49" fontId="91" fillId="24" borderId="11" xfId="0" applyNumberFormat="1" applyFont="1" applyFill="1" applyBorder="1" applyAlignment="1">
      <alignment horizontal="justify" vertical="center" wrapText="1"/>
    </xf>
    <xf numFmtId="0" fontId="91" fillId="0" borderId="11" xfId="0" applyFont="1" applyBorder="1" applyAlignment="1">
      <alignment horizontal="justify" vertical="center"/>
    </xf>
    <xf numFmtId="10" fontId="47" fillId="0" borderId="11" xfId="22" applyNumberFormat="1" applyFont="1" applyBorder="1" applyAlignment="1">
      <alignment horizontal="justify" vertical="center"/>
    </xf>
    <xf numFmtId="10" fontId="47" fillId="14" borderId="11" xfId="22" applyNumberFormat="1" applyFont="1" applyFill="1" applyBorder="1" applyAlignment="1">
      <alignment horizontal="justify" vertical="center"/>
    </xf>
    <xf numFmtId="0" fontId="104" fillId="0" borderId="11" xfId="0" applyFont="1" applyBorder="1" applyAlignment="1">
      <alignment horizontal="justify" vertical="center"/>
    </xf>
    <xf numFmtId="166" fontId="105" fillId="0" borderId="11" xfId="0" applyNumberFormat="1" applyFont="1" applyBorder="1" applyAlignment="1">
      <alignment horizontal="justify" vertical="center"/>
    </xf>
    <xf numFmtId="166" fontId="91" fillId="24" borderId="11" xfId="0" applyNumberFormat="1" applyFont="1" applyFill="1" applyBorder="1" applyAlignment="1">
      <alignment horizontal="justify" vertical="center" wrapText="1"/>
    </xf>
    <xf numFmtId="9" fontId="48" fillId="24" borderId="11" xfId="22" applyFont="1" applyFill="1" applyBorder="1" applyAlignment="1">
      <alignment horizontal="justify" vertical="center"/>
    </xf>
    <xf numFmtId="0" fontId="100" fillId="24" borderId="11" xfId="0" applyFont="1" applyFill="1" applyBorder="1" applyAlignment="1">
      <alignment horizontal="justify" vertical="center" wrapText="1"/>
    </xf>
    <xf numFmtId="0" fontId="48" fillId="40" borderId="11" xfId="0" applyFont="1" applyFill="1" applyBorder="1" applyAlignment="1">
      <alignment horizontal="justify" vertical="center"/>
    </xf>
    <xf numFmtId="0" fontId="91" fillId="25" borderId="11" xfId="0" applyFont="1" applyFill="1" applyBorder="1" applyAlignment="1">
      <alignment horizontal="justify" vertical="center" textRotation="90" wrapText="1"/>
    </xf>
    <xf numFmtId="0" fontId="91" fillId="24" borderId="11" xfId="0" applyFont="1" applyFill="1" applyBorder="1" applyAlignment="1">
      <alignment horizontal="justify" vertical="center"/>
    </xf>
    <xf numFmtId="166" fontId="100" fillId="36" borderId="11" xfId="0" applyNumberFormat="1" applyFont="1" applyFill="1" applyBorder="1" applyAlignment="1">
      <alignment horizontal="justify" vertical="center"/>
    </xf>
    <xf numFmtId="49" fontId="91" fillId="11" borderId="11" xfId="0" applyNumberFormat="1" applyFont="1" applyFill="1" applyBorder="1" applyAlignment="1">
      <alignment horizontal="justify" vertical="center" wrapText="1"/>
    </xf>
    <xf numFmtId="49" fontId="95" fillId="0" borderId="11" xfId="0" applyNumberFormat="1" applyFont="1" applyBorder="1" applyAlignment="1">
      <alignment horizontal="justify" vertical="center" wrapText="1"/>
    </xf>
    <xf numFmtId="166" fontId="91" fillId="24" borderId="11" xfId="0" applyNumberFormat="1" applyFont="1" applyFill="1" applyBorder="1" applyAlignment="1">
      <alignment horizontal="justify" vertical="center"/>
    </xf>
    <xf numFmtId="0" fontId="96" fillId="21" borderId="11" xfId="0" applyFont="1" applyFill="1" applyBorder="1" applyAlignment="1">
      <alignment horizontal="justify" vertical="center" textRotation="90" wrapText="1"/>
    </xf>
    <xf numFmtId="166" fontId="100" fillId="20" borderId="11" xfId="0" applyNumberFormat="1" applyFont="1" applyFill="1" applyBorder="1" applyAlignment="1">
      <alignment horizontal="justify" vertical="center"/>
    </xf>
    <xf numFmtId="9" fontId="98" fillId="20" borderId="11" xfId="22" applyFont="1" applyFill="1" applyBorder="1" applyAlignment="1">
      <alignment horizontal="justify" vertical="center"/>
    </xf>
    <xf numFmtId="49" fontId="91" fillId="20" borderId="11" xfId="0" applyNumberFormat="1" applyFont="1" applyFill="1" applyBorder="1" applyAlignment="1">
      <alignment horizontal="justify" vertical="center" wrapText="1"/>
    </xf>
    <xf numFmtId="0" fontId="104" fillId="25" borderId="11" xfId="0" applyFont="1" applyFill="1" applyBorder="1" applyAlignment="1">
      <alignment horizontal="justify" vertical="center" textRotation="90" wrapText="1"/>
    </xf>
    <xf numFmtId="0" fontId="104" fillId="24" borderId="11" xfId="0" applyFont="1" applyFill="1" applyBorder="1" applyAlignment="1">
      <alignment horizontal="justify" vertical="center"/>
    </xf>
    <xf numFmtId="9" fontId="111" fillId="24" borderId="11" xfId="22" applyFont="1" applyFill="1" applyBorder="1" applyAlignment="1">
      <alignment horizontal="justify" vertical="center"/>
    </xf>
    <xf numFmtId="49" fontId="97" fillId="24" borderId="11" xfId="0" applyNumberFormat="1" applyFont="1" applyFill="1" applyBorder="1" applyAlignment="1">
      <alignment horizontal="justify" vertical="center" wrapText="1"/>
    </xf>
    <xf numFmtId="166" fontId="125" fillId="27" borderId="11" xfId="0" applyNumberFormat="1" applyFont="1" applyFill="1" applyBorder="1" applyAlignment="1">
      <alignment horizontal="justify" vertical="center"/>
    </xf>
    <xf numFmtId="49" fontId="83" fillId="24" borderId="11" xfId="0" applyNumberFormat="1" applyFont="1" applyFill="1" applyBorder="1" applyAlignment="1">
      <alignment horizontal="justify" vertical="center"/>
    </xf>
    <xf numFmtId="0" fontId="100" fillId="25" borderId="11" xfId="0" applyFont="1" applyFill="1" applyBorder="1" applyAlignment="1">
      <alignment horizontal="justify" vertical="center" wrapText="1"/>
    </xf>
    <xf numFmtId="0" fontId="83" fillId="25" borderId="11" xfId="0" applyFont="1" applyFill="1" applyBorder="1" applyAlignment="1">
      <alignment horizontal="justify" vertical="center" textRotation="90" wrapText="1"/>
    </xf>
    <xf numFmtId="0" fontId="84" fillId="24" borderId="11" xfId="0" applyFont="1" applyFill="1" applyBorder="1" applyAlignment="1">
      <alignment horizontal="justify" vertical="center"/>
    </xf>
    <xf numFmtId="166" fontId="84" fillId="24" borderId="12" xfId="0" applyNumberFormat="1" applyFont="1" applyFill="1" applyBorder="1" applyAlignment="1">
      <alignment horizontal="justify" vertical="center"/>
    </xf>
    <xf numFmtId="9" fontId="105" fillId="23" borderId="11" xfId="22" applyFont="1" applyFill="1" applyBorder="1" applyAlignment="1">
      <alignment horizontal="justify" vertical="center"/>
    </xf>
    <xf numFmtId="166" fontId="105" fillId="23" borderId="11" xfId="0" applyNumberFormat="1" applyFont="1" applyFill="1" applyBorder="1" applyAlignment="1">
      <alignment horizontal="justify" vertical="center"/>
    </xf>
    <xf numFmtId="9" fontId="105" fillId="0" borderId="11" xfId="22" applyFont="1" applyFill="1" applyBorder="1" applyAlignment="1">
      <alignment horizontal="justify" vertical="center"/>
    </xf>
    <xf numFmtId="2" fontId="48" fillId="0" borderId="11" xfId="0" applyNumberFormat="1" applyFont="1" applyBorder="1" applyAlignment="1">
      <alignment horizontal="justify" vertical="center" wrapText="1"/>
    </xf>
    <xf numFmtId="2" fontId="47" fillId="0" borderId="11" xfId="0" applyNumberFormat="1" applyFont="1" applyBorder="1" applyAlignment="1">
      <alignment horizontal="justify" vertical="center"/>
    </xf>
    <xf numFmtId="2" fontId="47" fillId="14" borderId="11" xfId="0" applyNumberFormat="1" applyFont="1" applyFill="1" applyBorder="1" applyAlignment="1">
      <alignment horizontal="justify" vertical="center"/>
    </xf>
    <xf numFmtId="9" fontId="105" fillId="14" borderId="11" xfId="22" applyFont="1" applyFill="1" applyBorder="1" applyAlignment="1">
      <alignment horizontal="justify" vertical="center"/>
    </xf>
    <xf numFmtId="166" fontId="109" fillId="14" borderId="11" xfId="0" applyNumberFormat="1" applyFont="1" applyFill="1" applyBorder="1" applyAlignment="1">
      <alignment horizontal="justify" vertical="center"/>
    </xf>
    <xf numFmtId="166" fontId="105" fillId="14" borderId="11" xfId="0" applyNumberFormat="1" applyFont="1" applyFill="1" applyBorder="1" applyAlignment="1">
      <alignment horizontal="justify" vertical="center"/>
    </xf>
    <xf numFmtId="1" fontId="48" fillId="0" borderId="11" xfId="0" applyNumberFormat="1" applyFont="1" applyBorder="1" applyAlignment="1">
      <alignment horizontal="justify" vertical="center" wrapText="1"/>
    </xf>
    <xf numFmtId="9" fontId="105" fillId="11" borderId="11" xfId="22" applyFont="1" applyFill="1" applyBorder="1" applyAlignment="1">
      <alignment horizontal="justify" vertical="center"/>
    </xf>
    <xf numFmtId="9" fontId="105" fillId="5" borderId="11" xfId="22" applyFont="1" applyFill="1" applyBorder="1" applyAlignment="1">
      <alignment horizontal="justify" vertical="center"/>
    </xf>
    <xf numFmtId="166" fontId="47" fillId="19" borderId="11" xfId="0" applyNumberFormat="1" applyFont="1" applyFill="1" applyBorder="1" applyAlignment="1">
      <alignment horizontal="justify" vertical="center"/>
    </xf>
    <xf numFmtId="166" fontId="105" fillId="5" borderId="11" xfId="0" applyNumberFormat="1" applyFont="1" applyFill="1" applyBorder="1" applyAlignment="1">
      <alignment horizontal="justify" vertical="center"/>
    </xf>
    <xf numFmtId="166" fontId="47" fillId="23" borderId="12" xfId="0" applyNumberFormat="1" applyFont="1" applyFill="1" applyBorder="1" applyAlignment="1">
      <alignment horizontal="justify" vertical="center"/>
    </xf>
    <xf numFmtId="0" fontId="96" fillId="0" borderId="11" xfId="0" applyFont="1" applyBorder="1" applyAlignment="1">
      <alignment horizontal="justify" vertical="center" textRotation="90" wrapText="1"/>
    </xf>
    <xf numFmtId="0" fontId="96" fillId="0" borderId="11" xfId="0" applyFont="1" applyBorder="1" applyAlignment="1">
      <alignment horizontal="justify" vertical="center"/>
    </xf>
    <xf numFmtId="9" fontId="100" fillId="0" borderId="11" xfId="22" applyFont="1" applyFill="1" applyBorder="1" applyAlignment="1">
      <alignment horizontal="justify" vertical="center"/>
    </xf>
    <xf numFmtId="9" fontId="100" fillId="14" borderId="11" xfId="22" applyFont="1" applyFill="1" applyBorder="1" applyAlignment="1">
      <alignment horizontal="justify" vertical="center"/>
    </xf>
    <xf numFmtId="0" fontId="47" fillId="19" borderId="11" xfId="0" applyFont="1" applyFill="1" applyBorder="1" applyAlignment="1">
      <alignment horizontal="justify" vertical="center"/>
    </xf>
    <xf numFmtId="0" fontId="83" fillId="20" borderId="11" xfId="0" applyFont="1" applyFill="1" applyBorder="1" applyAlignment="1">
      <alignment horizontal="justify" vertical="center"/>
    </xf>
    <xf numFmtId="166" fontId="83" fillId="20" borderId="11" xfId="0" applyNumberFormat="1" applyFont="1" applyFill="1" applyBorder="1" applyAlignment="1">
      <alignment horizontal="justify" vertical="center"/>
    </xf>
    <xf numFmtId="9" fontId="105" fillId="20" borderId="11" xfId="22" applyFont="1" applyFill="1" applyBorder="1" applyAlignment="1">
      <alignment horizontal="justify" vertical="center"/>
    </xf>
    <xf numFmtId="166" fontId="83" fillId="20" borderId="12" xfId="0" applyNumberFormat="1" applyFont="1" applyFill="1" applyBorder="1" applyAlignment="1">
      <alignment horizontal="justify" vertical="center"/>
    </xf>
    <xf numFmtId="0" fontId="105" fillId="20" borderId="11" xfId="0" applyFont="1" applyFill="1" applyBorder="1" applyAlignment="1">
      <alignment horizontal="justify" vertical="center"/>
    </xf>
    <xf numFmtId="0" fontId="83" fillId="20" borderId="11" xfId="0" applyFont="1" applyFill="1" applyBorder="1" applyAlignment="1">
      <alignment horizontal="justify" vertical="center" wrapText="1"/>
    </xf>
    <xf numFmtId="0" fontId="84" fillId="20" borderId="11" xfId="0" applyFont="1" applyFill="1" applyBorder="1" applyAlignment="1">
      <alignment horizontal="justify" vertical="center"/>
    </xf>
    <xf numFmtId="166" fontId="84" fillId="20" borderId="11" xfId="0" applyNumberFormat="1" applyFont="1" applyFill="1" applyBorder="1" applyAlignment="1">
      <alignment horizontal="justify" vertical="center"/>
    </xf>
    <xf numFmtId="49" fontId="84" fillId="20" borderId="11" xfId="0" applyNumberFormat="1" applyFont="1" applyFill="1" applyBorder="1" applyAlignment="1">
      <alignment horizontal="justify" vertical="center" wrapText="1"/>
    </xf>
    <xf numFmtId="0" fontId="48" fillId="37" borderId="11" xfId="0" applyFont="1" applyFill="1" applyBorder="1" applyAlignment="1">
      <alignment horizontal="justify" vertical="center"/>
    </xf>
    <xf numFmtId="9" fontId="105" fillId="37" borderId="11" xfId="22" applyFont="1" applyFill="1" applyBorder="1" applyAlignment="1">
      <alignment horizontal="justify" vertical="center"/>
    </xf>
    <xf numFmtId="0" fontId="105" fillId="37" borderId="11" xfId="0" applyFont="1" applyFill="1" applyBorder="1" applyAlignment="1">
      <alignment horizontal="justify" vertical="center"/>
    </xf>
    <xf numFmtId="166" fontId="47" fillId="37" borderId="11" xfId="0" applyNumberFormat="1" applyFont="1" applyFill="1" applyBorder="1" applyAlignment="1">
      <alignment horizontal="justify" vertical="center"/>
    </xf>
    <xf numFmtId="49" fontId="104" fillId="37" borderId="11" xfId="0" applyNumberFormat="1" applyFont="1" applyFill="1" applyBorder="1" applyAlignment="1">
      <alignment horizontal="justify" vertical="center"/>
    </xf>
    <xf numFmtId="0" fontId="104" fillId="38" borderId="11" xfId="0" applyFont="1" applyFill="1" applyBorder="1" applyAlignment="1">
      <alignment horizontal="justify" vertical="center" wrapText="1"/>
    </xf>
    <xf numFmtId="0" fontId="104" fillId="38" borderId="11" xfId="0" applyFont="1" applyFill="1" applyBorder="1" applyAlignment="1">
      <alignment horizontal="justify" vertical="center" textRotation="90" wrapText="1"/>
    </xf>
    <xf numFmtId="0" fontId="109" fillId="37" borderId="11" xfId="0" applyFont="1" applyFill="1" applyBorder="1" applyAlignment="1">
      <alignment horizontal="justify" vertical="center"/>
    </xf>
    <xf numFmtId="166" fontId="109" fillId="37" borderId="11" xfId="0" applyNumberFormat="1" applyFont="1" applyFill="1" applyBorder="1" applyAlignment="1">
      <alignment horizontal="justify" vertical="center"/>
    </xf>
    <xf numFmtId="166" fontId="110" fillId="37" borderId="11" xfId="0" applyNumberFormat="1" applyFont="1" applyFill="1" applyBorder="1" applyAlignment="1">
      <alignment horizontal="justify" vertical="center"/>
    </xf>
    <xf numFmtId="49" fontId="84" fillId="37" borderId="11" xfId="0" applyNumberFormat="1" applyFont="1" applyFill="1" applyBorder="1" applyAlignment="1">
      <alignment horizontal="justify" vertical="center" wrapText="1"/>
    </xf>
    <xf numFmtId="9" fontId="109" fillId="0" borderId="11" xfId="22" applyFont="1" applyFill="1" applyBorder="1" applyAlignment="1">
      <alignment horizontal="justify" vertical="center"/>
    </xf>
    <xf numFmtId="2" fontId="48" fillId="28" borderId="11" xfId="0" applyNumberFormat="1" applyFont="1" applyFill="1" applyBorder="1" applyAlignment="1">
      <alignment horizontal="justify" vertical="center" wrapText="1"/>
    </xf>
    <xf numFmtId="0" fontId="48" fillId="28" borderId="11" xfId="0" applyFont="1" applyFill="1" applyBorder="1" applyAlignment="1">
      <alignment horizontal="justify" vertical="center" wrapText="1"/>
    </xf>
    <xf numFmtId="0" fontId="105" fillId="5" borderId="11" xfId="0" applyFont="1" applyFill="1" applyBorder="1" applyAlignment="1">
      <alignment horizontal="justify" vertical="center"/>
    </xf>
    <xf numFmtId="166" fontId="109" fillId="0" borderId="11" xfId="0" applyNumberFormat="1" applyFont="1" applyBorder="1" applyAlignment="1">
      <alignment horizontal="justify" vertical="center"/>
    </xf>
    <xf numFmtId="9" fontId="98" fillId="24" borderId="11" xfId="22" applyFont="1" applyFill="1" applyBorder="1" applyAlignment="1">
      <alignment horizontal="justify" vertical="center"/>
    </xf>
    <xf numFmtId="166" fontId="100" fillId="24" borderId="11" xfId="0" applyNumberFormat="1" applyFont="1" applyFill="1" applyBorder="1" applyAlignment="1">
      <alignment horizontal="justify" vertical="center" wrapText="1"/>
    </xf>
    <xf numFmtId="49" fontId="98" fillId="24" borderId="11" xfId="0" applyNumberFormat="1" applyFont="1" applyFill="1" applyBorder="1" applyAlignment="1">
      <alignment horizontal="justify" vertical="center" wrapText="1"/>
    </xf>
    <xf numFmtId="166" fontId="49" fillId="24" borderId="14" xfId="0" applyNumberFormat="1" applyFont="1" applyFill="1" applyBorder="1" applyAlignment="1">
      <alignment horizontal="justify" vertical="center"/>
    </xf>
    <xf numFmtId="9" fontId="109" fillId="14" borderId="11" xfId="22" applyFont="1" applyFill="1" applyBorder="1" applyAlignment="1">
      <alignment horizontal="justify" vertical="center"/>
    </xf>
    <xf numFmtId="49" fontId="49" fillId="20" borderId="11" xfId="0" applyNumberFormat="1" applyFont="1" applyFill="1" applyBorder="1" applyAlignment="1">
      <alignment horizontal="justify" vertical="center"/>
    </xf>
    <xf numFmtId="0" fontId="96" fillId="21" borderId="11" xfId="0" applyFont="1" applyFill="1" applyBorder="1" applyAlignment="1">
      <alignment horizontal="justify" vertical="center" wrapText="1"/>
    </xf>
    <xf numFmtId="9" fontId="49" fillId="20" borderId="11" xfId="22" applyFont="1" applyFill="1" applyBorder="1" applyAlignment="1">
      <alignment horizontal="justify" vertical="center"/>
    </xf>
    <xf numFmtId="49" fontId="49" fillId="20" borderId="11" xfId="0" applyNumberFormat="1" applyFont="1" applyFill="1" applyBorder="1" applyAlignment="1">
      <alignment horizontal="justify" vertical="center" wrapText="1"/>
    </xf>
    <xf numFmtId="49" fontId="48" fillId="20" borderId="11" xfId="0" applyNumberFormat="1" applyFont="1" applyFill="1" applyBorder="1" applyAlignment="1">
      <alignment horizontal="justify" vertical="center" wrapText="1"/>
    </xf>
    <xf numFmtId="49" fontId="47" fillId="20" borderId="11" xfId="0" applyNumberFormat="1" applyFont="1" applyFill="1" applyBorder="1" applyAlignment="1">
      <alignment horizontal="justify" vertical="center" wrapText="1"/>
    </xf>
    <xf numFmtId="166" fontId="118" fillId="24" borderId="11" xfId="0" applyNumberFormat="1" applyFont="1" applyFill="1" applyBorder="1" applyAlignment="1">
      <alignment horizontal="justify" vertical="center"/>
    </xf>
    <xf numFmtId="9" fontId="109" fillId="23" borderId="11" xfId="22" applyFont="1" applyFill="1" applyBorder="1" applyAlignment="1">
      <alignment horizontal="justify" vertical="center"/>
    </xf>
    <xf numFmtId="0" fontId="44" fillId="0" borderId="0" xfId="0" applyFont="1" applyAlignment="1">
      <alignment horizontal="center"/>
    </xf>
    <xf numFmtId="166" fontId="84" fillId="23" borderId="12" xfId="0" applyNumberFormat="1" applyFont="1" applyFill="1" applyBorder="1" applyAlignment="1">
      <alignment horizontal="justify" vertical="center"/>
    </xf>
    <xf numFmtId="2" fontId="84" fillId="0" borderId="11" xfId="0" applyNumberFormat="1" applyFont="1" applyBorder="1" applyAlignment="1">
      <alignment horizontal="justify" vertical="center"/>
    </xf>
    <xf numFmtId="2" fontId="84" fillId="14" borderId="11" xfId="0" applyNumberFormat="1" applyFont="1" applyFill="1" applyBorder="1" applyAlignment="1">
      <alignment horizontal="justify" vertical="center"/>
    </xf>
    <xf numFmtId="2" fontId="98" fillId="24" borderId="11" xfId="0" applyNumberFormat="1" applyFont="1" applyFill="1" applyBorder="1" applyAlignment="1">
      <alignment horizontal="justify" vertical="center"/>
    </xf>
    <xf numFmtId="166" fontId="84" fillId="14" borderId="12" xfId="0" applyNumberFormat="1" applyFont="1" applyFill="1" applyBorder="1" applyAlignment="1">
      <alignment horizontal="justify" vertical="center"/>
    </xf>
    <xf numFmtId="166" fontId="100" fillId="24" borderId="12" xfId="0" applyNumberFormat="1" applyFont="1" applyFill="1" applyBorder="1" applyAlignment="1">
      <alignment horizontal="justify" vertical="center"/>
    </xf>
    <xf numFmtId="0" fontId="84" fillId="23" borderId="11" xfId="0" applyFont="1" applyFill="1" applyBorder="1" applyAlignment="1">
      <alignment horizontal="justify" vertical="center"/>
    </xf>
    <xf numFmtId="0" fontId="84" fillId="23" borderId="12" xfId="0" applyFont="1" applyFill="1" applyBorder="1" applyAlignment="1">
      <alignment horizontal="justify" vertical="center"/>
    </xf>
    <xf numFmtId="166" fontId="84" fillId="0" borderId="28" xfId="0" applyNumberFormat="1" applyFont="1" applyBorder="1" applyAlignment="1">
      <alignment horizontal="justify" vertical="center"/>
    </xf>
    <xf numFmtId="0" fontId="48" fillId="40" borderId="9" xfId="0" applyFont="1" applyFill="1" applyBorder="1" applyAlignment="1">
      <alignment horizontal="justify" vertical="center"/>
    </xf>
    <xf numFmtId="166" fontId="84" fillId="40" borderId="12" xfId="0" applyNumberFormat="1" applyFont="1" applyFill="1" applyBorder="1" applyAlignment="1">
      <alignment horizontal="justify" vertical="center"/>
    </xf>
    <xf numFmtId="9" fontId="47" fillId="40" borderId="11" xfId="22" applyFont="1" applyFill="1" applyBorder="1" applyAlignment="1">
      <alignment horizontal="justify" vertical="center"/>
    </xf>
    <xf numFmtId="166" fontId="84" fillId="23" borderId="11" xfId="22" applyNumberFormat="1" applyFont="1" applyFill="1" applyBorder="1" applyAlignment="1">
      <alignment horizontal="justify" vertical="center"/>
    </xf>
    <xf numFmtId="0" fontId="48" fillId="42" borderId="6" xfId="0" applyFont="1" applyFill="1" applyBorder="1" applyAlignment="1">
      <alignment horizontal="justify" vertical="center"/>
    </xf>
    <xf numFmtId="166" fontId="84" fillId="42" borderId="11" xfId="0" applyNumberFormat="1" applyFont="1" applyFill="1" applyBorder="1" applyAlignment="1">
      <alignment horizontal="justify" vertical="center"/>
    </xf>
    <xf numFmtId="9" fontId="84" fillId="42" borderId="11" xfId="22" applyFont="1" applyFill="1" applyBorder="1" applyAlignment="1">
      <alignment horizontal="justify" vertical="center"/>
    </xf>
    <xf numFmtId="166" fontId="84" fillId="42" borderId="12" xfId="0" applyNumberFormat="1" applyFont="1" applyFill="1" applyBorder="1" applyAlignment="1">
      <alignment horizontal="justify" vertical="center"/>
    </xf>
    <xf numFmtId="166" fontId="47" fillId="42" borderId="11" xfId="0" applyNumberFormat="1" applyFont="1" applyFill="1" applyBorder="1" applyAlignment="1">
      <alignment horizontal="justify" vertical="center"/>
    </xf>
    <xf numFmtId="9" fontId="47" fillId="42" borderId="11" xfId="22" applyFont="1" applyFill="1" applyBorder="1" applyAlignment="1">
      <alignment horizontal="justify" vertical="center"/>
    </xf>
    <xf numFmtId="49" fontId="48" fillId="42" borderId="16" xfId="0" applyNumberFormat="1" applyFont="1" applyFill="1" applyBorder="1" applyAlignment="1">
      <alignment horizontal="justify" vertical="center" wrapText="1"/>
    </xf>
    <xf numFmtId="49" fontId="48" fillId="42" borderId="19" xfId="0" applyNumberFormat="1" applyFont="1" applyFill="1" applyBorder="1" applyAlignment="1">
      <alignment horizontal="justify" vertical="center" wrapText="1"/>
    </xf>
    <xf numFmtId="0" fontId="47" fillId="42" borderId="6" xfId="0" applyFont="1" applyFill="1" applyBorder="1" applyAlignment="1">
      <alignment horizontal="justify" vertical="center"/>
    </xf>
    <xf numFmtId="166" fontId="98" fillId="24" borderId="12" xfId="0" applyNumberFormat="1" applyFont="1" applyFill="1" applyBorder="1" applyAlignment="1">
      <alignment horizontal="justify" vertical="center"/>
    </xf>
    <xf numFmtId="9" fontId="83" fillId="40" borderId="11" xfId="22" applyFont="1" applyFill="1" applyBorder="1" applyAlignment="1">
      <alignment horizontal="justify" vertical="center"/>
    </xf>
    <xf numFmtId="166" fontId="83" fillId="40" borderId="12" xfId="0" applyNumberFormat="1" applyFont="1" applyFill="1" applyBorder="1" applyAlignment="1">
      <alignment horizontal="justify" vertical="center"/>
    </xf>
    <xf numFmtId="49" fontId="131" fillId="24" borderId="6" xfId="0" applyNumberFormat="1" applyFont="1" applyFill="1" applyBorder="1" applyAlignment="1">
      <alignment horizontal="justify" vertical="center"/>
    </xf>
    <xf numFmtId="0" fontId="131" fillId="24" borderId="6" xfId="0" applyFont="1" applyFill="1" applyBorder="1" applyAlignment="1">
      <alignment horizontal="justify" vertical="center" textRotation="90" wrapText="1"/>
    </xf>
    <xf numFmtId="166" fontId="84" fillId="40" borderId="22" xfId="0" applyNumberFormat="1" applyFont="1" applyFill="1" applyBorder="1" applyAlignment="1">
      <alignment horizontal="justify" vertical="center"/>
    </xf>
    <xf numFmtId="166" fontId="84" fillId="23" borderId="12" xfId="0" applyNumberFormat="1" applyFont="1" applyFill="1" applyBorder="1" applyAlignment="1">
      <alignment horizontal="justify" vertical="center" wrapText="1"/>
    </xf>
    <xf numFmtId="0" fontId="47" fillId="23" borderId="14" xfId="0" applyFont="1" applyFill="1" applyBorder="1" applyAlignment="1">
      <alignment horizontal="justify" vertical="center" wrapText="1"/>
    </xf>
    <xf numFmtId="9" fontId="84" fillId="31" borderId="11" xfId="22" applyFont="1" applyFill="1" applyBorder="1" applyAlignment="1">
      <alignment horizontal="justify" vertical="center"/>
    </xf>
    <xf numFmtId="166" fontId="47" fillId="31" borderId="11" xfId="0" applyNumberFormat="1" applyFont="1" applyFill="1" applyBorder="1" applyAlignment="1">
      <alignment horizontal="justify" vertical="center"/>
    </xf>
    <xf numFmtId="166" fontId="84" fillId="31" borderId="11" xfId="0" applyNumberFormat="1" applyFont="1" applyFill="1" applyBorder="1" applyAlignment="1">
      <alignment horizontal="justify" vertical="center"/>
    </xf>
    <xf numFmtId="49" fontId="47" fillId="31" borderId="16" xfId="0" applyNumberFormat="1" applyFont="1" applyFill="1" applyBorder="1" applyAlignment="1">
      <alignment horizontal="justify" vertical="center" wrapText="1"/>
    </xf>
    <xf numFmtId="166" fontId="84" fillId="31" borderId="12" xfId="0" applyNumberFormat="1" applyFont="1" applyFill="1" applyBorder="1" applyAlignment="1">
      <alignment horizontal="justify" vertical="center"/>
    </xf>
    <xf numFmtId="49" fontId="47" fillId="31" borderId="19" xfId="0" applyNumberFormat="1" applyFont="1" applyFill="1" applyBorder="1" applyAlignment="1">
      <alignment horizontal="justify" vertical="center" wrapText="1"/>
    </xf>
    <xf numFmtId="0" fontId="48" fillId="31" borderId="6" xfId="0" applyFont="1" applyFill="1" applyBorder="1" applyAlignment="1">
      <alignment horizontal="justify" vertical="center"/>
    </xf>
    <xf numFmtId="166" fontId="47" fillId="31" borderId="27" xfId="0" applyNumberFormat="1" applyFont="1" applyFill="1" applyBorder="1" applyAlignment="1">
      <alignment horizontal="justify" vertical="center"/>
    </xf>
    <xf numFmtId="0" fontId="47" fillId="31" borderId="7" xfId="0" applyFont="1" applyFill="1" applyBorder="1" applyAlignment="1">
      <alignment horizontal="justify" vertical="center"/>
    </xf>
    <xf numFmtId="166" fontId="84" fillId="31" borderId="16" xfId="0" applyNumberFormat="1" applyFont="1" applyFill="1" applyBorder="1" applyAlignment="1">
      <alignment horizontal="justify" vertical="center"/>
    </xf>
    <xf numFmtId="9" fontId="84" fillId="31" borderId="16" xfId="22" applyFont="1" applyFill="1" applyBorder="1" applyAlignment="1">
      <alignment horizontal="justify" vertical="center"/>
    </xf>
    <xf numFmtId="166" fontId="84" fillId="31" borderId="22" xfId="0" applyNumberFormat="1" applyFont="1" applyFill="1" applyBorder="1" applyAlignment="1">
      <alignment horizontal="justify" vertical="center"/>
    </xf>
    <xf numFmtId="166" fontId="47" fillId="31" borderId="16" xfId="0" applyNumberFormat="1" applyFont="1" applyFill="1" applyBorder="1" applyAlignment="1">
      <alignment horizontal="justify" vertical="center"/>
    </xf>
    <xf numFmtId="9" fontId="47" fillId="23" borderId="16" xfId="22" applyFont="1" applyFill="1" applyBorder="1" applyAlignment="1">
      <alignment horizontal="justify" vertical="center"/>
    </xf>
    <xf numFmtId="166" fontId="47" fillId="31" borderId="32" xfId="0" applyNumberFormat="1" applyFont="1" applyFill="1" applyBorder="1" applyAlignment="1">
      <alignment horizontal="justify" vertical="center"/>
    </xf>
    <xf numFmtId="0" fontId="48" fillId="28" borderId="11" xfId="0" applyFont="1" applyFill="1" applyBorder="1" applyAlignment="1">
      <alignment horizontal="justify" vertical="center"/>
    </xf>
    <xf numFmtId="166" fontId="48" fillId="28" borderId="11" xfId="0" applyNumberFormat="1" applyFont="1" applyFill="1" applyBorder="1" applyAlignment="1">
      <alignment horizontal="justify" vertical="center"/>
    </xf>
    <xf numFmtId="9" fontId="48" fillId="28" borderId="11" xfId="22" applyFont="1" applyFill="1" applyBorder="1" applyAlignment="1">
      <alignment horizontal="justify" vertical="center"/>
    </xf>
    <xf numFmtId="0" fontId="48" fillId="14" borderId="11" xfId="0" applyFont="1" applyFill="1" applyBorder="1" applyAlignment="1">
      <alignment horizontal="justify" vertical="center"/>
    </xf>
    <xf numFmtId="9" fontId="48" fillId="14" borderId="11" xfId="22" applyFont="1" applyFill="1" applyBorder="1" applyAlignment="1">
      <alignment horizontal="justify" vertical="center"/>
    </xf>
    <xf numFmtId="166" fontId="47" fillId="31" borderId="0" xfId="0" applyNumberFormat="1" applyFont="1" applyFill="1" applyAlignment="1">
      <alignment horizontal="justify" vertical="center"/>
    </xf>
    <xf numFmtId="166" fontId="47" fillId="31" borderId="29" xfId="0" applyNumberFormat="1" applyFont="1" applyFill="1" applyBorder="1" applyAlignment="1">
      <alignment horizontal="justify" vertical="center"/>
    </xf>
    <xf numFmtId="0" fontId="47" fillId="24" borderId="0" xfId="0" applyFont="1" applyFill="1" applyAlignment="1">
      <alignment horizontal="justify" vertical="center"/>
    </xf>
    <xf numFmtId="166" fontId="84" fillId="14" borderId="33" xfId="0" applyNumberFormat="1" applyFont="1" applyFill="1" applyBorder="1" applyAlignment="1">
      <alignment horizontal="justify" vertical="center"/>
    </xf>
    <xf numFmtId="49" fontId="48" fillId="20" borderId="11" xfId="0" applyNumberFormat="1" applyFont="1" applyFill="1" applyBorder="1" applyAlignment="1">
      <alignment horizontal="justify" vertical="center"/>
    </xf>
    <xf numFmtId="0" fontId="48" fillId="20" borderId="11" xfId="0" applyFont="1" applyFill="1" applyBorder="1" applyAlignment="1">
      <alignment horizontal="justify" vertical="center" textRotation="90" wrapText="1"/>
    </xf>
    <xf numFmtId="0" fontId="48" fillId="20" borderId="11" xfId="0" applyFont="1" applyFill="1" applyBorder="1" applyAlignment="1">
      <alignment horizontal="justify" vertical="center"/>
    </xf>
    <xf numFmtId="9" fontId="83" fillId="20" borderId="11" xfId="22" applyFont="1" applyFill="1" applyBorder="1" applyAlignment="1">
      <alignment horizontal="justify" vertical="center"/>
    </xf>
    <xf numFmtId="166" fontId="83" fillId="5" borderId="11" xfId="0" applyNumberFormat="1" applyFont="1" applyFill="1" applyBorder="1" applyAlignment="1">
      <alignment horizontal="justify" vertical="center"/>
    </xf>
    <xf numFmtId="166" fontId="48" fillId="20" borderId="11" xfId="0" applyNumberFormat="1" applyFont="1" applyFill="1" applyBorder="1" applyAlignment="1">
      <alignment horizontal="justify" vertical="center"/>
    </xf>
    <xf numFmtId="166" fontId="48" fillId="20" borderId="32" xfId="0" applyNumberFormat="1" applyFont="1" applyFill="1" applyBorder="1" applyAlignment="1">
      <alignment horizontal="justify" vertical="center"/>
    </xf>
    <xf numFmtId="49" fontId="48" fillId="20" borderId="19" xfId="0" applyNumberFormat="1" applyFont="1" applyFill="1" applyBorder="1" applyAlignment="1">
      <alignment horizontal="justify" vertical="center" wrapText="1"/>
    </xf>
    <xf numFmtId="49" fontId="48" fillId="20" borderId="17" xfId="0" applyNumberFormat="1" applyFont="1" applyFill="1" applyBorder="1" applyAlignment="1">
      <alignment horizontal="justify" vertical="center" wrapText="1"/>
    </xf>
    <xf numFmtId="49" fontId="48" fillId="21" borderId="11" xfId="0" applyNumberFormat="1" applyFont="1" applyFill="1" applyBorder="1" applyAlignment="1">
      <alignment horizontal="justify" vertical="center" wrapText="1"/>
    </xf>
    <xf numFmtId="166" fontId="48" fillId="20" borderId="11" xfId="0" applyNumberFormat="1" applyFont="1" applyFill="1" applyBorder="1" applyAlignment="1">
      <alignment horizontal="justify" vertical="center" wrapText="1"/>
    </xf>
    <xf numFmtId="1" fontId="48" fillId="20" borderId="16" xfId="0" applyNumberFormat="1" applyFont="1" applyFill="1" applyBorder="1" applyAlignment="1">
      <alignment horizontal="justify" vertical="center"/>
    </xf>
    <xf numFmtId="1" fontId="48" fillId="20" borderId="19" xfId="0" applyNumberFormat="1" applyFont="1" applyFill="1" applyBorder="1" applyAlignment="1">
      <alignment horizontal="justify" vertical="center"/>
    </xf>
    <xf numFmtId="0" fontId="47" fillId="29" borderId="11" xfId="0" applyFont="1" applyFill="1" applyBorder="1" applyAlignment="1">
      <alignment horizontal="justify" vertical="center" wrapText="1"/>
    </xf>
    <xf numFmtId="2" fontId="84" fillId="29" borderId="11" xfId="0" applyNumberFormat="1" applyFont="1" applyFill="1" applyBorder="1" applyAlignment="1">
      <alignment horizontal="justify" vertical="center" wrapText="1"/>
    </xf>
    <xf numFmtId="9" fontId="84" fillId="29" borderId="11" xfId="22" applyFont="1" applyFill="1" applyBorder="1" applyAlignment="1">
      <alignment horizontal="justify" vertical="center"/>
    </xf>
    <xf numFmtId="0" fontId="84" fillId="29" borderId="12" xfId="0" applyFont="1" applyFill="1" applyBorder="1" applyAlignment="1">
      <alignment horizontal="justify" vertical="center" wrapText="1"/>
    </xf>
    <xf numFmtId="0" fontId="84" fillId="29" borderId="11" xfId="0" applyFont="1" applyFill="1" applyBorder="1" applyAlignment="1">
      <alignment horizontal="justify" vertical="center" wrapText="1"/>
    </xf>
    <xf numFmtId="0" fontId="47" fillId="29" borderId="14" xfId="0" applyFont="1" applyFill="1" applyBorder="1" applyAlignment="1">
      <alignment horizontal="justify" vertical="center" wrapText="1"/>
    </xf>
    <xf numFmtId="0" fontId="48" fillId="29" borderId="11" xfId="0" applyFont="1" applyFill="1" applyBorder="1" applyAlignment="1">
      <alignment horizontal="justify" vertical="center"/>
    </xf>
    <xf numFmtId="166" fontId="84" fillId="29" borderId="11" xfId="0" applyNumberFormat="1" applyFont="1" applyFill="1" applyBorder="1" applyAlignment="1">
      <alignment horizontal="justify" vertical="center"/>
    </xf>
    <xf numFmtId="166" fontId="84" fillId="29" borderId="12" xfId="0" applyNumberFormat="1" applyFont="1" applyFill="1" applyBorder="1" applyAlignment="1">
      <alignment horizontal="justify" vertical="center"/>
    </xf>
    <xf numFmtId="166" fontId="47" fillId="29" borderId="11" xfId="0" applyNumberFormat="1" applyFont="1" applyFill="1" applyBorder="1" applyAlignment="1">
      <alignment horizontal="justify" vertical="center"/>
    </xf>
    <xf numFmtId="1" fontId="47" fillId="29" borderId="16" xfId="0" applyNumberFormat="1" applyFont="1" applyFill="1" applyBorder="1" applyAlignment="1">
      <alignment horizontal="justify" vertical="center"/>
    </xf>
    <xf numFmtId="0" fontId="47" fillId="29" borderId="16" xfId="0" applyFont="1" applyFill="1" applyBorder="1" applyAlignment="1">
      <alignment horizontal="justify" vertical="center"/>
    </xf>
    <xf numFmtId="166" fontId="84" fillId="29" borderId="16" xfId="0" applyNumberFormat="1" applyFont="1" applyFill="1" applyBorder="1" applyAlignment="1">
      <alignment horizontal="justify" vertical="center"/>
    </xf>
    <xf numFmtId="9" fontId="84" fillId="29" borderId="16" xfId="22" applyFont="1" applyFill="1" applyBorder="1" applyAlignment="1">
      <alignment horizontal="justify" vertical="center"/>
    </xf>
    <xf numFmtId="166" fontId="84" fillId="29" borderId="22" xfId="0" applyNumberFormat="1" applyFont="1" applyFill="1" applyBorder="1" applyAlignment="1">
      <alignment horizontal="justify" vertical="center"/>
    </xf>
    <xf numFmtId="166" fontId="47" fillId="29" borderId="16" xfId="0" applyNumberFormat="1" applyFont="1" applyFill="1" applyBorder="1" applyAlignment="1">
      <alignment horizontal="justify" vertical="center"/>
    </xf>
    <xf numFmtId="1" fontId="47" fillId="29" borderId="19" xfId="0" applyNumberFormat="1" applyFont="1" applyFill="1" applyBorder="1" applyAlignment="1">
      <alignment horizontal="justify" vertical="center"/>
    </xf>
    <xf numFmtId="49" fontId="49" fillId="24" borderId="0" xfId="0" applyNumberFormat="1" applyFont="1" applyFill="1" applyAlignment="1">
      <alignment horizontal="justify" vertical="center"/>
    </xf>
    <xf numFmtId="49" fontId="96" fillId="25" borderId="16" xfId="0" applyNumberFormat="1" applyFont="1" applyFill="1" applyBorder="1" applyAlignment="1">
      <alignment horizontal="justify" vertical="center" wrapText="1"/>
    </xf>
    <xf numFmtId="9" fontId="98" fillId="24" borderId="16" xfId="22" applyFont="1" applyFill="1" applyBorder="1" applyAlignment="1">
      <alignment horizontal="justify" vertical="center"/>
    </xf>
    <xf numFmtId="166" fontId="98" fillId="24" borderId="22" xfId="0" applyNumberFormat="1" applyFont="1" applyFill="1" applyBorder="1" applyAlignment="1">
      <alignment horizontal="justify" vertical="center"/>
    </xf>
    <xf numFmtId="166" fontId="96" fillId="24" borderId="32" xfId="0" applyNumberFormat="1" applyFont="1" applyFill="1" applyBorder="1" applyAlignment="1">
      <alignment horizontal="justify" vertical="center"/>
    </xf>
    <xf numFmtId="1" fontId="47" fillId="24" borderId="19" xfId="0" applyNumberFormat="1" applyFont="1" applyFill="1" applyBorder="1" applyAlignment="1">
      <alignment horizontal="justify" vertical="center"/>
    </xf>
    <xf numFmtId="49" fontId="96" fillId="25" borderId="11" xfId="0" applyNumberFormat="1" applyFont="1" applyFill="1" applyBorder="1" applyAlignment="1">
      <alignment horizontal="justify" vertical="center" wrapText="1"/>
    </xf>
    <xf numFmtId="1" fontId="47" fillId="24" borderId="11" xfId="0" applyNumberFormat="1" applyFont="1" applyFill="1" applyBorder="1" applyAlignment="1">
      <alignment horizontal="justify" vertical="center"/>
    </xf>
    <xf numFmtId="0" fontId="48" fillId="29" borderId="6" xfId="0" applyFont="1" applyFill="1" applyBorder="1" applyAlignment="1">
      <alignment horizontal="justify" vertical="center"/>
    </xf>
    <xf numFmtId="49" fontId="48" fillId="29" borderId="16" xfId="0" applyNumberFormat="1" applyFont="1" applyFill="1" applyBorder="1" applyAlignment="1">
      <alignment horizontal="justify" vertical="center" wrapText="1"/>
    </xf>
    <xf numFmtId="0" fontId="47" fillId="29" borderId="6" xfId="0" applyFont="1" applyFill="1" applyBorder="1" applyAlignment="1">
      <alignment horizontal="justify" vertical="center"/>
    </xf>
    <xf numFmtId="49" fontId="48" fillId="29" borderId="19" xfId="0" applyNumberFormat="1" applyFont="1" applyFill="1" applyBorder="1" applyAlignment="1">
      <alignment horizontal="justify" vertical="center" wrapText="1"/>
    </xf>
    <xf numFmtId="0" fontId="49" fillId="24" borderId="10" xfId="0" applyFont="1" applyFill="1" applyBorder="1" applyAlignment="1">
      <alignment horizontal="justify" vertical="center"/>
    </xf>
    <xf numFmtId="0" fontId="96" fillId="24" borderId="16" xfId="0" applyFont="1" applyFill="1" applyBorder="1" applyAlignment="1">
      <alignment horizontal="justify" vertical="center" textRotation="90" wrapText="1"/>
    </xf>
    <xf numFmtId="0" fontId="49" fillId="24" borderId="25" xfId="0" applyFont="1" applyFill="1" applyBorder="1" applyAlignment="1">
      <alignment horizontal="justify" vertical="center"/>
    </xf>
    <xf numFmtId="9" fontId="47" fillId="23" borderId="17" xfId="22" applyFont="1" applyFill="1" applyBorder="1" applyAlignment="1">
      <alignment horizontal="justify" vertical="center"/>
    </xf>
    <xf numFmtId="49" fontId="48" fillId="24" borderId="8" xfId="0" applyNumberFormat="1" applyFont="1" applyFill="1" applyBorder="1" applyAlignment="1">
      <alignment horizontal="justify" vertical="center"/>
    </xf>
    <xf numFmtId="0" fontId="48" fillId="24" borderId="10" xfId="0" applyFont="1" applyFill="1" applyBorder="1" applyAlignment="1">
      <alignment horizontal="justify" vertical="center" textRotation="90" wrapText="1"/>
    </xf>
    <xf numFmtId="166" fontId="83" fillId="0" borderId="12" xfId="0" applyNumberFormat="1" applyFont="1" applyBorder="1" applyAlignment="1">
      <alignment horizontal="justify" vertical="center"/>
    </xf>
    <xf numFmtId="0" fontId="132" fillId="24" borderId="11" xfId="0" applyFont="1" applyFill="1" applyBorder="1" applyAlignment="1">
      <alignment horizontal="justify" vertical="center"/>
    </xf>
    <xf numFmtId="9" fontId="0" fillId="0" borderId="0" xfId="22" applyFont="1"/>
    <xf numFmtId="9" fontId="0" fillId="0" borderId="54" xfId="0" applyNumberFormat="1" applyBorder="1"/>
    <xf numFmtId="0" fontId="29" fillId="14" borderId="11" xfId="0" applyFont="1" applyFill="1" applyBorder="1" applyAlignment="1">
      <alignment horizontal="center" vertical="center"/>
    </xf>
    <xf numFmtId="0" fontId="29" fillId="14" borderId="11" xfId="0" applyFont="1" applyFill="1" applyBorder="1" applyAlignment="1">
      <alignment horizontal="center" vertical="center" wrapText="1"/>
    </xf>
    <xf numFmtId="10" fontId="29" fillId="14" borderId="11" xfId="22" applyNumberFormat="1" applyFont="1" applyFill="1" applyBorder="1" applyAlignment="1">
      <alignment horizontal="center" vertical="center"/>
    </xf>
    <xf numFmtId="166" fontId="33" fillId="0" borderId="11" xfId="0" applyNumberFormat="1" applyFont="1" applyBorder="1" applyAlignment="1">
      <alignment horizontal="center" vertical="center"/>
    </xf>
    <xf numFmtId="0" fontId="33" fillId="0" borderId="11" xfId="0" applyFont="1" applyBorder="1" applyAlignment="1">
      <alignment horizontal="center" vertical="center"/>
    </xf>
    <xf numFmtId="10" fontId="29" fillId="14" borderId="11" xfId="22" applyNumberFormat="1" applyFont="1" applyFill="1" applyBorder="1" applyAlignment="1">
      <alignment horizontal="center" vertical="center" wrapText="1"/>
    </xf>
    <xf numFmtId="166" fontId="33" fillId="0" borderId="11" xfId="0" applyNumberFormat="1" applyFont="1" applyBorder="1" applyAlignment="1">
      <alignment horizontal="center" vertical="center" wrapText="1"/>
    </xf>
    <xf numFmtId="0" fontId="104" fillId="0" borderId="0" xfId="0" applyFont="1" applyAlignment="1">
      <alignment horizontal="center" vertical="center" wrapText="1"/>
    </xf>
    <xf numFmtId="0" fontId="91" fillId="0" borderId="0" xfId="0" applyFont="1" applyAlignment="1">
      <alignment horizontal="center" vertical="center" wrapText="1"/>
    </xf>
    <xf numFmtId="0" fontId="91" fillId="0" borderId="0" xfId="0" applyFont="1" applyAlignment="1">
      <alignment horizontal="center" vertical="center"/>
    </xf>
    <xf numFmtId="0" fontId="101" fillId="23" borderId="14" xfId="0" applyFont="1" applyFill="1" applyBorder="1" applyAlignment="1">
      <alignment horizontal="center" vertical="center"/>
    </xf>
    <xf numFmtId="166" fontId="101" fillId="24" borderId="11" xfId="0" applyNumberFormat="1" applyFont="1" applyFill="1" applyBorder="1" applyAlignment="1">
      <alignment horizontal="center" vertical="center"/>
    </xf>
    <xf numFmtId="166" fontId="101" fillId="24" borderId="14" xfId="0" applyNumberFormat="1" applyFont="1" applyFill="1" applyBorder="1" applyAlignment="1">
      <alignment horizontal="center" vertical="center"/>
    </xf>
    <xf numFmtId="166" fontId="101" fillId="0" borderId="0" xfId="0" applyNumberFormat="1" applyFont="1" applyAlignment="1">
      <alignment horizontal="center" vertical="center" wrapText="1"/>
    </xf>
    <xf numFmtId="166" fontId="97" fillId="0" borderId="0" xfId="0" applyNumberFormat="1" applyFont="1" applyAlignment="1">
      <alignment horizontal="center" vertical="center"/>
    </xf>
    <xf numFmtId="166" fontId="101" fillId="0" borderId="0" xfId="0" applyNumberFormat="1" applyFont="1" applyAlignment="1">
      <alignment horizontal="center" vertical="center"/>
    </xf>
    <xf numFmtId="0" fontId="101" fillId="0" borderId="0" xfId="0" applyFont="1" applyAlignment="1">
      <alignment horizontal="center" vertical="center"/>
    </xf>
    <xf numFmtId="0" fontId="0" fillId="0" borderId="57" xfId="0" applyBorder="1" applyAlignment="1">
      <alignment horizontal="center" vertical="center"/>
    </xf>
    <xf numFmtId="0" fontId="96" fillId="25" borderId="21" xfId="0" applyFont="1" applyFill="1" applyBorder="1" applyAlignment="1">
      <alignment horizontal="justify" vertical="center" wrapText="1"/>
    </xf>
    <xf numFmtId="0" fontId="96" fillId="25" borderId="9" xfId="0" applyFont="1" applyFill="1" applyBorder="1" applyAlignment="1">
      <alignment horizontal="justify" vertical="center" textRotation="90" wrapText="1"/>
    </xf>
    <xf numFmtId="0" fontId="96" fillId="24" borderId="24" xfId="0" applyFont="1" applyFill="1" applyBorder="1" applyAlignment="1">
      <alignment horizontal="center" vertical="center"/>
    </xf>
    <xf numFmtId="0" fontId="33" fillId="0" borderId="79" xfId="0" applyFont="1" applyBorder="1" applyAlignment="1">
      <alignment horizontal="center" vertical="center" wrapText="1"/>
    </xf>
    <xf numFmtId="0" fontId="33" fillId="0" borderId="80" xfId="0" applyFont="1" applyBorder="1" applyAlignment="1">
      <alignment horizontal="center" vertical="center" wrapText="1"/>
    </xf>
    <xf numFmtId="0" fontId="33" fillId="0" borderId="81" xfId="0" applyFont="1" applyBorder="1" applyAlignment="1">
      <alignment horizontal="center" vertical="center" wrapText="1"/>
    </xf>
    <xf numFmtId="0" fontId="33" fillId="0" borderId="57" xfId="0" applyFont="1" applyBorder="1" applyAlignment="1">
      <alignment horizontal="center" vertical="center" wrapText="1"/>
    </xf>
    <xf numFmtId="0" fontId="0" fillId="0" borderId="73" xfId="0" applyBorder="1"/>
    <xf numFmtId="0" fontId="48" fillId="0" borderId="11" xfId="0" applyFont="1" applyBorder="1" applyAlignment="1">
      <alignment horizontal="justify" vertical="center" wrapText="1"/>
    </xf>
    <xf numFmtId="49" fontId="48" fillId="24" borderId="17" xfId="0" applyNumberFormat="1" applyFont="1" applyFill="1" applyBorder="1" applyAlignment="1">
      <alignment horizontal="center" vertical="center" wrapText="1"/>
    </xf>
    <xf numFmtId="0" fontId="48" fillId="11" borderId="11" xfId="0" applyFont="1" applyFill="1" applyBorder="1" applyAlignment="1">
      <alignment horizontal="left" vertical="center"/>
    </xf>
    <xf numFmtId="166" fontId="101" fillId="0" borderId="11" xfId="0" applyNumberFormat="1" applyFont="1" applyBorder="1" applyAlignment="1">
      <alignment horizontal="center" vertical="center"/>
    </xf>
    <xf numFmtId="0" fontId="101" fillId="0" borderId="11" xfId="0" applyFont="1" applyBorder="1" applyAlignment="1">
      <alignment horizontal="center" vertical="center" wrapText="1"/>
    </xf>
    <xf numFmtId="49" fontId="47" fillId="19" borderId="11" xfId="0" applyNumberFormat="1" applyFont="1" applyFill="1" applyBorder="1" applyAlignment="1">
      <alignment horizontal="justify" vertical="center" wrapText="1"/>
    </xf>
    <xf numFmtId="49" fontId="48" fillId="23" borderId="11" xfId="0" applyNumberFormat="1" applyFont="1" applyFill="1" applyBorder="1" applyAlignment="1">
      <alignment horizontal="justify" vertical="center" wrapText="1"/>
    </xf>
    <xf numFmtId="49" fontId="48" fillId="24" borderId="11" xfId="0" applyNumberFormat="1" applyFont="1" applyFill="1" applyBorder="1" applyAlignment="1">
      <alignment horizontal="justify" vertical="center" textRotation="90"/>
    </xf>
    <xf numFmtId="166" fontId="96" fillId="24" borderId="11" xfId="0" applyNumberFormat="1" applyFont="1" applyFill="1" applyBorder="1" applyAlignment="1">
      <alignment horizontal="center" vertical="center" wrapText="1"/>
    </xf>
    <xf numFmtId="0" fontId="83" fillId="0" borderId="11" xfId="0" applyFont="1" applyBorder="1" applyAlignment="1">
      <alignment horizontal="justify" vertical="center"/>
    </xf>
    <xf numFmtId="49" fontId="47" fillId="22" borderId="11" xfId="0" applyNumberFormat="1" applyFont="1" applyFill="1" applyBorder="1" applyAlignment="1">
      <alignment horizontal="justify" vertical="center" wrapText="1"/>
    </xf>
    <xf numFmtId="49" fontId="49" fillId="24" borderId="17" xfId="0" applyNumberFormat="1" applyFont="1" applyFill="1" applyBorder="1" applyAlignment="1">
      <alignment horizontal="left" vertical="center"/>
    </xf>
    <xf numFmtId="0" fontId="96" fillId="24" borderId="17" xfId="0" applyFont="1" applyFill="1" applyBorder="1" applyAlignment="1">
      <alignment horizontal="left" vertical="center" textRotation="90" wrapText="1"/>
    </xf>
    <xf numFmtId="0" fontId="49" fillId="24" borderId="11" xfId="0" applyFont="1" applyFill="1" applyBorder="1" applyAlignment="1">
      <alignment horizontal="justify" vertical="center" wrapText="1"/>
    </xf>
    <xf numFmtId="0" fontId="49" fillId="25" borderId="11" xfId="0" applyFont="1" applyFill="1" applyBorder="1" applyAlignment="1">
      <alignment horizontal="left" vertical="center" wrapText="1"/>
    </xf>
    <xf numFmtId="0" fontId="100" fillId="24" borderId="11" xfId="0" applyFont="1" applyFill="1" applyBorder="1" applyAlignment="1">
      <alignment horizontal="left" vertical="center" textRotation="90" wrapText="1"/>
    </xf>
    <xf numFmtId="0" fontId="98" fillId="24" borderId="11" xfId="0" applyFont="1" applyFill="1" applyBorder="1" applyAlignment="1">
      <alignment horizontal="left" vertical="center" textRotation="90" wrapText="1"/>
    </xf>
    <xf numFmtId="49" fontId="47" fillId="24" borderId="11" xfId="0" applyNumberFormat="1" applyFont="1" applyFill="1" applyBorder="1" applyAlignment="1">
      <alignment horizontal="left" vertical="center"/>
    </xf>
    <xf numFmtId="0" fontId="98" fillId="24" borderId="11" xfId="0" applyFont="1" applyFill="1" applyBorder="1" applyAlignment="1">
      <alignment horizontal="justify" vertical="center" wrapText="1"/>
    </xf>
    <xf numFmtId="49" fontId="47" fillId="34" borderId="11" xfId="0" applyNumberFormat="1" applyFont="1" applyFill="1" applyBorder="1" applyAlignment="1">
      <alignment horizontal="left" vertical="center"/>
    </xf>
    <xf numFmtId="0" fontId="48" fillId="34" borderId="11" xfId="0" applyFont="1" applyFill="1" applyBorder="1" applyAlignment="1">
      <alignment horizontal="justify" vertical="center" wrapText="1"/>
    </xf>
    <xf numFmtId="0" fontId="48" fillId="34" borderId="11" xfId="0" applyFont="1" applyFill="1" applyBorder="1" applyAlignment="1">
      <alignment horizontal="left" vertical="center" textRotation="90" wrapText="1"/>
    </xf>
    <xf numFmtId="0" fontId="48" fillId="35" borderId="11" xfId="0" applyFont="1" applyFill="1" applyBorder="1" applyAlignment="1">
      <alignment horizontal="left" vertical="center" wrapText="1"/>
    </xf>
    <xf numFmtId="0" fontId="48" fillId="24" borderId="11" xfId="0" applyFont="1" applyFill="1" applyBorder="1" applyAlignment="1">
      <alignment horizontal="left" vertical="center" textRotation="90" wrapText="1"/>
    </xf>
    <xf numFmtId="49" fontId="48" fillId="24" borderId="11" xfId="0" applyNumberFormat="1" applyFont="1" applyFill="1" applyBorder="1" applyAlignment="1">
      <alignment horizontal="center" vertical="center"/>
    </xf>
    <xf numFmtId="49" fontId="48" fillId="24" borderId="11" xfId="0" applyNumberFormat="1" applyFont="1" applyFill="1" applyBorder="1" applyAlignment="1">
      <alignment horizontal="left" vertical="center"/>
    </xf>
    <xf numFmtId="0" fontId="48" fillId="0" borderId="11" xfId="0" applyFont="1" applyBorder="1" applyAlignment="1" applyProtection="1">
      <alignment horizontal="left" vertical="center" wrapText="1"/>
      <protection locked="0"/>
    </xf>
    <xf numFmtId="0" fontId="47" fillId="24" borderId="11" xfId="0" applyFont="1" applyFill="1" applyBorder="1" applyAlignment="1">
      <alignment horizontal="center" vertical="center"/>
    </xf>
    <xf numFmtId="0" fontId="88" fillId="23" borderId="11" xfId="0" applyFont="1" applyFill="1" applyBorder="1" applyAlignment="1">
      <alignment horizontal="left" vertical="center" textRotation="90" wrapText="1"/>
    </xf>
    <xf numFmtId="0" fontId="84" fillId="14" borderId="11" xfId="0" applyFont="1" applyFill="1" applyBorder="1" applyAlignment="1">
      <alignment horizontal="justify" vertical="center"/>
    </xf>
    <xf numFmtId="0" fontId="90" fillId="24" borderId="11" xfId="0" applyFont="1" applyFill="1" applyBorder="1" applyAlignment="1">
      <alignment horizontal="justify" vertical="center" wrapText="1"/>
    </xf>
    <xf numFmtId="0" fontId="100" fillId="24" borderId="11" xfId="0" applyFont="1" applyFill="1" applyBorder="1" applyAlignment="1">
      <alignment horizontal="center" vertical="center"/>
    </xf>
    <xf numFmtId="0" fontId="49" fillId="24" borderId="11" xfId="0" applyFont="1" applyFill="1" applyBorder="1" applyAlignment="1">
      <alignment horizontal="center" vertical="center"/>
    </xf>
    <xf numFmtId="49" fontId="49" fillId="0" borderId="11" xfId="0" applyNumberFormat="1" applyFont="1" applyBorder="1" applyAlignment="1">
      <alignment horizontal="justify" vertical="center" wrapText="1"/>
    </xf>
    <xf numFmtId="0" fontId="104" fillId="25" borderId="11" xfId="0" applyFont="1" applyFill="1" applyBorder="1" applyAlignment="1">
      <alignment horizontal="justify" vertical="center" wrapText="1"/>
    </xf>
    <xf numFmtId="0" fontId="109" fillId="24" borderId="11" xfId="0" applyFont="1" applyFill="1" applyBorder="1" applyAlignment="1">
      <alignment horizontal="justify" vertical="center"/>
    </xf>
    <xf numFmtId="0" fontId="96" fillId="24" borderId="17" xfId="0" applyFont="1" applyFill="1" applyBorder="1" applyAlignment="1">
      <alignment vertical="center"/>
    </xf>
    <xf numFmtId="0" fontId="49" fillId="24" borderId="17" xfId="0" applyFont="1" applyFill="1" applyBorder="1" applyAlignment="1">
      <alignment vertical="center"/>
    </xf>
    <xf numFmtId="166" fontId="98" fillId="24" borderId="17" xfId="0" applyNumberFormat="1" applyFont="1" applyFill="1" applyBorder="1" applyAlignment="1">
      <alignment vertical="center"/>
    </xf>
    <xf numFmtId="166" fontId="49" fillId="24" borderId="17" xfId="0" applyNumberFormat="1" applyFont="1" applyFill="1" applyBorder="1" applyAlignment="1">
      <alignment vertical="center"/>
    </xf>
    <xf numFmtId="166" fontId="105" fillId="24" borderId="17" xfId="0" applyNumberFormat="1" applyFont="1" applyFill="1" applyBorder="1" applyAlignment="1">
      <alignment vertical="center"/>
    </xf>
    <xf numFmtId="166" fontId="48" fillId="24" borderId="17" xfId="0" applyNumberFormat="1" applyFont="1" applyFill="1" applyBorder="1" applyAlignment="1">
      <alignment vertical="center"/>
    </xf>
    <xf numFmtId="49" fontId="48" fillId="24" borderId="17" xfId="0" applyNumberFormat="1" applyFont="1" applyFill="1" applyBorder="1" applyAlignment="1">
      <alignment vertical="center" wrapText="1"/>
    </xf>
    <xf numFmtId="170" fontId="97" fillId="0" borderId="11" xfId="22" applyNumberFormat="1" applyFont="1" applyBorder="1" applyAlignment="1">
      <alignment horizontal="justify" vertical="center"/>
    </xf>
    <xf numFmtId="166" fontId="123" fillId="24" borderId="11" xfId="0" applyNumberFormat="1" applyFont="1" applyFill="1" applyBorder="1" applyAlignment="1">
      <alignment horizontal="center" vertical="center"/>
    </xf>
    <xf numFmtId="166" fontId="125" fillId="24" borderId="11" xfId="0" applyNumberFormat="1" applyFont="1" applyFill="1" applyBorder="1" applyAlignment="1">
      <alignment horizontal="center" vertical="center"/>
    </xf>
    <xf numFmtId="166" fontId="125" fillId="26" borderId="11" xfId="0" applyNumberFormat="1" applyFont="1" applyFill="1" applyBorder="1" applyAlignment="1">
      <alignment horizontal="center" vertical="center"/>
    </xf>
    <xf numFmtId="166" fontId="127" fillId="0" borderId="11" xfId="0" applyNumberFormat="1" applyFont="1" applyBorder="1" applyAlignment="1">
      <alignment horizontal="justify" vertical="center"/>
    </xf>
    <xf numFmtId="0" fontId="96" fillId="19" borderId="11" xfId="0" applyFont="1" applyFill="1" applyBorder="1" applyAlignment="1">
      <alignment horizontal="justify" vertical="center"/>
    </xf>
    <xf numFmtId="0" fontId="49" fillId="19" borderId="11" xfId="0" applyFont="1" applyFill="1" applyBorder="1" applyAlignment="1">
      <alignment horizontal="justify" vertical="center"/>
    </xf>
    <xf numFmtId="166" fontId="98" fillId="19" borderId="11" xfId="0" applyNumberFormat="1" applyFont="1" applyFill="1" applyBorder="1" applyAlignment="1">
      <alignment horizontal="justify" vertical="center"/>
    </xf>
    <xf numFmtId="166" fontId="100" fillId="24" borderId="17" xfId="0" applyNumberFormat="1" applyFont="1" applyFill="1" applyBorder="1" applyAlignment="1">
      <alignment horizontal="left" vertical="center"/>
    </xf>
    <xf numFmtId="49" fontId="96" fillId="11" borderId="11" xfId="0" applyNumberFormat="1" applyFont="1" applyFill="1" applyBorder="1" applyAlignment="1">
      <alignment horizontal="justify" vertical="center"/>
    </xf>
    <xf numFmtId="49" fontId="96" fillId="18" borderId="11" xfId="0" applyNumberFormat="1" applyFont="1" applyFill="1" applyBorder="1" applyAlignment="1">
      <alignment horizontal="justify" vertical="center"/>
    </xf>
    <xf numFmtId="49" fontId="96" fillId="43" borderId="11" xfId="0" applyNumberFormat="1" applyFont="1" applyFill="1" applyBorder="1" applyAlignment="1">
      <alignment horizontal="justify" vertical="center"/>
    </xf>
    <xf numFmtId="0" fontId="48" fillId="41" borderId="11" xfId="0" applyFont="1" applyFill="1" applyBorder="1" applyAlignment="1">
      <alignment horizontal="justify" vertical="center" wrapText="1"/>
    </xf>
    <xf numFmtId="0" fontId="101" fillId="23" borderId="11" xfId="0" applyFont="1" applyFill="1" applyBorder="1" applyAlignment="1">
      <alignment horizontal="center" vertical="center"/>
    </xf>
    <xf numFmtId="0" fontId="91" fillId="24" borderId="11" xfId="0" applyFont="1" applyFill="1" applyBorder="1" applyAlignment="1">
      <alignment horizontal="justify" vertical="center" wrapText="1"/>
    </xf>
    <xf numFmtId="166" fontId="84" fillId="24" borderId="11" xfId="0" applyNumberFormat="1" applyFont="1" applyFill="1" applyBorder="1" applyAlignment="1">
      <alignment horizontal="center" vertical="center"/>
    </xf>
    <xf numFmtId="166" fontId="101" fillId="14" borderId="11" xfId="0" applyNumberFormat="1" applyFont="1" applyFill="1" applyBorder="1" applyAlignment="1">
      <alignment horizontal="center" vertical="center"/>
    </xf>
    <xf numFmtId="49" fontId="104" fillId="24" borderId="11" xfId="0" applyNumberFormat="1" applyFont="1" applyFill="1" applyBorder="1" applyAlignment="1">
      <alignment horizontal="justify" vertical="center"/>
    </xf>
    <xf numFmtId="49" fontId="95" fillId="24" borderId="11" xfId="0" applyNumberFormat="1" applyFont="1" applyFill="1" applyBorder="1" applyAlignment="1">
      <alignment horizontal="justify" vertical="center" wrapText="1"/>
    </xf>
    <xf numFmtId="166" fontId="126" fillId="27" borderId="11" xfId="0" applyNumberFormat="1" applyFont="1" applyFill="1" applyBorder="1" applyAlignment="1">
      <alignment horizontal="justify" vertical="center"/>
    </xf>
    <xf numFmtId="166" fontId="16" fillId="27" borderId="11" xfId="0" applyNumberFormat="1" applyFont="1" applyFill="1" applyBorder="1" applyAlignment="1">
      <alignment horizontal="center" vertical="center"/>
    </xf>
    <xf numFmtId="166" fontId="126" fillId="24" borderId="11" xfId="3" applyNumberFormat="1" applyFont="1" applyFill="1" applyBorder="1" applyAlignment="1">
      <alignment horizontal="justify" vertical="center"/>
    </xf>
    <xf numFmtId="2" fontId="48" fillId="0" borderId="11" xfId="0" applyNumberFormat="1" applyFont="1" applyBorder="1" applyAlignment="1">
      <alignment horizontal="justify" vertical="center"/>
    </xf>
    <xf numFmtId="2" fontId="105" fillId="0" borderId="11" xfId="0" applyNumberFormat="1" applyFont="1" applyBorder="1" applyAlignment="1">
      <alignment horizontal="justify" vertical="center"/>
    </xf>
    <xf numFmtId="166" fontId="105" fillId="11" borderId="11" xfId="0" applyNumberFormat="1" applyFont="1" applyFill="1" applyBorder="1" applyAlignment="1">
      <alignment horizontal="justify" vertical="center"/>
    </xf>
    <xf numFmtId="49" fontId="48" fillId="19" borderId="11" xfId="0" applyNumberFormat="1" applyFont="1" applyFill="1" applyBorder="1" applyAlignment="1">
      <alignment horizontal="justify" vertical="center"/>
    </xf>
    <xf numFmtId="0" fontId="48" fillId="19" borderId="11" xfId="0" applyFont="1" applyFill="1" applyBorder="1" applyAlignment="1">
      <alignment horizontal="justify" vertical="center"/>
    </xf>
    <xf numFmtId="49" fontId="48" fillId="23" borderId="11" xfId="0" applyNumberFormat="1" applyFont="1" applyFill="1" applyBorder="1" applyAlignment="1">
      <alignment horizontal="justify" vertical="center"/>
    </xf>
    <xf numFmtId="0" fontId="96" fillId="14" borderId="11" xfId="0" applyFont="1" applyFill="1" applyBorder="1" applyAlignment="1">
      <alignment horizontal="justify" vertical="center"/>
    </xf>
    <xf numFmtId="166" fontId="84" fillId="20" borderId="11" xfId="0" applyNumberFormat="1" applyFont="1" applyFill="1" applyBorder="1" applyAlignment="1">
      <alignment horizontal="center" vertical="center"/>
    </xf>
    <xf numFmtId="166" fontId="47" fillId="37" borderId="11" xfId="0" applyNumberFormat="1" applyFont="1" applyFill="1" applyBorder="1" applyAlignment="1">
      <alignment horizontal="center" vertical="center"/>
    </xf>
    <xf numFmtId="0" fontId="47" fillId="37" borderId="11" xfId="0" applyFont="1" applyFill="1" applyBorder="1" applyAlignment="1">
      <alignment horizontal="justify" vertical="center"/>
    </xf>
    <xf numFmtId="166" fontId="109" fillId="37" borderId="11" xfId="0" applyNumberFormat="1" applyFont="1" applyFill="1" applyBorder="1" applyAlignment="1">
      <alignment horizontal="center" vertical="center"/>
    </xf>
    <xf numFmtId="166" fontId="104" fillId="37" borderId="11" xfId="0" applyNumberFormat="1" applyFont="1" applyFill="1" applyBorder="1" applyAlignment="1">
      <alignment horizontal="justify" vertical="center"/>
    </xf>
    <xf numFmtId="49" fontId="83" fillId="37" borderId="11" xfId="0" applyNumberFormat="1" applyFont="1" applyFill="1" applyBorder="1" applyAlignment="1">
      <alignment horizontal="justify" vertical="center" wrapText="1"/>
    </xf>
    <xf numFmtId="0" fontId="39" fillId="11" borderId="45" xfId="0" applyFont="1" applyFill="1" applyBorder="1" applyAlignment="1">
      <alignment horizontal="left" vertical="center"/>
    </xf>
    <xf numFmtId="0" fontId="38" fillId="11" borderId="45" xfId="0" applyFont="1" applyFill="1" applyBorder="1" applyAlignment="1">
      <alignment horizontal="left" vertical="center" wrapText="1"/>
    </xf>
    <xf numFmtId="166" fontId="38" fillId="11" borderId="45" xfId="0" applyNumberFormat="1" applyFont="1" applyFill="1" applyBorder="1" applyAlignment="1">
      <alignment horizontal="left" vertical="center"/>
    </xf>
    <xf numFmtId="9" fontId="39" fillId="11" borderId="45" xfId="22" applyFont="1" applyFill="1" applyBorder="1" applyAlignment="1">
      <alignment horizontal="left" vertical="center"/>
    </xf>
    <xf numFmtId="166" fontId="40" fillId="11" borderId="45" xfId="0" applyNumberFormat="1" applyFont="1" applyFill="1" applyBorder="1" applyAlignment="1">
      <alignment horizontal="left" vertical="center"/>
    </xf>
    <xf numFmtId="166" fontId="39" fillId="28" borderId="45" xfId="0" applyNumberFormat="1" applyFont="1" applyFill="1" applyBorder="1" applyAlignment="1">
      <alignment horizontal="left" vertical="center" wrapText="1"/>
    </xf>
    <xf numFmtId="166" fontId="45" fillId="28" borderId="45" xfId="0" applyNumberFormat="1" applyFont="1" applyFill="1" applyBorder="1" applyAlignment="1">
      <alignment horizontal="left" vertical="center" wrapText="1"/>
    </xf>
    <xf numFmtId="166" fontId="38" fillId="11" borderId="45" xfId="0" applyNumberFormat="1" applyFont="1" applyFill="1" applyBorder="1" applyAlignment="1">
      <alignment horizontal="left" vertical="center" wrapText="1"/>
    </xf>
    <xf numFmtId="9" fontId="38" fillId="11" borderId="45" xfId="22" applyFont="1" applyFill="1" applyBorder="1" applyAlignment="1">
      <alignment horizontal="left" vertical="center" wrapText="1"/>
    </xf>
    <xf numFmtId="166" fontId="40" fillId="11" borderId="45" xfId="0" applyNumberFormat="1" applyFont="1" applyFill="1" applyBorder="1" applyAlignment="1">
      <alignment horizontal="left" vertical="center" wrapText="1"/>
    </xf>
    <xf numFmtId="166" fontId="48" fillId="39" borderId="0" xfId="0" applyNumberFormat="1" applyFont="1" applyFill="1" applyAlignment="1">
      <alignment horizontal="left" vertical="center"/>
    </xf>
    <xf numFmtId="0" fontId="48" fillId="39" borderId="0" xfId="0" applyFont="1" applyFill="1" applyAlignment="1">
      <alignment horizontal="left" vertical="center"/>
    </xf>
    <xf numFmtId="166" fontId="91" fillId="0" borderId="0" xfId="0" applyNumberFormat="1" applyFont="1" applyAlignment="1">
      <alignment horizontal="right" vertical="center"/>
    </xf>
    <xf numFmtId="49" fontId="83" fillId="24" borderId="11" xfId="0" applyNumberFormat="1" applyFont="1" applyFill="1" applyBorder="1" applyAlignment="1">
      <alignment horizontal="left" vertical="center" wrapText="1"/>
    </xf>
    <xf numFmtId="0" fontId="29" fillId="0" borderId="0" xfId="0" applyFont="1" applyAlignment="1">
      <alignment horizontal="center" wrapText="1"/>
    </xf>
    <xf numFmtId="0" fontId="39" fillId="0" borderId="0" xfId="0" applyFont="1" applyAlignment="1">
      <alignment horizontal="justify" vertical="center" wrapText="1"/>
    </xf>
    <xf numFmtId="0" fontId="119" fillId="0" borderId="16" xfId="0" applyFont="1" applyBorder="1" applyAlignment="1">
      <alignment horizontal="center" vertical="center" wrapText="1"/>
    </xf>
    <xf numFmtId="0" fontId="35" fillId="10" borderId="82" xfId="0" applyFont="1" applyFill="1" applyBorder="1" applyAlignment="1">
      <alignment horizontal="center" vertical="center" wrapText="1"/>
    </xf>
    <xf numFmtId="166" fontId="51" fillId="0" borderId="0" xfId="0" applyNumberFormat="1" applyFont="1" applyAlignment="1">
      <alignment horizontal="left" vertical="center"/>
    </xf>
    <xf numFmtId="166" fontId="78" fillId="0" borderId="0" xfId="0" applyNumberFormat="1" applyFont="1" applyAlignment="1">
      <alignment horizontal="left" vertical="center"/>
    </xf>
    <xf numFmtId="0" fontId="119" fillId="0" borderId="0" xfId="0" applyFont="1" applyAlignment="1">
      <alignment horizontal="center"/>
    </xf>
    <xf numFmtId="0" fontId="119" fillId="0" borderId="0" xfId="0" applyFont="1" applyAlignment="1">
      <alignment horizontal="left"/>
    </xf>
    <xf numFmtId="0" fontId="136" fillId="0" borderId="11" xfId="0" applyFont="1" applyBorder="1" applyAlignment="1">
      <alignment horizontal="center" vertical="center" wrapText="1"/>
    </xf>
    <xf numFmtId="0" fontId="136" fillId="18" borderId="11" xfId="0" applyFont="1" applyFill="1" applyBorder="1" applyAlignment="1">
      <alignment horizontal="center" vertical="center" wrapText="1"/>
    </xf>
    <xf numFmtId="0" fontId="136" fillId="18" borderId="0" xfId="0" applyFont="1" applyFill="1" applyAlignment="1">
      <alignment horizontal="center" vertical="center"/>
    </xf>
    <xf numFmtId="0" fontId="136" fillId="18" borderId="11" xfId="0" applyFont="1" applyFill="1" applyBorder="1" applyAlignment="1">
      <alignment horizontal="center" vertical="center"/>
    </xf>
    <xf numFmtId="0" fontId="119" fillId="0" borderId="19" xfId="0" applyFont="1" applyBorder="1" applyAlignment="1">
      <alignment horizontal="center" vertical="center" wrapText="1"/>
    </xf>
    <xf numFmtId="0" fontId="57" fillId="0" borderId="11" xfId="0" applyFont="1" applyBorder="1" applyAlignment="1">
      <alignment horizontal="center" vertical="center" wrapText="1"/>
    </xf>
    <xf numFmtId="9" fontId="57" fillId="0" borderId="11" xfId="0" applyNumberFormat="1" applyFont="1" applyBorder="1" applyAlignment="1">
      <alignment horizontal="center" vertical="center" wrapText="1"/>
    </xf>
    <xf numFmtId="0" fontId="137" fillId="0" borderId="11" xfId="0" applyFont="1" applyBorder="1" applyAlignment="1">
      <alignment horizontal="center" vertical="center" wrapText="1"/>
    </xf>
    <xf numFmtId="9" fontId="137" fillId="0" borderId="17" xfId="0" applyNumberFormat="1" applyFont="1" applyBorder="1" applyAlignment="1">
      <alignment horizontal="center" vertical="center" wrapText="1"/>
    </xf>
    <xf numFmtId="0" fontId="136" fillId="18" borderId="0" xfId="0" applyFont="1" applyFill="1" applyAlignment="1">
      <alignment horizontal="center" vertical="center" wrapText="1"/>
    </xf>
    <xf numFmtId="0" fontId="119" fillId="18" borderId="11" xfId="0" applyFont="1" applyFill="1" applyBorder="1" applyAlignment="1">
      <alignment horizontal="center"/>
    </xf>
    <xf numFmtId="0" fontId="119" fillId="18" borderId="17" xfId="0" applyFont="1" applyFill="1" applyBorder="1" applyAlignment="1">
      <alignment horizontal="center"/>
    </xf>
    <xf numFmtId="166" fontId="139" fillId="24" borderId="11" xfId="0" applyNumberFormat="1" applyFont="1" applyFill="1" applyBorder="1" applyAlignment="1">
      <alignment horizontal="justify" vertical="center"/>
    </xf>
    <xf numFmtId="9" fontId="93" fillId="0" borderId="11" xfId="22" applyFont="1" applyFill="1" applyBorder="1" applyAlignment="1">
      <alignment horizontal="justify" vertical="center"/>
    </xf>
    <xf numFmtId="49" fontId="91" fillId="24" borderId="11" xfId="0" applyNumberFormat="1" applyFont="1" applyFill="1" applyBorder="1" applyAlignment="1">
      <alignment vertical="center" wrapText="1"/>
    </xf>
    <xf numFmtId="166" fontId="93" fillId="24" borderId="11" xfId="0" applyNumberFormat="1" applyFont="1" applyFill="1" applyBorder="1" applyAlignment="1">
      <alignment horizontal="center" vertical="center"/>
    </xf>
    <xf numFmtId="9" fontId="33" fillId="0" borderId="0" xfId="22" applyFont="1"/>
    <xf numFmtId="166" fontId="93" fillId="0" borderId="12" xfId="0" applyNumberFormat="1" applyFont="1" applyBorder="1" applyAlignment="1">
      <alignment horizontal="justify" vertical="center"/>
    </xf>
    <xf numFmtId="0" fontId="48" fillId="31" borderId="11" xfId="0" applyFont="1" applyFill="1" applyBorder="1" applyAlignment="1">
      <alignment horizontal="justify" vertical="center"/>
    </xf>
    <xf numFmtId="0" fontId="96" fillId="5" borderId="11" xfId="0" applyFont="1" applyFill="1" applyBorder="1" applyAlignment="1">
      <alignment horizontal="justify" vertical="center" wrapText="1"/>
    </xf>
    <xf numFmtId="0" fontId="141" fillId="23" borderId="11" xfId="0" applyFont="1" applyFill="1" applyBorder="1" applyAlignment="1">
      <alignment horizontal="justify" vertical="center"/>
    </xf>
    <xf numFmtId="0" fontId="48" fillId="49" borderId="11" xfId="0" applyFont="1" applyFill="1" applyBorder="1" applyAlignment="1">
      <alignment horizontal="justify" vertical="center"/>
    </xf>
    <xf numFmtId="166" fontId="47" fillId="49" borderId="11" xfId="0" applyNumberFormat="1" applyFont="1" applyFill="1" applyBorder="1" applyAlignment="1">
      <alignment horizontal="justify" vertical="center"/>
    </xf>
    <xf numFmtId="9" fontId="47" fillId="49" borderId="11" xfId="22" applyFont="1" applyFill="1" applyBorder="1" applyAlignment="1">
      <alignment horizontal="justify" vertical="center"/>
    </xf>
    <xf numFmtId="0" fontId="47" fillId="49" borderId="11" xfId="0" applyFont="1" applyFill="1" applyBorder="1" applyAlignment="1">
      <alignment horizontal="justify" vertical="center"/>
    </xf>
    <xf numFmtId="9" fontId="125" fillId="24" borderId="11" xfId="22" applyFont="1" applyFill="1" applyBorder="1" applyAlignment="1">
      <alignment horizontal="justify" vertical="center"/>
    </xf>
    <xf numFmtId="9" fontId="96" fillId="37" borderId="11" xfId="22" applyFont="1" applyFill="1" applyBorder="1" applyAlignment="1">
      <alignment horizontal="justify" vertical="center"/>
    </xf>
    <xf numFmtId="9" fontId="96" fillId="20" borderId="11" xfId="22" applyFont="1" applyFill="1" applyBorder="1" applyAlignment="1">
      <alignment horizontal="justify" vertical="center"/>
    </xf>
    <xf numFmtId="9" fontId="49" fillId="37" borderId="11" xfId="22" applyFont="1" applyFill="1" applyBorder="1" applyAlignment="1">
      <alignment horizontal="justify" vertical="center"/>
    </xf>
    <xf numFmtId="9" fontId="140" fillId="0" borderId="0" xfId="22" applyFont="1" applyAlignment="1">
      <alignment horizontal="left" vertical="center"/>
    </xf>
    <xf numFmtId="9" fontId="139" fillId="0" borderId="0" xfId="22" applyFont="1" applyAlignment="1">
      <alignment vertical="center"/>
    </xf>
    <xf numFmtId="9" fontId="139" fillId="0" borderId="0" xfId="22" applyFont="1" applyAlignment="1">
      <alignment horizontal="left" vertical="center"/>
    </xf>
    <xf numFmtId="9" fontId="138" fillId="0" borderId="0" xfId="22" applyFont="1" applyAlignment="1">
      <alignment horizontal="left" vertical="center"/>
    </xf>
    <xf numFmtId="9" fontId="138" fillId="19" borderId="0" xfId="22" applyFont="1" applyFill="1" applyAlignment="1">
      <alignment horizontal="left" vertical="center"/>
    </xf>
    <xf numFmtId="0" fontId="101" fillId="25" borderId="11" xfId="0" applyFont="1" applyFill="1" applyBorder="1" applyAlignment="1">
      <alignment horizontal="justify" vertical="center" wrapText="1"/>
    </xf>
    <xf numFmtId="0" fontId="142" fillId="24" borderId="16" xfId="0" applyFont="1" applyFill="1" applyBorder="1" applyAlignment="1">
      <alignment horizontal="justify" vertical="center" wrapText="1"/>
    </xf>
    <xf numFmtId="166" fontId="142" fillId="24" borderId="11" xfId="0" applyNumberFormat="1" applyFont="1" applyFill="1" applyBorder="1" applyAlignment="1">
      <alignment horizontal="justify" vertical="center" wrapText="1"/>
    </xf>
    <xf numFmtId="0" fontId="142" fillId="25" borderId="11" xfId="0" applyFont="1" applyFill="1" applyBorder="1" applyAlignment="1">
      <alignment horizontal="justify" vertical="center" wrapText="1"/>
    </xf>
    <xf numFmtId="166" fontId="144" fillId="14" borderId="11" xfId="0" applyNumberFormat="1" applyFont="1" applyFill="1" applyBorder="1" applyAlignment="1">
      <alignment horizontal="justify" vertical="center"/>
    </xf>
    <xf numFmtId="166" fontId="145" fillId="24" borderId="11" xfId="0" applyNumberFormat="1" applyFont="1" applyFill="1" applyBorder="1" applyAlignment="1">
      <alignment horizontal="justify" vertical="center"/>
    </xf>
    <xf numFmtId="0" fontId="96" fillId="24" borderId="0" xfId="0" applyFont="1" applyFill="1" applyAlignment="1">
      <alignment horizontal="justify" vertical="center" wrapText="1"/>
    </xf>
    <xf numFmtId="49" fontId="131" fillId="24" borderId="8" xfId="0" applyNumberFormat="1" applyFont="1" applyFill="1" applyBorder="1" applyAlignment="1">
      <alignment horizontal="justify" vertical="center"/>
    </xf>
    <xf numFmtId="0" fontId="131" fillId="24" borderId="10" xfId="0" applyFont="1" applyFill="1" applyBorder="1" applyAlignment="1">
      <alignment horizontal="justify" vertical="center" textRotation="90" wrapText="1"/>
    </xf>
    <xf numFmtId="166" fontId="147" fillId="24" borderId="11" xfId="0" applyNumberFormat="1" applyFont="1" applyFill="1" applyBorder="1" applyAlignment="1">
      <alignment horizontal="justify" vertical="center"/>
    </xf>
    <xf numFmtId="166" fontId="142" fillId="24" borderId="11" xfId="0" applyNumberFormat="1" applyFont="1" applyFill="1" applyBorder="1" applyAlignment="1">
      <alignment horizontal="justify" vertical="center"/>
    </xf>
    <xf numFmtId="49" fontId="142" fillId="24" borderId="11" xfId="0" applyNumberFormat="1" applyFont="1" applyFill="1" applyBorder="1" applyAlignment="1">
      <alignment horizontal="justify" vertical="center"/>
    </xf>
    <xf numFmtId="0" fontId="142" fillId="24" borderId="11" xfId="0" applyFont="1" applyFill="1" applyBorder="1" applyAlignment="1">
      <alignment horizontal="justify" vertical="center" wrapText="1"/>
    </xf>
    <xf numFmtId="166" fontId="144" fillId="42" borderId="11" xfId="0" applyNumberFormat="1" applyFont="1" applyFill="1" applyBorder="1" applyAlignment="1">
      <alignment horizontal="justify" vertical="center"/>
    </xf>
    <xf numFmtId="0" fontId="145" fillId="24" borderId="11" xfId="0" applyFont="1" applyFill="1" applyBorder="1" applyAlignment="1">
      <alignment horizontal="justify" vertical="center"/>
    </xf>
    <xf numFmtId="9" fontId="145" fillId="24" borderId="11" xfId="22" applyFont="1" applyFill="1" applyBorder="1" applyAlignment="1">
      <alignment horizontal="justify" vertical="center"/>
    </xf>
    <xf numFmtId="0" fontId="48" fillId="24" borderId="21" xfId="0" applyFont="1" applyFill="1" applyBorder="1" applyAlignment="1">
      <alignment horizontal="justify" vertical="center"/>
    </xf>
    <xf numFmtId="166" fontId="84" fillId="24" borderId="9" xfId="0" applyNumberFormat="1" applyFont="1" applyFill="1" applyBorder="1" applyAlignment="1">
      <alignment horizontal="justify" vertical="center"/>
    </xf>
    <xf numFmtId="166" fontId="84" fillId="24" borderId="13" xfId="0" applyNumberFormat="1" applyFont="1" applyFill="1" applyBorder="1" applyAlignment="1">
      <alignment horizontal="justify" vertical="center"/>
    </xf>
    <xf numFmtId="0" fontId="48" fillId="24" borderId="10" xfId="0" applyFont="1" applyFill="1" applyBorder="1" applyAlignment="1">
      <alignment horizontal="justify" vertical="center"/>
    </xf>
    <xf numFmtId="166" fontId="83" fillId="24" borderId="12" xfId="0" applyNumberFormat="1" applyFont="1" applyFill="1" applyBorder="1" applyAlignment="1">
      <alignment horizontal="justify" vertical="center"/>
    </xf>
    <xf numFmtId="0" fontId="47" fillId="24" borderId="10" xfId="0" applyFont="1" applyFill="1" applyBorder="1" applyAlignment="1">
      <alignment horizontal="justify" vertical="center"/>
    </xf>
    <xf numFmtId="0" fontId="33" fillId="24" borderId="11" xfId="0" applyFont="1" applyFill="1" applyBorder="1" applyAlignment="1">
      <alignment horizontal="justify" vertical="center"/>
    </xf>
    <xf numFmtId="49" fontId="138" fillId="24" borderId="0" xfId="0" applyNumberFormat="1" applyFont="1" applyFill="1" applyAlignment="1">
      <alignment horizontal="justify" vertical="center"/>
    </xf>
    <xf numFmtId="166" fontId="144" fillId="24" borderId="11" xfId="0" applyNumberFormat="1" applyFont="1" applyFill="1" applyBorder="1" applyAlignment="1">
      <alignment horizontal="justify" vertical="center"/>
    </xf>
    <xf numFmtId="49" fontId="48" fillId="0" borderId="11" xfId="0" applyNumberFormat="1" applyFont="1" applyBorder="1" applyAlignment="1">
      <alignment horizontal="left" vertical="center"/>
    </xf>
    <xf numFmtId="0" fontId="48" fillId="0" borderId="11" xfId="0" applyFont="1" applyBorder="1" applyAlignment="1">
      <alignment horizontal="left" vertical="center" textRotation="90" wrapText="1"/>
    </xf>
    <xf numFmtId="49" fontId="48" fillId="0" borderId="11" xfId="0" applyNumberFormat="1" applyFont="1" applyBorder="1" applyAlignment="1">
      <alignment horizontal="center" vertical="center" wrapText="1"/>
    </xf>
    <xf numFmtId="166" fontId="146" fillId="0" borderId="11" xfId="0" applyNumberFormat="1" applyFont="1" applyBorder="1" applyAlignment="1">
      <alignment horizontal="justify" vertical="center"/>
    </xf>
    <xf numFmtId="166" fontId="142" fillId="24" borderId="17" xfId="0" applyNumberFormat="1" applyFont="1" applyFill="1" applyBorder="1" applyAlignment="1">
      <alignment horizontal="justify" vertical="center"/>
    </xf>
    <xf numFmtId="49" fontId="146" fillId="0" borderId="0" xfId="0" applyNumberFormat="1" applyFont="1" applyAlignment="1">
      <alignment vertical="center"/>
    </xf>
    <xf numFmtId="0" fontId="146" fillId="0" borderId="0" xfId="0" applyFont="1" applyAlignment="1">
      <alignment horizontal="left" vertical="center"/>
    </xf>
    <xf numFmtId="0" fontId="148" fillId="0" borderId="0" xfId="0" applyFont="1" applyAlignment="1">
      <alignment horizontal="left" vertical="center"/>
    </xf>
    <xf numFmtId="0" fontId="149" fillId="0" borderId="0" xfId="0" applyFont="1" applyAlignment="1">
      <alignment horizontal="justify" vertical="center"/>
    </xf>
    <xf numFmtId="0" fontId="146" fillId="0" borderId="0" xfId="0" applyFont="1" applyAlignment="1">
      <alignment horizontal="justify" vertical="center"/>
    </xf>
    <xf numFmtId="166" fontId="144" fillId="23" borderId="11" xfId="0" applyNumberFormat="1" applyFont="1" applyFill="1" applyBorder="1" applyAlignment="1">
      <alignment horizontal="justify" vertical="center" wrapText="1"/>
    </xf>
    <xf numFmtId="166" fontId="144" fillId="0" borderId="11" xfId="0" applyNumberFormat="1" applyFont="1" applyBorder="1" applyAlignment="1">
      <alignment horizontal="justify" vertical="center"/>
    </xf>
    <xf numFmtId="166" fontId="144" fillId="23" borderId="11" xfId="0" applyNumberFormat="1" applyFont="1" applyFill="1" applyBorder="1" applyAlignment="1">
      <alignment horizontal="justify" vertical="center"/>
    </xf>
    <xf numFmtId="166" fontId="146" fillId="24" borderId="11" xfId="0" applyNumberFormat="1" applyFont="1" applyFill="1" applyBorder="1" applyAlignment="1">
      <alignment horizontal="justify" vertical="center"/>
    </xf>
    <xf numFmtId="166" fontId="142" fillId="27" borderId="11" xfId="0" applyNumberFormat="1" applyFont="1" applyFill="1" applyBorder="1" applyAlignment="1">
      <alignment horizontal="justify" vertical="center"/>
    </xf>
    <xf numFmtId="166" fontId="145" fillId="27" borderId="11" xfId="0" applyNumberFormat="1" applyFont="1" applyFill="1" applyBorder="1" applyAlignment="1">
      <alignment horizontal="justify" vertical="center"/>
    </xf>
    <xf numFmtId="166" fontId="142" fillId="0" borderId="11" xfId="0" applyNumberFormat="1" applyFont="1" applyBorder="1" applyAlignment="1">
      <alignment horizontal="justify" vertical="center"/>
    </xf>
    <xf numFmtId="166" fontId="142" fillId="14" borderId="11" xfId="0" applyNumberFormat="1" applyFont="1" applyFill="1" applyBorder="1" applyAlignment="1">
      <alignment horizontal="justify" vertical="center"/>
    </xf>
    <xf numFmtId="166" fontId="145" fillId="14" borderId="11" xfId="0" applyNumberFormat="1" applyFont="1" applyFill="1" applyBorder="1" applyAlignment="1">
      <alignment horizontal="justify" vertical="center"/>
    </xf>
    <xf numFmtId="43" fontId="146" fillId="0" borderId="11" xfId="21" applyFont="1" applyFill="1" applyBorder="1" applyAlignment="1">
      <alignment horizontal="justify" vertical="center"/>
    </xf>
    <xf numFmtId="0" fontId="144" fillId="11" borderId="11" xfId="0" applyFont="1" applyFill="1" applyBorder="1" applyAlignment="1">
      <alignment horizontal="center" vertical="center" wrapText="1"/>
    </xf>
    <xf numFmtId="166" fontId="144" fillId="0" borderId="11" xfId="0" applyNumberFormat="1" applyFont="1" applyBorder="1" applyAlignment="1">
      <alignment horizontal="justify" vertical="center" wrapText="1"/>
    </xf>
    <xf numFmtId="9" fontId="144" fillId="14" borderId="11" xfId="22" applyFont="1" applyFill="1" applyBorder="1" applyAlignment="1">
      <alignment horizontal="justify" vertical="center" wrapText="1"/>
    </xf>
    <xf numFmtId="0" fontId="152" fillId="0" borderId="0" xfId="0" applyFont="1" applyAlignment="1">
      <alignment horizontal="justify" vertical="center"/>
    </xf>
    <xf numFmtId="0" fontId="142" fillId="24" borderId="11" xfId="0" applyFont="1" applyFill="1" applyBorder="1" applyAlignment="1">
      <alignment horizontal="justify" vertical="center"/>
    </xf>
    <xf numFmtId="9" fontId="142" fillId="24" borderId="11" xfId="22" applyFont="1" applyFill="1" applyBorder="1" applyAlignment="1">
      <alignment horizontal="justify" vertical="center"/>
    </xf>
    <xf numFmtId="0" fontId="153" fillId="24" borderId="11" xfId="0" applyFont="1" applyFill="1" applyBorder="1" applyAlignment="1">
      <alignment horizontal="justify" vertical="center"/>
    </xf>
    <xf numFmtId="166" fontId="153" fillId="24" borderId="11" xfId="0" applyNumberFormat="1" applyFont="1" applyFill="1" applyBorder="1" applyAlignment="1">
      <alignment horizontal="justify" vertical="center"/>
    </xf>
    <xf numFmtId="9" fontId="153" fillId="24" borderId="11" xfId="22" applyFont="1" applyFill="1" applyBorder="1" applyAlignment="1">
      <alignment horizontal="justify" vertical="center"/>
    </xf>
    <xf numFmtId="166" fontId="149" fillId="0" borderId="0" xfId="0" applyNumberFormat="1" applyFont="1" applyAlignment="1">
      <alignment horizontal="justify" vertical="center"/>
    </xf>
    <xf numFmtId="0" fontId="133" fillId="0" borderId="0" xfId="0" applyFont="1" applyAlignment="1">
      <alignment horizontal="justify" vertical="center"/>
    </xf>
    <xf numFmtId="0" fontId="150" fillId="0" borderId="0" xfId="0" applyFont="1" applyAlignment="1">
      <alignment horizontal="justify" vertical="center"/>
    </xf>
    <xf numFmtId="166" fontId="133" fillId="0" borderId="0" xfId="0" applyNumberFormat="1" applyFont="1" applyAlignment="1">
      <alignment horizontal="justify" vertical="center"/>
    </xf>
    <xf numFmtId="166" fontId="150" fillId="0" borderId="0" xfId="0" applyNumberFormat="1" applyFont="1" applyAlignment="1">
      <alignment horizontal="justify" vertical="center"/>
    </xf>
    <xf numFmtId="166" fontId="135" fillId="0" borderId="0" xfId="0" applyNumberFormat="1" applyFont="1" applyAlignment="1">
      <alignment horizontal="justify" vertical="center"/>
    </xf>
    <xf numFmtId="166" fontId="151" fillId="0" borderId="0" xfId="0" applyNumberFormat="1" applyFont="1" applyAlignment="1">
      <alignment horizontal="justify" vertical="center"/>
    </xf>
    <xf numFmtId="0" fontId="154" fillId="0" borderId="0" xfId="0" applyFont="1" applyAlignment="1">
      <alignment horizontal="justify" vertical="center" wrapText="1"/>
    </xf>
    <xf numFmtId="0" fontId="48" fillId="0" borderId="0" xfId="0" applyFont="1" applyAlignment="1">
      <alignment horizontal="justify" vertical="center" wrapText="1"/>
    </xf>
    <xf numFmtId="9" fontId="144" fillId="23" borderId="11" xfId="22" applyFont="1" applyFill="1" applyBorder="1" applyAlignment="1">
      <alignment horizontal="justify" vertical="center"/>
    </xf>
    <xf numFmtId="9" fontId="146" fillId="24" borderId="11" xfId="22" applyFont="1" applyFill="1" applyBorder="1" applyAlignment="1">
      <alignment horizontal="justify" vertical="center"/>
    </xf>
    <xf numFmtId="0" fontId="155" fillId="0" borderId="0" xfId="0" applyFont="1" applyAlignment="1">
      <alignment horizontal="left" vertical="center"/>
    </xf>
    <xf numFmtId="166" fontId="144" fillId="23" borderId="11" xfId="0" applyNumberFormat="1" applyFont="1" applyFill="1" applyBorder="1" applyAlignment="1">
      <alignment horizontal="left" vertical="center" wrapText="1"/>
    </xf>
    <xf numFmtId="166" fontId="144" fillId="0" borderId="11" xfId="0" applyNumberFormat="1" applyFont="1" applyBorder="1" applyAlignment="1">
      <alignment horizontal="left" vertical="center"/>
    </xf>
    <xf numFmtId="166" fontId="144" fillId="14" borderId="11" xfId="0" applyNumberFormat="1" applyFont="1" applyFill="1" applyBorder="1" applyAlignment="1">
      <alignment horizontal="left" vertical="center"/>
    </xf>
    <xf numFmtId="166" fontId="142" fillId="24" borderId="11" xfId="0" applyNumberFormat="1" applyFont="1" applyFill="1" applyBorder="1" applyAlignment="1">
      <alignment horizontal="left" vertical="center"/>
    </xf>
    <xf numFmtId="166" fontId="145" fillId="24" borderId="11" xfId="0" applyNumberFormat="1" applyFont="1" applyFill="1" applyBorder="1" applyAlignment="1">
      <alignment horizontal="left" vertical="center"/>
    </xf>
    <xf numFmtId="166" fontId="144" fillId="15" borderId="11" xfId="0" applyNumberFormat="1" applyFont="1" applyFill="1" applyBorder="1" applyAlignment="1">
      <alignment horizontal="left" vertical="center" wrapText="1"/>
    </xf>
    <xf numFmtId="166" fontId="144" fillId="23" borderId="11" xfId="0" applyNumberFormat="1" applyFont="1" applyFill="1" applyBorder="1" applyAlignment="1">
      <alignment horizontal="left" vertical="center"/>
    </xf>
    <xf numFmtId="166" fontId="146" fillId="34" borderId="11" xfId="0" applyNumberFormat="1" applyFont="1" applyFill="1" applyBorder="1" applyAlignment="1">
      <alignment horizontal="left" vertical="center"/>
    </xf>
    <xf numFmtId="166" fontId="142" fillId="40" borderId="11" xfId="0" applyNumberFormat="1" applyFont="1" applyFill="1" applyBorder="1" applyAlignment="1">
      <alignment horizontal="left" vertical="center"/>
    </xf>
    <xf numFmtId="166" fontId="142" fillId="24" borderId="17" xfId="0" applyNumberFormat="1" applyFont="1" applyFill="1" applyBorder="1" applyAlignment="1">
      <alignment horizontal="left" vertical="center"/>
    </xf>
    <xf numFmtId="166" fontId="142" fillId="24" borderId="28" xfId="0" applyNumberFormat="1" applyFont="1" applyFill="1" applyBorder="1" applyAlignment="1">
      <alignment horizontal="left" vertical="center"/>
    </xf>
    <xf numFmtId="0" fontId="144" fillId="11" borderId="12" xfId="0" applyFont="1" applyFill="1" applyBorder="1" applyAlignment="1">
      <alignment horizontal="center" vertical="center" wrapText="1"/>
    </xf>
    <xf numFmtId="166" fontId="144" fillId="0" borderId="28" xfId="0" applyNumberFormat="1" applyFont="1" applyBorder="1" applyAlignment="1">
      <alignment horizontal="left" vertical="center" wrapText="1"/>
    </xf>
    <xf numFmtId="166" fontId="144" fillId="0" borderId="11" xfId="0" applyNumberFormat="1" applyFont="1" applyBorder="1" applyAlignment="1">
      <alignment horizontal="left" vertical="center" wrapText="1"/>
    </xf>
    <xf numFmtId="0" fontId="149" fillId="0" borderId="0" xfId="0" applyFont="1" applyAlignment="1">
      <alignment horizontal="left" vertical="center"/>
    </xf>
    <xf numFmtId="0" fontId="156" fillId="0" borderId="0" xfId="0" applyFont="1" applyAlignment="1">
      <alignment horizontal="left" vertical="center"/>
    </xf>
    <xf numFmtId="166" fontId="149" fillId="0" borderId="0" xfId="0" applyNumberFormat="1" applyFont="1" applyAlignment="1">
      <alignment horizontal="left" vertical="center"/>
    </xf>
    <xf numFmtId="166" fontId="144" fillId="24" borderId="11" xfId="0" applyNumberFormat="1" applyFont="1" applyFill="1" applyBorder="1" applyAlignment="1">
      <alignment horizontal="left" vertical="center"/>
    </xf>
    <xf numFmtId="9" fontId="144" fillId="0" borderId="11" xfId="22" applyFont="1" applyBorder="1" applyAlignment="1">
      <alignment horizontal="left" vertical="center" wrapText="1"/>
    </xf>
    <xf numFmtId="0" fontId="149" fillId="19" borderId="0" xfId="0" applyFont="1" applyFill="1" applyAlignment="1">
      <alignment horizontal="left" vertical="center"/>
    </xf>
    <xf numFmtId="166" fontId="149" fillId="19" borderId="0" xfId="0" applyNumberFormat="1" applyFont="1" applyFill="1" applyAlignment="1">
      <alignment horizontal="left" vertical="center"/>
    </xf>
    <xf numFmtId="9" fontId="144" fillId="14" borderId="11" xfId="22" applyFont="1" applyFill="1" applyBorder="1" applyAlignment="1">
      <alignment horizontal="left" vertical="center"/>
    </xf>
    <xf numFmtId="0" fontId="77" fillId="0" borderId="0" xfId="0" applyFont="1" applyAlignment="1">
      <alignment horizontal="left" vertical="center" wrapText="1"/>
    </xf>
    <xf numFmtId="166" fontId="142" fillId="51" borderId="11" xfId="0" applyNumberFormat="1" applyFont="1" applyFill="1" applyBorder="1" applyAlignment="1">
      <alignment horizontal="left" vertical="center"/>
    </xf>
    <xf numFmtId="166" fontId="96" fillId="51" borderId="11" xfId="0" applyNumberFormat="1" applyFont="1" applyFill="1" applyBorder="1" applyAlignment="1">
      <alignment horizontal="left" vertical="center"/>
    </xf>
    <xf numFmtId="0" fontId="146" fillId="0" borderId="11" xfId="0" applyFont="1" applyBorder="1" applyAlignment="1">
      <alignment horizontal="justify" vertical="center" wrapText="1"/>
    </xf>
    <xf numFmtId="0" fontId="157" fillId="0" borderId="0" xfId="0" applyFont="1" applyAlignment="1">
      <alignment horizontal="center" vertical="top" wrapText="1"/>
    </xf>
    <xf numFmtId="0" fontId="157" fillId="0" borderId="0" xfId="0" applyFont="1"/>
    <xf numFmtId="0" fontId="158" fillId="0" borderId="0" xfId="0" applyFont="1" applyAlignment="1">
      <alignment vertical="top"/>
    </xf>
    <xf numFmtId="0" fontId="158" fillId="0" borderId="0" xfId="0" applyFont="1" applyAlignment="1">
      <alignment horizontal="left" vertical="top" wrapText="1"/>
    </xf>
    <xf numFmtId="166" fontId="159" fillId="23" borderId="11" xfId="0" applyNumberFormat="1" applyFont="1" applyFill="1" applyBorder="1" applyAlignment="1">
      <alignment horizontal="justify" vertical="center" wrapText="1"/>
    </xf>
    <xf numFmtId="166" fontId="159" fillId="0" borderId="11" xfId="0" applyNumberFormat="1" applyFont="1" applyBorder="1" applyAlignment="1">
      <alignment horizontal="justify" vertical="center"/>
    </xf>
    <xf numFmtId="166" fontId="159" fillId="14" borderId="11" xfId="0" applyNumberFormat="1" applyFont="1" applyFill="1" applyBorder="1" applyAlignment="1">
      <alignment horizontal="justify" vertical="center"/>
    </xf>
    <xf numFmtId="166" fontId="143" fillId="24" borderId="11" xfId="0" applyNumberFormat="1" applyFont="1" applyFill="1" applyBorder="1" applyAlignment="1">
      <alignment horizontal="justify" vertical="center"/>
    </xf>
    <xf numFmtId="166" fontId="161" fillId="24" borderId="11" xfId="0" applyNumberFormat="1" applyFont="1" applyFill="1" applyBorder="1" applyAlignment="1">
      <alignment horizontal="justify" vertical="center"/>
    </xf>
    <xf numFmtId="166" fontId="161" fillId="0" borderId="11" xfId="0" applyNumberFormat="1" applyFont="1" applyBorder="1" applyAlignment="1">
      <alignment horizontal="justify" vertical="center"/>
    </xf>
    <xf numFmtId="166" fontId="159" fillId="24" borderId="11" xfId="0" applyNumberFormat="1" applyFont="1" applyFill="1" applyBorder="1" applyAlignment="1">
      <alignment horizontal="justify" vertical="center"/>
    </xf>
    <xf numFmtId="166" fontId="143" fillId="37" borderId="11" xfId="0" applyNumberFormat="1" applyFont="1" applyFill="1" applyBorder="1" applyAlignment="1">
      <alignment horizontal="justify" vertical="center"/>
    </xf>
    <xf numFmtId="166" fontId="162" fillId="24" borderId="11" xfId="0" applyNumberFormat="1" applyFont="1" applyFill="1" applyBorder="1" applyAlignment="1">
      <alignment horizontal="justify" vertical="center"/>
    </xf>
    <xf numFmtId="166" fontId="162" fillId="0" borderId="11" xfId="0" applyNumberFormat="1" applyFont="1" applyBorder="1" applyAlignment="1">
      <alignment horizontal="justify" vertical="center"/>
    </xf>
    <xf numFmtId="166" fontId="143" fillId="19" borderId="11" xfId="0" applyNumberFormat="1" applyFont="1" applyFill="1" applyBorder="1" applyAlignment="1">
      <alignment horizontal="justify" vertical="center"/>
    </xf>
    <xf numFmtId="166" fontId="160" fillId="24" borderId="11" xfId="0" applyNumberFormat="1" applyFont="1" applyFill="1" applyBorder="1" applyAlignment="1">
      <alignment horizontal="justify" vertical="center"/>
    </xf>
    <xf numFmtId="166" fontId="160" fillId="20" borderId="11" xfId="0" applyNumberFormat="1" applyFont="1" applyFill="1" applyBorder="1" applyAlignment="1">
      <alignment horizontal="justify" vertical="center"/>
    </xf>
    <xf numFmtId="166" fontId="143" fillId="20" borderId="11" xfId="0" applyNumberFormat="1" applyFont="1" applyFill="1" applyBorder="1" applyAlignment="1">
      <alignment horizontal="justify" vertical="center"/>
    </xf>
    <xf numFmtId="166" fontId="159" fillId="28" borderId="11" xfId="0" applyNumberFormat="1" applyFont="1" applyFill="1" applyBorder="1" applyAlignment="1">
      <alignment horizontal="justify" vertical="center"/>
    </xf>
    <xf numFmtId="166" fontId="160" fillId="37" borderId="11" xfId="0" applyNumberFormat="1" applyFont="1" applyFill="1" applyBorder="1" applyAlignment="1">
      <alignment horizontal="justify" vertical="center"/>
    </xf>
    <xf numFmtId="166" fontId="160" fillId="24" borderId="17" xfId="0" applyNumberFormat="1" applyFont="1" applyFill="1" applyBorder="1" applyAlignment="1">
      <alignment vertical="center"/>
    </xf>
    <xf numFmtId="166" fontId="160" fillId="24" borderId="11" xfId="0" applyNumberFormat="1" applyFont="1" applyFill="1" applyBorder="1" applyAlignment="1">
      <alignment vertical="center"/>
    </xf>
    <xf numFmtId="166" fontId="143" fillId="24" borderId="11" xfId="0" applyNumberFormat="1" applyFont="1" applyFill="1" applyBorder="1" applyAlignment="1">
      <alignment vertical="center"/>
    </xf>
    <xf numFmtId="0" fontId="159" fillId="11" borderId="11" xfId="0" applyFont="1" applyFill="1" applyBorder="1" applyAlignment="1">
      <alignment horizontal="center" vertical="center" wrapText="1"/>
    </xf>
    <xf numFmtId="166" fontId="159" fillId="0" borderId="11" xfId="0" applyNumberFormat="1" applyFont="1" applyBorder="1" applyAlignment="1">
      <alignment vertical="center"/>
    </xf>
    <xf numFmtId="0" fontId="162" fillId="0" borderId="0" xfId="0" applyFont="1" applyAlignment="1">
      <alignment vertical="center"/>
    </xf>
    <xf numFmtId="0" fontId="158" fillId="0" borderId="0" xfId="0" applyFont="1"/>
    <xf numFmtId="0" fontId="160" fillId="0" borderId="0" xfId="0" applyFont="1" applyAlignment="1">
      <alignment vertical="center"/>
    </xf>
    <xf numFmtId="0" fontId="163" fillId="0" borderId="0" xfId="0" applyFont="1"/>
    <xf numFmtId="166" fontId="163" fillId="0" borderId="0" xfId="0" applyNumberFormat="1" applyFont="1"/>
    <xf numFmtId="166" fontId="164" fillId="0" borderId="0" xfId="0" applyNumberFormat="1" applyFont="1"/>
    <xf numFmtId="0" fontId="157" fillId="0" borderId="0" xfId="0" applyFont="1" applyAlignment="1">
      <alignment vertical="top"/>
    </xf>
    <xf numFmtId="0" fontId="162" fillId="0" borderId="0" xfId="0" applyFont="1" applyAlignment="1">
      <alignment horizontal="left" vertical="top" wrapText="1"/>
    </xf>
    <xf numFmtId="166" fontId="159" fillId="0" borderId="11" xfId="0" applyNumberFormat="1" applyFont="1" applyBorder="1" applyAlignment="1">
      <alignment vertical="center" wrapText="1"/>
    </xf>
    <xf numFmtId="9" fontId="159" fillId="0" borderId="11" xfId="22" applyFont="1" applyBorder="1" applyAlignment="1">
      <alignment vertical="center" wrapText="1"/>
    </xf>
    <xf numFmtId="1" fontId="125" fillId="24" borderId="11" xfId="0" applyNumberFormat="1" applyFont="1" applyFill="1" applyBorder="1" applyAlignment="1">
      <alignment horizontal="justify" vertical="center"/>
    </xf>
    <xf numFmtId="0" fontId="143" fillId="0" borderId="0" xfId="0" applyFont="1" applyAlignment="1">
      <alignment horizontal="left" vertical="center" wrapText="1"/>
    </xf>
    <xf numFmtId="0" fontId="162" fillId="0" borderId="0" xfId="0" applyFont="1" applyAlignment="1">
      <alignment horizontal="left" vertical="center" wrapText="1"/>
    </xf>
    <xf numFmtId="0" fontId="162" fillId="0" borderId="0" xfId="0" applyFont="1" applyAlignment="1">
      <alignment horizontal="left" vertical="center"/>
    </xf>
    <xf numFmtId="166" fontId="159" fillId="23" borderId="11" xfId="0" applyNumberFormat="1" applyFont="1" applyFill="1" applyBorder="1" applyAlignment="1">
      <alignment horizontal="justify" vertical="center"/>
    </xf>
    <xf numFmtId="166" fontId="143" fillId="0" borderId="11" xfId="0" applyNumberFormat="1" applyFont="1" applyBorder="1" applyAlignment="1">
      <alignment horizontal="justify" vertical="center"/>
    </xf>
    <xf numFmtId="166" fontId="161" fillId="27" borderId="11" xfId="0" applyNumberFormat="1" applyFont="1" applyFill="1" applyBorder="1" applyAlignment="1">
      <alignment horizontal="justify" vertical="center"/>
    </xf>
    <xf numFmtId="166" fontId="143" fillId="24" borderId="12" xfId="0" applyNumberFormat="1" applyFont="1" applyFill="1" applyBorder="1" applyAlignment="1">
      <alignment horizontal="left" vertical="center"/>
    </xf>
    <xf numFmtId="166" fontId="159" fillId="23" borderId="12" xfId="0" applyNumberFormat="1" applyFont="1" applyFill="1" applyBorder="1" applyAlignment="1">
      <alignment horizontal="left" vertical="center"/>
    </xf>
    <xf numFmtId="166" fontId="159" fillId="0" borderId="28" xfId="0" applyNumberFormat="1" applyFont="1" applyBorder="1" applyAlignment="1">
      <alignment horizontal="left" vertical="center"/>
    </xf>
    <xf numFmtId="166" fontId="159" fillId="0" borderId="12" xfId="0" applyNumberFormat="1" applyFont="1" applyBorder="1" applyAlignment="1">
      <alignment horizontal="left" vertical="center"/>
    </xf>
    <xf numFmtId="166" fontId="159" fillId="14" borderId="12" xfId="0" applyNumberFormat="1" applyFont="1" applyFill="1" applyBorder="1" applyAlignment="1">
      <alignment horizontal="left" vertical="center"/>
    </xf>
    <xf numFmtId="0" fontId="159" fillId="11" borderId="12" xfId="0" applyFont="1" applyFill="1" applyBorder="1" applyAlignment="1">
      <alignment horizontal="left" vertical="center" wrapText="1"/>
    </xf>
    <xf numFmtId="166" fontId="159" fillId="0" borderId="17" xfId="0" applyNumberFormat="1" applyFont="1" applyBorder="1" applyAlignment="1">
      <alignment horizontal="left" vertical="center" wrapText="1"/>
    </xf>
    <xf numFmtId="166" fontId="159" fillId="0" borderId="11" xfId="0" applyNumberFormat="1" applyFont="1" applyBorder="1" applyAlignment="1">
      <alignment horizontal="left" vertical="center"/>
    </xf>
    <xf numFmtId="166" fontId="143" fillId="24" borderId="11" xfId="0" applyNumberFormat="1" applyFont="1" applyFill="1" applyBorder="1" applyAlignment="1">
      <alignment horizontal="left" vertical="center"/>
    </xf>
    <xf numFmtId="166" fontId="159" fillId="0" borderId="7" xfId="0" applyNumberFormat="1" applyFont="1" applyBorder="1" applyAlignment="1">
      <alignment horizontal="left" vertical="center"/>
    </xf>
    <xf numFmtId="166" fontId="159" fillId="0" borderId="11" xfId="0" applyNumberFormat="1" applyFont="1" applyBorder="1" applyAlignment="1">
      <alignment horizontal="left" vertical="center" wrapText="1"/>
    </xf>
    <xf numFmtId="9" fontId="159" fillId="0" borderId="17" xfId="22" applyFont="1" applyFill="1" applyBorder="1" applyAlignment="1">
      <alignment horizontal="left" vertical="center" wrapText="1"/>
    </xf>
    <xf numFmtId="0" fontId="159" fillId="0" borderId="0" xfId="0" applyFont="1" applyAlignment="1">
      <alignment vertical="center"/>
    </xf>
    <xf numFmtId="166" fontId="162" fillId="0" borderId="0" xfId="0" applyNumberFormat="1" applyFont="1" applyAlignment="1">
      <alignment horizontal="left" vertical="center"/>
    </xf>
    <xf numFmtId="166" fontId="159" fillId="23" borderId="11" xfId="0" applyNumberFormat="1" applyFont="1" applyFill="1" applyBorder="1" applyAlignment="1">
      <alignment horizontal="left" vertical="center"/>
    </xf>
    <xf numFmtId="166" fontId="159" fillId="14" borderId="11" xfId="0" applyNumberFormat="1" applyFont="1" applyFill="1" applyBorder="1" applyAlignment="1">
      <alignment horizontal="left" vertical="center"/>
    </xf>
    <xf numFmtId="0" fontId="159" fillId="11" borderId="11" xfId="0" applyFont="1" applyFill="1" applyBorder="1" applyAlignment="1">
      <alignment horizontal="left" vertical="center" wrapText="1"/>
    </xf>
    <xf numFmtId="0" fontId="159" fillId="0" borderId="0" xfId="0" applyFont="1" applyAlignment="1">
      <alignment horizontal="left" vertical="center"/>
    </xf>
    <xf numFmtId="49" fontId="48" fillId="51" borderId="11" xfId="0" applyNumberFormat="1" applyFont="1" applyFill="1" applyBorder="1" applyAlignment="1">
      <alignment horizontal="justify" vertical="center"/>
    </xf>
    <xf numFmtId="9" fontId="47" fillId="51" borderId="11" xfId="22" applyFont="1" applyFill="1" applyBorder="1" applyAlignment="1">
      <alignment horizontal="justify" vertical="center"/>
    </xf>
    <xf numFmtId="166" fontId="83" fillId="51" borderId="11" xfId="0" applyNumberFormat="1" applyFont="1" applyFill="1" applyBorder="1" applyAlignment="1">
      <alignment horizontal="justify" vertical="center"/>
    </xf>
    <xf numFmtId="49" fontId="142" fillId="0" borderId="0" xfId="0" applyNumberFormat="1" applyFont="1" applyAlignment="1">
      <alignment vertical="center"/>
    </xf>
    <xf numFmtId="0" fontId="142" fillId="0" borderId="0" xfId="0" applyFont="1" applyAlignment="1">
      <alignment horizontal="left" vertical="center"/>
    </xf>
    <xf numFmtId="166" fontId="145" fillId="11" borderId="11" xfId="0" applyNumberFormat="1" applyFont="1" applyFill="1" applyBorder="1" applyAlignment="1">
      <alignment horizontal="justify" vertical="center"/>
    </xf>
    <xf numFmtId="166" fontId="145" fillId="18" borderId="11" xfId="0" applyNumberFormat="1" applyFont="1" applyFill="1" applyBorder="1" applyAlignment="1">
      <alignment horizontal="justify" vertical="center"/>
    </xf>
    <xf numFmtId="166" fontId="144" fillId="28" borderId="11" xfId="0" applyNumberFormat="1" applyFont="1" applyFill="1" applyBorder="1" applyAlignment="1">
      <alignment horizontal="justify" vertical="center"/>
    </xf>
    <xf numFmtId="166" fontId="142" fillId="11" borderId="11" xfId="0" applyNumberFormat="1" applyFont="1" applyFill="1" applyBorder="1" applyAlignment="1">
      <alignment horizontal="justify" vertical="center"/>
    </xf>
    <xf numFmtId="166" fontId="142" fillId="43" borderId="11" xfId="0" applyNumberFormat="1" applyFont="1" applyFill="1" applyBorder="1" applyAlignment="1">
      <alignment horizontal="justify" vertical="center"/>
    </xf>
    <xf numFmtId="166" fontId="142" fillId="18" borderId="11" xfId="0" applyNumberFormat="1" applyFont="1" applyFill="1" applyBorder="1" applyAlignment="1">
      <alignment horizontal="justify" vertical="center"/>
    </xf>
    <xf numFmtId="166" fontId="144" fillId="40" borderId="11" xfId="0" applyNumberFormat="1" applyFont="1" applyFill="1" applyBorder="1" applyAlignment="1">
      <alignment horizontal="justify" vertical="center"/>
    </xf>
    <xf numFmtId="166" fontId="146" fillId="40" borderId="11" xfId="0" applyNumberFormat="1" applyFont="1" applyFill="1" applyBorder="1" applyAlignment="1">
      <alignment horizontal="justify" vertical="center"/>
    </xf>
    <xf numFmtId="166" fontId="145" fillId="24" borderId="17" xfId="0" applyNumberFormat="1" applyFont="1" applyFill="1" applyBorder="1" applyAlignment="1">
      <alignment horizontal="left" vertical="center"/>
    </xf>
    <xf numFmtId="166" fontId="142" fillId="43" borderId="11" xfId="0" applyNumberFormat="1" applyFont="1" applyFill="1" applyBorder="1" applyAlignment="1">
      <alignment horizontal="left" vertical="center"/>
    </xf>
    <xf numFmtId="166" fontId="142" fillId="18" borderId="11" xfId="0" applyNumberFormat="1" applyFont="1" applyFill="1" applyBorder="1" applyAlignment="1">
      <alignment horizontal="left" vertical="center"/>
    </xf>
    <xf numFmtId="0" fontId="146" fillId="19" borderId="0" xfId="0" applyFont="1" applyFill="1" applyAlignment="1">
      <alignment horizontal="left" vertical="center"/>
    </xf>
    <xf numFmtId="166" fontId="146" fillId="0" borderId="0" xfId="0" applyNumberFormat="1" applyFont="1" applyAlignment="1">
      <alignment horizontal="left" vertical="center"/>
    </xf>
    <xf numFmtId="0" fontId="155" fillId="0" borderId="0" xfId="0" applyFont="1" applyAlignment="1">
      <alignment vertical="top"/>
    </xf>
    <xf numFmtId="0" fontId="155" fillId="0" borderId="0" xfId="0" applyFont="1" applyAlignment="1">
      <alignment horizontal="left"/>
    </xf>
    <xf numFmtId="0" fontId="146" fillId="0" borderId="0" xfId="0" applyFont="1"/>
    <xf numFmtId="0" fontId="155" fillId="0" borderId="0" xfId="0" applyFont="1"/>
    <xf numFmtId="0" fontId="146" fillId="40" borderId="11" xfId="0" applyFont="1" applyFill="1" applyBorder="1" applyAlignment="1">
      <alignment horizontal="justify" vertical="center"/>
    </xf>
    <xf numFmtId="166" fontId="144" fillId="31" borderId="11" xfId="0" applyNumberFormat="1" applyFont="1" applyFill="1" applyBorder="1" applyAlignment="1">
      <alignment horizontal="justify" vertical="center"/>
    </xf>
    <xf numFmtId="166" fontId="144" fillId="31" borderId="16" xfId="0" applyNumberFormat="1" applyFont="1" applyFill="1" applyBorder="1" applyAlignment="1">
      <alignment horizontal="justify" vertical="center"/>
    </xf>
    <xf numFmtId="166" fontId="144" fillId="19" borderId="11" xfId="0" applyNumberFormat="1" applyFont="1" applyFill="1" applyBorder="1" applyAlignment="1">
      <alignment horizontal="justify" vertical="center"/>
    </xf>
    <xf numFmtId="166" fontId="146" fillId="20" borderId="11" xfId="0" applyNumberFormat="1" applyFont="1" applyFill="1" applyBorder="1" applyAlignment="1">
      <alignment horizontal="justify" vertical="center"/>
    </xf>
    <xf numFmtId="0" fontId="144" fillId="29" borderId="11" xfId="0" applyFont="1" applyFill="1" applyBorder="1" applyAlignment="1">
      <alignment horizontal="justify" vertical="center" wrapText="1"/>
    </xf>
    <xf numFmtId="166" fontId="144" fillId="29" borderId="11" xfId="0" applyNumberFormat="1" applyFont="1" applyFill="1" applyBorder="1" applyAlignment="1">
      <alignment horizontal="justify" vertical="center"/>
    </xf>
    <xf numFmtId="166" fontId="144" fillId="29" borderId="16" xfId="0" applyNumberFormat="1" applyFont="1" applyFill="1" applyBorder="1" applyAlignment="1">
      <alignment horizontal="justify" vertical="center"/>
    </xf>
    <xf numFmtId="166" fontId="142" fillId="24" borderId="16" xfId="0" applyNumberFormat="1" applyFont="1" applyFill="1" applyBorder="1" applyAlignment="1">
      <alignment horizontal="justify" vertical="center"/>
    </xf>
    <xf numFmtId="166" fontId="144" fillId="14" borderId="16" xfId="0" applyNumberFormat="1" applyFont="1" applyFill="1" applyBorder="1" applyAlignment="1">
      <alignment horizontal="justify" vertical="center"/>
    </xf>
    <xf numFmtId="166" fontId="144" fillId="0" borderId="11" xfId="0" applyNumberFormat="1" applyFont="1" applyBorder="1" applyAlignment="1">
      <alignment horizontal="center" vertical="center" wrapText="1"/>
    </xf>
    <xf numFmtId="166" fontId="144" fillId="0" borderId="11" xfId="0" applyNumberFormat="1" applyFont="1" applyBorder="1" applyAlignment="1">
      <alignment horizontal="center" vertical="center"/>
    </xf>
    <xf numFmtId="9" fontId="144" fillId="0" borderId="11" xfId="22" applyFont="1" applyFill="1" applyBorder="1" applyAlignment="1">
      <alignment horizontal="center" vertical="center" wrapText="1"/>
    </xf>
    <xf numFmtId="0" fontId="148" fillId="0" borderId="0" xfId="0" applyFont="1"/>
    <xf numFmtId="0" fontId="165" fillId="0" borderId="0" xfId="0" applyFont="1"/>
    <xf numFmtId="166" fontId="148" fillId="0" borderId="0" xfId="0" applyNumberFormat="1" applyFont="1"/>
    <xf numFmtId="166" fontId="148" fillId="19" borderId="11" xfId="0" applyNumberFormat="1" applyFont="1" applyFill="1" applyBorder="1"/>
    <xf numFmtId="0" fontId="148" fillId="19" borderId="11" xfId="0" applyFont="1" applyFill="1" applyBorder="1"/>
    <xf numFmtId="0" fontId="148" fillId="24" borderId="11" xfId="0" applyFont="1" applyFill="1" applyBorder="1" applyAlignment="1">
      <alignment horizontal="justify" vertical="center"/>
    </xf>
    <xf numFmtId="49" fontId="48" fillId="52" borderId="11" xfId="0" applyNumberFormat="1" applyFont="1" applyFill="1" applyBorder="1" applyAlignment="1">
      <alignment horizontal="justify" vertical="center" wrapText="1"/>
    </xf>
    <xf numFmtId="0" fontId="48" fillId="51" borderId="11" xfId="0" applyFont="1" applyFill="1" applyBorder="1" applyAlignment="1">
      <alignment horizontal="justify" vertical="center" textRotation="90" wrapText="1"/>
    </xf>
    <xf numFmtId="0" fontId="48" fillId="51" borderId="11" xfId="0" applyFont="1" applyFill="1" applyBorder="1" applyAlignment="1">
      <alignment horizontal="justify" vertical="center"/>
    </xf>
    <xf numFmtId="9" fontId="83" fillId="51" borderId="11" xfId="22" applyFont="1" applyFill="1" applyBorder="1" applyAlignment="1">
      <alignment horizontal="justify" vertical="center"/>
    </xf>
    <xf numFmtId="166" fontId="83" fillId="51" borderId="12" xfId="0" applyNumberFormat="1" applyFont="1" applyFill="1" applyBorder="1" applyAlignment="1">
      <alignment horizontal="justify" vertical="center"/>
    </xf>
    <xf numFmtId="166" fontId="48" fillId="51" borderId="11" xfId="0" applyNumberFormat="1" applyFont="1" applyFill="1" applyBorder="1" applyAlignment="1">
      <alignment horizontal="justify" vertical="center"/>
    </xf>
    <xf numFmtId="166" fontId="146" fillId="51" borderId="11" xfId="0" applyNumberFormat="1" applyFont="1" applyFill="1" applyBorder="1" applyAlignment="1">
      <alignment horizontal="justify" vertical="center"/>
    </xf>
    <xf numFmtId="49" fontId="48" fillId="51" borderId="11" xfId="0" applyNumberFormat="1" applyFont="1" applyFill="1" applyBorder="1" applyAlignment="1">
      <alignment horizontal="left" vertical="center"/>
    </xf>
    <xf numFmtId="0" fontId="47" fillId="51" borderId="11" xfId="0" applyFont="1" applyFill="1" applyBorder="1" applyAlignment="1">
      <alignment horizontal="justify" vertical="center" wrapText="1"/>
    </xf>
    <xf numFmtId="0" fontId="48" fillId="51" borderId="11" xfId="0" applyFont="1" applyFill="1" applyBorder="1" applyAlignment="1">
      <alignment horizontal="left" vertical="center" textRotation="90" wrapText="1"/>
    </xf>
    <xf numFmtId="0" fontId="47" fillId="52" borderId="11" xfId="0" applyFont="1" applyFill="1" applyBorder="1" applyAlignment="1">
      <alignment horizontal="left" vertical="center" wrapText="1"/>
    </xf>
    <xf numFmtId="166" fontId="47" fillId="51" borderId="11" xfId="0" applyNumberFormat="1" applyFont="1" applyFill="1" applyBorder="1" applyAlignment="1">
      <alignment horizontal="left" vertical="center"/>
    </xf>
    <xf numFmtId="9" fontId="47" fillId="51" borderId="11" xfId="22" applyFont="1" applyFill="1" applyBorder="1" applyAlignment="1">
      <alignment horizontal="left" vertical="center" wrapText="1"/>
    </xf>
    <xf numFmtId="9" fontId="47" fillId="51" borderId="11" xfId="22" applyFont="1" applyFill="1" applyBorder="1" applyAlignment="1">
      <alignment horizontal="left" vertical="center"/>
    </xf>
    <xf numFmtId="166" fontId="84" fillId="51" borderId="11" xfId="0" applyNumberFormat="1" applyFont="1" applyFill="1" applyBorder="1" applyAlignment="1">
      <alignment horizontal="left" vertical="center"/>
    </xf>
    <xf numFmtId="166" fontId="144" fillId="51" borderId="11" xfId="0" applyNumberFormat="1" applyFont="1" applyFill="1" applyBorder="1" applyAlignment="1">
      <alignment horizontal="left" vertical="center"/>
    </xf>
    <xf numFmtId="0" fontId="47" fillId="51" borderId="11" xfId="0" applyFont="1" applyFill="1" applyBorder="1" applyAlignment="1">
      <alignment horizontal="center" vertical="center"/>
    </xf>
    <xf numFmtId="1" fontId="123" fillId="26" borderId="11" xfId="0" applyNumberFormat="1" applyFont="1" applyFill="1" applyBorder="1" applyAlignment="1">
      <alignment horizontal="justify" vertical="center"/>
    </xf>
    <xf numFmtId="166" fontId="48" fillId="51" borderId="32" xfId="0" applyNumberFormat="1" applyFont="1" applyFill="1" applyBorder="1" applyAlignment="1">
      <alignment horizontal="justify" vertical="center"/>
    </xf>
    <xf numFmtId="166" fontId="48" fillId="51" borderId="11" xfId="0" applyNumberFormat="1" applyFont="1" applyFill="1" applyBorder="1" applyAlignment="1">
      <alignment horizontal="justify" vertical="center" wrapText="1"/>
    </xf>
    <xf numFmtId="9" fontId="49" fillId="51" borderId="11" xfId="22" applyFont="1" applyFill="1" applyBorder="1" applyAlignment="1">
      <alignment horizontal="left" vertical="center" wrapText="1"/>
    </xf>
    <xf numFmtId="166" fontId="100" fillId="51" borderId="11" xfId="0" applyNumberFormat="1" applyFont="1" applyFill="1" applyBorder="1" applyAlignment="1">
      <alignment horizontal="left" vertical="center"/>
    </xf>
    <xf numFmtId="0" fontId="96" fillId="24" borderId="11" xfId="0" applyFont="1" applyFill="1" applyBorder="1" applyAlignment="1">
      <alignment vertical="center" wrapText="1"/>
    </xf>
    <xf numFmtId="1" fontId="125" fillId="26" borderId="11" xfId="0" applyNumberFormat="1" applyFont="1" applyFill="1" applyBorder="1" applyAlignment="1">
      <alignment horizontal="justify" vertical="center"/>
    </xf>
    <xf numFmtId="1" fontId="96" fillId="24" borderId="11" xfId="0" applyNumberFormat="1" applyFont="1" applyFill="1" applyBorder="1" applyAlignment="1">
      <alignment horizontal="justify" vertical="center"/>
    </xf>
    <xf numFmtId="0" fontId="96" fillId="51" borderId="11" xfId="0" applyFont="1" applyFill="1" applyBorder="1" applyAlignment="1">
      <alignment horizontal="justify" vertical="center" wrapText="1"/>
    </xf>
    <xf numFmtId="0" fontId="96" fillId="52" borderId="11" xfId="0" applyFont="1" applyFill="1" applyBorder="1" applyAlignment="1">
      <alignment horizontal="left" vertical="center" wrapText="1"/>
    </xf>
    <xf numFmtId="9" fontId="96" fillId="51" borderId="11" xfId="22" applyFont="1" applyFill="1" applyBorder="1" applyAlignment="1">
      <alignment horizontal="left" vertical="center" wrapText="1"/>
    </xf>
    <xf numFmtId="0" fontId="63" fillId="42" borderId="0" xfId="0" applyFont="1" applyFill="1" applyAlignment="1">
      <alignment horizontal="left" vertical="center"/>
    </xf>
    <xf numFmtId="0" fontId="60" fillId="51" borderId="11" xfId="0" applyFont="1" applyFill="1" applyBorder="1" applyAlignment="1">
      <alignment horizontal="left" vertical="center"/>
    </xf>
    <xf numFmtId="0" fontId="166" fillId="0" borderId="0" xfId="0" applyFont="1" applyAlignment="1">
      <alignment horizontal="left" vertical="center" wrapText="1"/>
    </xf>
    <xf numFmtId="49" fontId="146" fillId="0" borderId="0" xfId="0" applyNumberFormat="1" applyFont="1" applyAlignment="1">
      <alignment horizontal="left" vertical="center" wrapText="1"/>
    </xf>
    <xf numFmtId="0" fontId="148" fillId="0" borderId="0" xfId="0" applyFont="1" applyAlignment="1">
      <alignment vertical="top"/>
    </xf>
    <xf numFmtId="166" fontId="142" fillId="5" borderId="11" xfId="0" applyNumberFormat="1" applyFont="1" applyFill="1" applyBorder="1" applyAlignment="1">
      <alignment horizontal="justify" vertical="center"/>
    </xf>
    <xf numFmtId="166" fontId="144" fillId="0" borderId="17" xfId="0" applyNumberFormat="1" applyFont="1" applyBorder="1" applyAlignment="1">
      <alignment horizontal="left" vertical="center" wrapText="1"/>
    </xf>
    <xf numFmtId="166" fontId="144" fillId="0" borderId="7" xfId="0" applyNumberFormat="1" applyFont="1" applyBorder="1" applyAlignment="1">
      <alignment horizontal="left" vertical="center"/>
    </xf>
    <xf numFmtId="166" fontId="144" fillId="0" borderId="19" xfId="0" applyNumberFormat="1" applyFont="1" applyBorder="1" applyAlignment="1">
      <alignment horizontal="left" vertical="center" wrapText="1"/>
    </xf>
    <xf numFmtId="166" fontId="167" fillId="0" borderId="0" xfId="0" applyNumberFormat="1" applyFont="1" applyAlignment="1">
      <alignment horizontal="left" vertical="center" wrapText="1"/>
    </xf>
    <xf numFmtId="0" fontId="168" fillId="0" borderId="0" xfId="0" applyFont="1" applyAlignment="1">
      <alignment horizontal="left" vertical="center"/>
    </xf>
    <xf numFmtId="0" fontId="150" fillId="0" borderId="0" xfId="0" applyFont="1" applyAlignment="1">
      <alignment horizontal="left" vertical="center"/>
    </xf>
    <xf numFmtId="166" fontId="150" fillId="0" borderId="0" xfId="0" applyNumberFormat="1" applyFont="1" applyAlignment="1">
      <alignment horizontal="left" vertical="center"/>
    </xf>
    <xf numFmtId="166" fontId="155" fillId="0" borderId="0" xfId="0" applyNumberFormat="1" applyFont="1" applyAlignment="1">
      <alignment horizontal="left" vertical="center"/>
    </xf>
    <xf numFmtId="166" fontId="155" fillId="0" borderId="0" xfId="0" applyNumberFormat="1" applyFont="1"/>
    <xf numFmtId="166" fontId="144" fillId="0" borderId="17" xfId="0" applyNumberFormat="1" applyFont="1" applyBorder="1" applyAlignment="1">
      <alignment horizontal="justify" vertical="center" wrapText="1"/>
    </xf>
    <xf numFmtId="166" fontId="144" fillId="24" borderId="12" xfId="0" applyNumberFormat="1" applyFont="1" applyFill="1" applyBorder="1" applyAlignment="1">
      <alignment horizontal="justify" vertical="center"/>
    </xf>
    <xf numFmtId="0" fontId="145" fillId="0" borderId="0" xfId="0" applyFont="1" applyAlignment="1">
      <alignment vertical="center"/>
    </xf>
    <xf numFmtId="0" fontId="155" fillId="19" borderId="0" xfId="0" applyFont="1" applyFill="1"/>
    <xf numFmtId="166" fontId="155" fillId="19" borderId="0" xfId="0" applyNumberFormat="1" applyFont="1" applyFill="1"/>
    <xf numFmtId="0" fontId="146" fillId="0" borderId="0" xfId="0" applyFont="1" applyAlignment="1">
      <alignment horizontal="left"/>
    </xf>
    <xf numFmtId="0" fontId="142" fillId="24" borderId="11" xfId="0" applyFont="1" applyFill="1" applyBorder="1" applyAlignment="1">
      <alignment horizontal="center" vertical="center"/>
    </xf>
    <xf numFmtId="49" fontId="47" fillId="37" borderId="11" xfId="0" applyNumberFormat="1" applyFont="1" applyFill="1" applyBorder="1" applyAlignment="1">
      <alignment horizontal="justify" vertical="center" wrapText="1"/>
    </xf>
    <xf numFmtId="49" fontId="48" fillId="51" borderId="16" xfId="0" applyNumberFormat="1" applyFont="1" applyFill="1" applyBorder="1" applyAlignment="1">
      <alignment horizontal="justify" vertical="center"/>
    </xf>
    <xf numFmtId="49" fontId="48" fillId="52" borderId="16" xfId="0" applyNumberFormat="1" applyFont="1" applyFill="1" applyBorder="1" applyAlignment="1">
      <alignment horizontal="justify" vertical="center" wrapText="1"/>
    </xf>
    <xf numFmtId="0" fontId="48" fillId="51" borderId="16" xfId="0" applyFont="1" applyFill="1" applyBorder="1" applyAlignment="1">
      <alignment horizontal="justify" vertical="center" textRotation="90" wrapText="1"/>
    </xf>
    <xf numFmtId="166" fontId="48" fillId="51" borderId="16" xfId="0" applyNumberFormat="1" applyFont="1" applyFill="1" applyBorder="1" applyAlignment="1">
      <alignment horizontal="justify" vertical="center" wrapText="1"/>
    </xf>
    <xf numFmtId="0" fontId="96" fillId="24" borderId="11" xfId="0" applyFont="1" applyFill="1" applyBorder="1"/>
    <xf numFmtId="0" fontId="142" fillId="24" borderId="11" xfId="0" applyFont="1" applyFill="1" applyBorder="1"/>
    <xf numFmtId="0" fontId="142" fillId="25" borderId="11" xfId="0" applyFont="1" applyFill="1" applyBorder="1" applyAlignment="1">
      <alignment horizontal="justify" vertical="center" textRotation="90" wrapText="1"/>
    </xf>
    <xf numFmtId="49" fontId="142" fillId="24" borderId="11" xfId="0" applyNumberFormat="1" applyFont="1" applyFill="1" applyBorder="1" applyAlignment="1">
      <alignment horizontal="justify" vertical="center" wrapText="1"/>
    </xf>
    <xf numFmtId="166" fontId="144" fillId="49" borderId="11" xfId="0" applyNumberFormat="1" applyFont="1" applyFill="1" applyBorder="1" applyAlignment="1">
      <alignment horizontal="justify" vertical="center"/>
    </xf>
    <xf numFmtId="0" fontId="148" fillId="0" borderId="11" xfId="0" applyFont="1" applyBorder="1" applyAlignment="1">
      <alignment horizontal="justify" vertical="center"/>
    </xf>
    <xf numFmtId="166" fontId="144" fillId="0" borderId="7" xfId="0" applyNumberFormat="1" applyFont="1" applyBorder="1" applyAlignment="1">
      <alignment horizontal="center" vertical="center"/>
    </xf>
    <xf numFmtId="166" fontId="144" fillId="0" borderId="17" xfId="0" applyNumberFormat="1" applyFont="1" applyBorder="1" applyAlignment="1">
      <alignment horizontal="center" vertical="center" wrapText="1"/>
    </xf>
    <xf numFmtId="9" fontId="144" fillId="14" borderId="28" xfId="22" applyFont="1" applyFill="1" applyBorder="1" applyAlignment="1">
      <alignment horizontal="center" vertical="center" wrapText="1"/>
    </xf>
    <xf numFmtId="9" fontId="144" fillId="14" borderId="11" xfId="22" applyFont="1" applyFill="1" applyBorder="1" applyAlignment="1">
      <alignment horizontal="center" vertical="center" wrapText="1"/>
    </xf>
    <xf numFmtId="0" fontId="158" fillId="0" borderId="0" xfId="0" applyFont="1" applyAlignment="1">
      <alignment horizontal="left" vertical="center"/>
    </xf>
    <xf numFmtId="0" fontId="169" fillId="0" borderId="0" xfId="0" applyFont="1"/>
    <xf numFmtId="2" fontId="159" fillId="0" borderId="11" xfId="0" applyNumberFormat="1" applyFont="1" applyBorder="1" applyAlignment="1">
      <alignment horizontal="justify" vertical="center"/>
    </xf>
    <xf numFmtId="166" fontId="159" fillId="19" borderId="11" xfId="0" applyNumberFormat="1" applyFont="1" applyFill="1" applyBorder="1" applyAlignment="1">
      <alignment horizontal="justify" vertical="center"/>
    </xf>
    <xf numFmtId="166" fontId="162" fillId="20" borderId="11" xfId="0" applyNumberFormat="1" applyFont="1" applyFill="1" applyBorder="1" applyAlignment="1">
      <alignment horizontal="justify" vertical="center"/>
    </xf>
    <xf numFmtId="0" fontId="162" fillId="20" borderId="11" xfId="0" applyFont="1" applyFill="1" applyBorder="1" applyAlignment="1">
      <alignment horizontal="justify" vertical="center"/>
    </xf>
    <xf numFmtId="166" fontId="159" fillId="20" borderId="11" xfId="0" applyNumberFormat="1" applyFont="1" applyFill="1" applyBorder="1" applyAlignment="1">
      <alignment horizontal="justify" vertical="center"/>
    </xf>
    <xf numFmtId="166" fontId="162" fillId="37" borderId="11" xfId="0" applyNumberFormat="1" applyFont="1" applyFill="1" applyBorder="1" applyAlignment="1">
      <alignment horizontal="justify" vertical="center"/>
    </xf>
    <xf numFmtId="0" fontId="162" fillId="37" borderId="11" xfId="0" applyFont="1" applyFill="1" applyBorder="1" applyAlignment="1">
      <alignment horizontal="justify" vertical="center"/>
    </xf>
    <xf numFmtId="166" fontId="159" fillId="37" borderId="11" xfId="0" applyNumberFormat="1" applyFont="1" applyFill="1" applyBorder="1" applyAlignment="1">
      <alignment horizontal="justify" vertical="center"/>
    </xf>
    <xf numFmtId="166" fontId="170" fillId="37" borderId="11" xfId="0" applyNumberFormat="1" applyFont="1" applyFill="1" applyBorder="1" applyAlignment="1">
      <alignment horizontal="justify" vertical="center"/>
    </xf>
    <xf numFmtId="0" fontId="162" fillId="24" borderId="11" xfId="0" applyFont="1" applyFill="1" applyBorder="1" applyAlignment="1">
      <alignment horizontal="justify" vertical="center"/>
    </xf>
    <xf numFmtId="0" fontId="157" fillId="19" borderId="11" xfId="0" applyFont="1" applyFill="1" applyBorder="1"/>
    <xf numFmtId="166" fontId="157" fillId="19" borderId="11" xfId="0" applyNumberFormat="1" applyFont="1" applyFill="1" applyBorder="1"/>
    <xf numFmtId="0" fontId="171" fillId="0" borderId="0" xfId="0" applyFont="1"/>
    <xf numFmtId="2" fontId="144" fillId="0" borderId="11" xfId="0" applyNumberFormat="1" applyFont="1" applyBorder="1" applyAlignment="1">
      <alignment horizontal="justify" vertical="center"/>
    </xf>
    <xf numFmtId="0" fontId="146" fillId="20" borderId="11" xfId="0" applyFont="1" applyFill="1" applyBorder="1" applyAlignment="1">
      <alignment horizontal="justify" vertical="center"/>
    </xf>
    <xf numFmtId="166" fontId="144" fillId="20" borderId="11" xfId="0" applyNumberFormat="1" applyFont="1" applyFill="1" applyBorder="1" applyAlignment="1">
      <alignment horizontal="justify" vertical="center"/>
    </xf>
    <xf numFmtId="166" fontId="146" fillId="37" borderId="11" xfId="0" applyNumberFormat="1" applyFont="1" applyFill="1" applyBorder="1" applyAlignment="1">
      <alignment horizontal="justify" vertical="center"/>
    </xf>
    <xf numFmtId="0" fontId="146" fillId="37" borderId="11" xfId="0" applyFont="1" applyFill="1" applyBorder="1" applyAlignment="1">
      <alignment horizontal="justify" vertical="center"/>
    </xf>
    <xf numFmtId="166" fontId="144" fillId="37" borderId="11" xfId="0" applyNumberFormat="1" applyFont="1" applyFill="1" applyBorder="1" applyAlignment="1">
      <alignment horizontal="justify" vertical="center"/>
    </xf>
    <xf numFmtId="166" fontId="145" fillId="37" borderId="11" xfId="0" applyNumberFormat="1" applyFont="1" applyFill="1" applyBorder="1" applyAlignment="1">
      <alignment horizontal="justify" vertical="center"/>
    </xf>
    <xf numFmtId="0" fontId="146" fillId="24" borderId="11" xfId="0" applyFont="1" applyFill="1" applyBorder="1" applyAlignment="1">
      <alignment horizontal="justify" vertical="center"/>
    </xf>
    <xf numFmtId="166" fontId="145" fillId="20" borderId="11" xfId="0" applyNumberFormat="1" applyFont="1" applyFill="1" applyBorder="1" applyAlignment="1">
      <alignment horizontal="justify" vertical="center"/>
    </xf>
    <xf numFmtId="166" fontId="145" fillId="0" borderId="11" xfId="0" applyNumberFormat="1" applyFont="1" applyBorder="1" applyAlignment="1">
      <alignment horizontal="center" vertical="center"/>
    </xf>
    <xf numFmtId="166" fontId="142" fillId="24" borderId="11" xfId="0" applyNumberFormat="1" applyFont="1" applyFill="1" applyBorder="1" applyAlignment="1">
      <alignment horizontal="center" vertical="center"/>
    </xf>
    <xf numFmtId="0" fontId="155" fillId="20" borderId="11" xfId="0" applyFont="1" applyFill="1" applyBorder="1"/>
    <xf numFmtId="166" fontId="155" fillId="20" borderId="11" xfId="0" applyNumberFormat="1" applyFont="1" applyFill="1" applyBorder="1"/>
    <xf numFmtId="0" fontId="43" fillId="0" borderId="17" xfId="0" applyFont="1" applyBorder="1" applyAlignment="1">
      <alignment horizontal="center" vertical="center" wrapText="1"/>
    </xf>
    <xf numFmtId="0" fontId="39" fillId="51" borderId="0" xfId="0" applyFont="1" applyFill="1"/>
    <xf numFmtId="49" fontId="145" fillId="24" borderId="11" xfId="0" applyNumberFormat="1" applyFont="1" applyFill="1" applyBorder="1" applyAlignment="1">
      <alignment horizontal="justify" vertical="center"/>
    </xf>
    <xf numFmtId="49" fontId="146" fillId="24" borderId="8" xfId="0" applyNumberFormat="1" applyFont="1" applyFill="1" applyBorder="1" applyAlignment="1">
      <alignment horizontal="justify" vertical="center"/>
    </xf>
    <xf numFmtId="0" fontId="146" fillId="24" borderId="10" xfId="0" applyFont="1" applyFill="1" applyBorder="1" applyAlignment="1">
      <alignment horizontal="justify" vertical="center" textRotation="90" wrapText="1"/>
    </xf>
    <xf numFmtId="49" fontId="48" fillId="24" borderId="11" xfId="0" applyNumberFormat="1" applyFont="1" applyFill="1" applyBorder="1" applyAlignment="1">
      <alignment horizontal="center" vertical="top" wrapText="1"/>
    </xf>
    <xf numFmtId="49" fontId="49" fillId="24" borderId="11" xfId="0" applyNumberFormat="1" applyFont="1" applyFill="1" applyBorder="1" applyAlignment="1">
      <alignment vertical="center"/>
    </xf>
    <xf numFmtId="49" fontId="145" fillId="24" borderId="11" xfId="0" applyNumberFormat="1" applyFont="1" applyFill="1" applyBorder="1" applyAlignment="1">
      <alignment vertical="center" wrapText="1"/>
    </xf>
    <xf numFmtId="0" fontId="92" fillId="23" borderId="11" xfId="0" applyFont="1" applyFill="1" applyBorder="1" applyAlignment="1">
      <alignment horizontal="justify" vertical="center"/>
    </xf>
    <xf numFmtId="0" fontId="92" fillId="23" borderId="11" xfId="0" applyFont="1" applyFill="1" applyBorder="1" applyAlignment="1">
      <alignment horizontal="justify" vertical="center" wrapText="1"/>
    </xf>
    <xf numFmtId="166" fontId="92" fillId="23" borderId="11" xfId="0" applyNumberFormat="1" applyFont="1" applyFill="1" applyBorder="1" applyAlignment="1">
      <alignment horizontal="justify" vertical="center"/>
    </xf>
    <xf numFmtId="9" fontId="92" fillId="23" borderId="11" xfId="22" applyFont="1" applyFill="1" applyBorder="1" applyAlignment="1">
      <alignment horizontal="justify" vertical="center"/>
    </xf>
    <xf numFmtId="49" fontId="92" fillId="23" borderId="11" xfId="0" applyNumberFormat="1" applyFont="1" applyFill="1" applyBorder="1" applyAlignment="1">
      <alignment horizontal="justify" vertical="center" wrapText="1"/>
    </xf>
    <xf numFmtId="0" fontId="155" fillId="0" borderId="0" xfId="0" applyFont="1" applyAlignment="1">
      <alignment horizontal="left" vertical="center" wrapText="1"/>
    </xf>
    <xf numFmtId="0" fontId="168" fillId="10" borderId="45" xfId="0" applyFont="1" applyFill="1" applyBorder="1" applyAlignment="1">
      <alignment horizontal="left" vertical="center" wrapText="1"/>
    </xf>
    <xf numFmtId="0" fontId="155" fillId="10" borderId="45" xfId="0" applyFont="1" applyFill="1" applyBorder="1" applyAlignment="1">
      <alignment horizontal="left" vertical="center" wrapText="1"/>
    </xf>
    <xf numFmtId="166" fontId="155" fillId="0" borderId="45" xfId="0" applyNumberFormat="1" applyFont="1" applyBorder="1" applyAlignment="1">
      <alignment horizontal="left" vertical="center"/>
    </xf>
    <xf numFmtId="166" fontId="167" fillId="11" borderId="45" xfId="0" applyNumberFormat="1" applyFont="1" applyFill="1" applyBorder="1" applyAlignment="1">
      <alignment horizontal="left" vertical="center"/>
    </xf>
    <xf numFmtId="166" fontId="155" fillId="28" borderId="45" xfId="0" applyNumberFormat="1" applyFont="1" applyFill="1" applyBorder="1" applyAlignment="1">
      <alignment horizontal="left" vertical="center" wrapText="1"/>
    </xf>
    <xf numFmtId="0" fontId="167" fillId="0" borderId="45" xfId="0" applyFont="1" applyBorder="1" applyAlignment="1">
      <alignment horizontal="left" vertical="center" wrapText="1"/>
    </xf>
    <xf numFmtId="166" fontId="155" fillId="0" borderId="45" xfId="0" quotePrefix="1" applyNumberFormat="1" applyFont="1" applyBorder="1" applyAlignment="1">
      <alignment horizontal="left" vertical="center" wrapText="1"/>
    </xf>
    <xf numFmtId="166" fontId="171" fillId="0" borderId="45" xfId="0" quotePrefix="1" applyNumberFormat="1" applyFont="1" applyBorder="1" applyAlignment="1">
      <alignment horizontal="left" vertical="center" wrapText="1"/>
    </xf>
    <xf numFmtId="166" fontId="155" fillId="0" borderId="45" xfId="0" applyNumberFormat="1" applyFont="1" applyBorder="1" applyAlignment="1">
      <alignment horizontal="left" vertical="center" wrapText="1"/>
    </xf>
    <xf numFmtId="166" fontId="171" fillId="0" borderId="45" xfId="0" applyNumberFormat="1" applyFont="1" applyBorder="1" applyAlignment="1">
      <alignment horizontal="left" vertical="center" wrapText="1"/>
    </xf>
    <xf numFmtId="166" fontId="167" fillId="11" borderId="45" xfId="0" applyNumberFormat="1" applyFont="1" applyFill="1" applyBorder="1" applyAlignment="1">
      <alignment horizontal="left" vertical="center" wrapText="1"/>
    </xf>
    <xf numFmtId="9" fontId="167" fillId="14" borderId="45" xfId="22" applyFont="1" applyFill="1" applyBorder="1" applyAlignment="1">
      <alignment horizontal="left" vertical="center" wrapText="1"/>
    </xf>
    <xf numFmtId="0" fontId="148" fillId="0" borderId="54" xfId="0" applyFont="1" applyBorder="1" applyAlignment="1">
      <alignment horizontal="left" vertical="center"/>
    </xf>
    <xf numFmtId="0" fontId="144" fillId="0" borderId="0" xfId="0" applyFont="1" applyAlignment="1">
      <alignment horizontal="center" vertical="center" wrapText="1"/>
    </xf>
    <xf numFmtId="0" fontId="155" fillId="0" borderId="0" xfId="0" applyFont="1" applyAlignment="1">
      <alignment horizontal="justify" vertical="center" wrapText="1"/>
    </xf>
    <xf numFmtId="166" fontId="148" fillId="0" borderId="0" xfId="0" applyNumberFormat="1" applyFont="1" applyAlignment="1">
      <alignment horizontal="left" vertical="center"/>
    </xf>
    <xf numFmtId="166" fontId="128" fillId="24" borderId="11" xfId="0" applyNumberFormat="1" applyFont="1" applyFill="1" applyBorder="1" applyAlignment="1">
      <alignment horizontal="justify" vertical="center"/>
    </xf>
    <xf numFmtId="0" fontId="128" fillId="25" borderId="11" xfId="0" applyFont="1" applyFill="1" applyBorder="1" applyAlignment="1">
      <alignment horizontal="justify" vertical="center" wrapText="1"/>
    </xf>
    <xf numFmtId="49" fontId="128" fillId="24" borderId="11" xfId="0" applyNumberFormat="1" applyFont="1" applyFill="1" applyBorder="1" applyAlignment="1">
      <alignment horizontal="justify" vertical="center" wrapText="1"/>
    </xf>
    <xf numFmtId="49" fontId="96" fillId="0" borderId="19" xfId="0" applyNumberFormat="1" applyFont="1" applyBorder="1" applyAlignment="1">
      <alignment horizontal="justify" vertical="center" wrapText="1"/>
    </xf>
    <xf numFmtId="0" fontId="139" fillId="24" borderId="11" xfId="0" applyFont="1" applyFill="1" applyBorder="1" applyAlignment="1">
      <alignment horizontal="justify" vertical="center" textRotation="90" wrapText="1"/>
    </xf>
    <xf numFmtId="0" fontId="139" fillId="24" borderId="11" xfId="0" applyFont="1" applyFill="1" applyBorder="1" applyAlignment="1">
      <alignment horizontal="justify" vertical="center"/>
    </xf>
    <xf numFmtId="9" fontId="139" fillId="24" borderId="11" xfId="22" applyFont="1" applyFill="1" applyBorder="1" applyAlignment="1">
      <alignment horizontal="justify" vertical="center"/>
    </xf>
    <xf numFmtId="49" fontId="139" fillId="24" borderId="11" xfId="0" applyNumberFormat="1" applyFont="1" applyFill="1" applyBorder="1" applyAlignment="1">
      <alignment horizontal="justify" vertical="center" wrapText="1"/>
    </xf>
    <xf numFmtId="0" fontId="47" fillId="14" borderId="7" xfId="0" applyFont="1" applyFill="1" applyBorder="1" applyAlignment="1">
      <alignment horizontal="justify" vertical="center"/>
    </xf>
    <xf numFmtId="166" fontId="47" fillId="14" borderId="16" xfId="0" applyNumberFormat="1" applyFont="1" applyFill="1" applyBorder="1" applyAlignment="1">
      <alignment horizontal="justify" vertical="center"/>
    </xf>
    <xf numFmtId="9" fontId="47" fillId="14" borderId="16" xfId="22" applyFont="1" applyFill="1" applyBorder="1" applyAlignment="1">
      <alignment horizontal="justify" vertical="center"/>
    </xf>
    <xf numFmtId="166" fontId="47" fillId="14" borderId="22" xfId="0" applyNumberFormat="1" applyFont="1" applyFill="1" applyBorder="1" applyAlignment="1">
      <alignment horizontal="justify" vertical="center"/>
    </xf>
    <xf numFmtId="0" fontId="172" fillId="24" borderId="11" xfId="0" applyFont="1" applyFill="1" applyBorder="1" applyAlignment="1">
      <alignment horizontal="justify" vertical="center" wrapText="1"/>
    </xf>
    <xf numFmtId="0" fontId="146" fillId="24" borderId="6" xfId="0" applyFont="1" applyFill="1" applyBorder="1" applyAlignment="1">
      <alignment horizontal="justify" vertical="center"/>
    </xf>
    <xf numFmtId="166" fontId="146" fillId="24" borderId="12" xfId="0" applyNumberFormat="1" applyFont="1" applyFill="1" applyBorder="1" applyAlignment="1">
      <alignment horizontal="justify" vertical="center"/>
    </xf>
    <xf numFmtId="0" fontId="173" fillId="24" borderId="11" xfId="0" applyFont="1" applyFill="1" applyBorder="1" applyAlignment="1">
      <alignment horizontal="justify" vertical="center" wrapText="1"/>
    </xf>
    <xf numFmtId="0" fontId="142" fillId="24" borderId="11" xfId="0" applyFont="1" applyFill="1" applyBorder="1" applyAlignment="1">
      <alignment horizontal="justify" vertical="center" textRotation="90" wrapText="1"/>
    </xf>
    <xf numFmtId="166" fontId="142" fillId="24" borderId="12" xfId="0" applyNumberFormat="1" applyFont="1" applyFill="1" applyBorder="1" applyAlignment="1">
      <alignment horizontal="justify" vertical="center"/>
    </xf>
    <xf numFmtId="166" fontId="84" fillId="14" borderId="16" xfId="0" applyNumberFormat="1" applyFont="1" applyFill="1" applyBorder="1" applyAlignment="1">
      <alignment horizontal="justify" vertical="center"/>
    </xf>
    <xf numFmtId="49" fontId="145" fillId="24" borderId="11" xfId="0" applyNumberFormat="1" applyFont="1" applyFill="1" applyBorder="1" applyAlignment="1">
      <alignment horizontal="justify" vertical="center" wrapText="1"/>
    </xf>
    <xf numFmtId="166" fontId="145" fillId="24" borderId="32" xfId="0" applyNumberFormat="1" applyFont="1" applyFill="1" applyBorder="1" applyAlignment="1">
      <alignment horizontal="justify" vertical="center"/>
    </xf>
    <xf numFmtId="49" fontId="142" fillId="24" borderId="19" xfId="0" applyNumberFormat="1" applyFont="1" applyFill="1" applyBorder="1" applyAlignment="1">
      <alignment horizontal="justify" vertical="center" wrapText="1"/>
    </xf>
    <xf numFmtId="49" fontId="142" fillId="24" borderId="17" xfId="0" applyNumberFormat="1" applyFont="1" applyFill="1" applyBorder="1" applyAlignment="1">
      <alignment horizontal="justify" vertical="center" wrapText="1"/>
    </xf>
    <xf numFmtId="0" fontId="142" fillId="24" borderId="16" xfId="0" applyFont="1" applyFill="1" applyBorder="1" applyAlignment="1">
      <alignment horizontal="justify" vertical="center"/>
    </xf>
    <xf numFmtId="0" fontId="142" fillId="24" borderId="19" xfId="0" applyFont="1" applyFill="1" applyBorder="1" applyAlignment="1">
      <alignment horizontal="justify" vertical="center"/>
    </xf>
    <xf numFmtId="49" fontId="145" fillId="24" borderId="17" xfId="0" applyNumberFormat="1" applyFont="1" applyFill="1" applyBorder="1" applyAlignment="1">
      <alignment horizontal="justify" vertical="center" wrapText="1"/>
    </xf>
    <xf numFmtId="166" fontId="145" fillId="24" borderId="24" xfId="0" applyNumberFormat="1" applyFont="1" applyFill="1" applyBorder="1" applyAlignment="1">
      <alignment horizontal="justify" vertical="center"/>
    </xf>
    <xf numFmtId="9" fontId="83" fillId="24" borderId="11" xfId="22" applyFont="1" applyFill="1" applyBorder="1" applyAlignment="1">
      <alignment horizontal="justify" vertical="center" wrapText="1"/>
    </xf>
    <xf numFmtId="166" fontId="48" fillId="24" borderId="11" xfId="0" applyNumberFormat="1" applyFont="1" applyFill="1" applyBorder="1" applyAlignment="1">
      <alignment horizontal="center" vertical="center" wrapText="1"/>
    </xf>
    <xf numFmtId="0" fontId="174" fillId="24" borderId="11" xfId="0" applyFont="1" applyFill="1" applyBorder="1" applyAlignment="1">
      <alignment horizontal="justify" vertical="center"/>
    </xf>
    <xf numFmtId="9" fontId="144" fillId="0" borderId="11" xfId="22" applyFont="1" applyFill="1" applyBorder="1" applyAlignment="1">
      <alignment horizontal="left" vertical="center" wrapText="1"/>
    </xf>
    <xf numFmtId="9" fontId="144" fillId="0" borderId="11" xfId="22" applyFont="1" applyFill="1" applyBorder="1" applyAlignment="1">
      <alignment horizontal="left" vertical="center"/>
    </xf>
    <xf numFmtId="9" fontId="144" fillId="14" borderId="11" xfId="22" applyFont="1" applyFill="1" applyBorder="1" applyAlignment="1">
      <alignment horizontal="left" vertical="center" wrapText="1"/>
    </xf>
    <xf numFmtId="166" fontId="92" fillId="42" borderId="11" xfId="0" applyNumberFormat="1" applyFont="1" applyFill="1" applyBorder="1" applyAlignment="1">
      <alignment horizontal="left" vertical="center"/>
    </xf>
    <xf numFmtId="9" fontId="92" fillId="42" borderId="11" xfId="22" applyFont="1" applyFill="1" applyBorder="1" applyAlignment="1">
      <alignment horizontal="left" vertical="center" wrapText="1"/>
    </xf>
    <xf numFmtId="9" fontId="92" fillId="42" borderId="11" xfId="22" applyFont="1" applyFill="1" applyBorder="1" applyAlignment="1">
      <alignment horizontal="left" vertical="center"/>
    </xf>
    <xf numFmtId="166" fontId="92" fillId="14" borderId="11" xfId="0" applyNumberFormat="1" applyFont="1" applyFill="1" applyBorder="1" applyAlignment="1">
      <alignment horizontal="left" vertical="center"/>
    </xf>
    <xf numFmtId="9" fontId="92" fillId="14" borderId="11" xfId="22" applyFont="1" applyFill="1" applyBorder="1" applyAlignment="1">
      <alignment horizontal="left" vertical="center" wrapText="1"/>
    </xf>
    <xf numFmtId="9" fontId="92" fillId="14" borderId="11" xfId="22" applyFont="1" applyFill="1" applyBorder="1" applyAlignment="1">
      <alignment horizontal="left" vertical="center"/>
    </xf>
    <xf numFmtId="49" fontId="48" fillId="0" borderId="11" xfId="0" applyNumberFormat="1" applyFont="1" applyBorder="1" applyAlignment="1">
      <alignment vertical="center" wrapText="1"/>
    </xf>
    <xf numFmtId="0" fontId="38" fillId="0" borderId="45" xfId="0" applyFont="1" applyBorder="1" applyAlignment="1">
      <alignment horizontal="left" vertical="center" wrapText="1"/>
    </xf>
    <xf numFmtId="0" fontId="94" fillId="0" borderId="11" xfId="0" applyFont="1" applyBorder="1" applyAlignment="1">
      <alignment horizontal="justify" vertical="center"/>
    </xf>
    <xf numFmtId="166" fontId="92" fillId="0" borderId="11" xfId="0" applyNumberFormat="1" applyFont="1" applyBorder="1" applyAlignment="1">
      <alignment horizontal="justify" vertical="center"/>
    </xf>
    <xf numFmtId="49" fontId="91" fillId="24" borderId="16" xfId="0" applyNumberFormat="1" applyFont="1" applyFill="1" applyBorder="1" applyAlignment="1">
      <alignment horizontal="center" vertical="center" wrapText="1"/>
    </xf>
    <xf numFmtId="49" fontId="91" fillId="24" borderId="17" xfId="0" applyNumberFormat="1" applyFont="1" applyFill="1" applyBorder="1" applyAlignment="1">
      <alignment horizontal="center" vertical="center" wrapText="1"/>
    </xf>
    <xf numFmtId="49" fontId="108" fillId="0" borderId="11" xfId="0" applyNumberFormat="1" applyFont="1" applyBorder="1" applyAlignment="1">
      <alignment horizontal="justify" vertical="center" wrapText="1"/>
    </xf>
    <xf numFmtId="9" fontId="84" fillId="14" borderId="16" xfId="22" applyFont="1" applyFill="1" applyBorder="1" applyAlignment="1">
      <alignment horizontal="justify" vertical="center"/>
    </xf>
    <xf numFmtId="166" fontId="84" fillId="14" borderId="22" xfId="0" applyNumberFormat="1" applyFont="1" applyFill="1" applyBorder="1" applyAlignment="1">
      <alignment horizontal="justify" vertical="center"/>
    </xf>
    <xf numFmtId="166" fontId="128" fillId="24" borderId="11" xfId="0" applyNumberFormat="1" applyFont="1" applyFill="1" applyBorder="1" applyAlignment="1">
      <alignment horizontal="left" vertical="center"/>
    </xf>
    <xf numFmtId="49" fontId="49" fillId="37" borderId="11" xfId="0" applyNumberFormat="1" applyFont="1" applyFill="1" applyBorder="1" applyAlignment="1">
      <alignment horizontal="left" vertical="center"/>
    </xf>
    <xf numFmtId="166" fontId="49" fillId="37" borderId="11" xfId="0" applyNumberFormat="1" applyFont="1" applyFill="1" applyBorder="1" applyAlignment="1">
      <alignment horizontal="left" vertical="center"/>
    </xf>
    <xf numFmtId="9" fontId="49" fillId="37" borderId="11" xfId="22" applyFont="1" applyFill="1" applyBorder="1" applyAlignment="1">
      <alignment horizontal="left" vertical="center" wrapText="1"/>
    </xf>
    <xf numFmtId="166" fontId="98" fillId="37" borderId="11" xfId="0" applyNumberFormat="1" applyFont="1" applyFill="1" applyBorder="1" applyAlignment="1">
      <alignment horizontal="left" vertical="center"/>
    </xf>
    <xf numFmtId="166" fontId="145" fillId="37" borderId="11" xfId="0" applyNumberFormat="1" applyFont="1" applyFill="1" applyBorder="1" applyAlignment="1">
      <alignment horizontal="left" vertical="center"/>
    </xf>
    <xf numFmtId="171" fontId="96" fillId="24" borderId="11" xfId="0" applyNumberFormat="1" applyFont="1" applyFill="1" applyBorder="1" applyAlignment="1">
      <alignment horizontal="left" vertical="center"/>
    </xf>
    <xf numFmtId="171" fontId="142" fillId="24" borderId="11" xfId="0" applyNumberFormat="1" applyFont="1" applyFill="1" applyBorder="1" applyAlignment="1">
      <alignment horizontal="left" vertical="center"/>
    </xf>
    <xf numFmtId="0" fontId="149" fillId="24" borderId="0" xfId="0" applyFont="1" applyFill="1" applyAlignment="1">
      <alignment horizontal="left" vertical="center"/>
    </xf>
    <xf numFmtId="0" fontId="49" fillId="37" borderId="11" xfId="0" applyFont="1" applyFill="1" applyBorder="1" applyAlignment="1">
      <alignment horizontal="left" vertical="center" wrapText="1"/>
    </xf>
    <xf numFmtId="166" fontId="96" fillId="37" borderId="11" xfId="0" applyNumberFormat="1" applyFont="1" applyFill="1" applyBorder="1" applyAlignment="1">
      <alignment horizontal="left" vertical="center"/>
    </xf>
    <xf numFmtId="166" fontId="100" fillId="37" borderId="11" xfId="0" applyNumberFormat="1" applyFont="1" applyFill="1" applyBorder="1" applyAlignment="1">
      <alignment horizontal="left" vertical="center"/>
    </xf>
    <xf numFmtId="166" fontId="142" fillId="37" borderId="11" xfId="0" applyNumberFormat="1" applyFont="1" applyFill="1" applyBorder="1" applyAlignment="1">
      <alignment horizontal="left" vertical="center"/>
    </xf>
    <xf numFmtId="166" fontId="146" fillId="24" borderId="11" xfId="0" applyNumberFormat="1" applyFont="1" applyFill="1" applyBorder="1" applyAlignment="1">
      <alignment horizontal="left" vertical="center"/>
    </xf>
    <xf numFmtId="0" fontId="96" fillId="38" borderId="11" xfId="0" applyFont="1" applyFill="1" applyBorder="1" applyAlignment="1">
      <alignment horizontal="left" vertical="center" wrapText="1"/>
    </xf>
    <xf numFmtId="9" fontId="96" fillId="37" borderId="11" xfId="22" applyFont="1" applyFill="1" applyBorder="1" applyAlignment="1">
      <alignment horizontal="left" vertical="center" wrapText="1"/>
    </xf>
    <xf numFmtId="0" fontId="96" fillId="25" borderId="11" xfId="0" applyFont="1" applyFill="1" applyBorder="1" applyAlignment="1">
      <alignment vertical="center" wrapText="1"/>
    </xf>
    <xf numFmtId="0" fontId="47" fillId="38" borderId="11" xfId="0" applyFont="1" applyFill="1" applyBorder="1" applyAlignment="1">
      <alignment horizontal="left" vertical="center" wrapText="1"/>
    </xf>
    <xf numFmtId="9" fontId="98" fillId="37" borderId="11" xfId="22" applyFont="1" applyFill="1" applyBorder="1" applyAlignment="1">
      <alignment horizontal="justify" vertical="center"/>
    </xf>
    <xf numFmtId="9" fontId="100" fillId="20" borderId="11" xfId="22" applyFont="1" applyFill="1" applyBorder="1" applyAlignment="1">
      <alignment horizontal="justify" vertical="center"/>
    </xf>
    <xf numFmtId="166" fontId="142" fillId="20" borderId="11" xfId="0" applyNumberFormat="1" applyFont="1" applyFill="1" applyBorder="1" applyAlignment="1">
      <alignment horizontal="justify" vertical="center"/>
    </xf>
    <xf numFmtId="0" fontId="49" fillId="20" borderId="6" xfId="0" applyFont="1" applyFill="1" applyBorder="1" applyAlignment="1">
      <alignment horizontal="justify" vertical="center"/>
    </xf>
    <xf numFmtId="166" fontId="98" fillId="20" borderId="12" xfId="0" applyNumberFormat="1" applyFont="1" applyFill="1" applyBorder="1" applyAlignment="1">
      <alignment horizontal="justify" vertical="center"/>
    </xf>
    <xf numFmtId="9" fontId="47" fillId="20" borderId="11" xfId="22" applyFont="1" applyFill="1" applyBorder="1" applyAlignment="1">
      <alignment horizontal="justify" vertical="center"/>
    </xf>
    <xf numFmtId="49" fontId="175" fillId="0" borderId="11" xfId="0" applyNumberFormat="1" applyFont="1" applyBorder="1" applyAlignment="1">
      <alignment horizontal="justify" vertical="center" wrapText="1"/>
    </xf>
    <xf numFmtId="49" fontId="48" fillId="0" borderId="19" xfId="0" applyNumberFormat="1" applyFont="1" applyBorder="1" applyAlignment="1">
      <alignment horizontal="left" vertical="center" wrapText="1"/>
    </xf>
    <xf numFmtId="49" fontId="146" fillId="24" borderId="11" xfId="0" applyNumberFormat="1" applyFont="1" applyFill="1" applyBorder="1" applyAlignment="1">
      <alignment vertical="center" wrapText="1"/>
    </xf>
    <xf numFmtId="0" fontId="146" fillId="25" borderId="11" xfId="0" applyFont="1" applyFill="1" applyBorder="1" applyAlignment="1">
      <alignment horizontal="justify" vertical="center" textRotation="90" wrapText="1"/>
    </xf>
    <xf numFmtId="166" fontId="83" fillId="24" borderId="11" xfId="0" applyNumberFormat="1" applyFont="1" applyFill="1" applyBorder="1" applyAlignment="1">
      <alignment horizontal="justify" vertical="center" wrapText="1"/>
    </xf>
    <xf numFmtId="0" fontId="49" fillId="0" borderId="0" xfId="0" applyFont="1" applyAlignment="1">
      <alignment horizontal="left" vertical="center" wrapText="1"/>
    </xf>
    <xf numFmtId="49" fontId="108" fillId="0" borderId="11" xfId="0" applyNumberFormat="1" applyFont="1" applyBorder="1" applyAlignment="1">
      <alignment horizontal="left" vertical="center" wrapText="1"/>
    </xf>
    <xf numFmtId="0" fontId="46" fillId="0" borderId="0" xfId="0" applyFont="1" applyAlignment="1">
      <alignment horizontal="center" vertical="top" wrapText="1"/>
    </xf>
    <xf numFmtId="0" fontId="46" fillId="0" borderId="0" xfId="0" applyFont="1" applyAlignment="1">
      <alignment horizontal="center"/>
    </xf>
    <xf numFmtId="166" fontId="104" fillId="24" borderId="11" xfId="0" applyNumberFormat="1" applyFont="1" applyFill="1" applyBorder="1" applyAlignment="1">
      <alignment horizontal="justify" vertical="center" wrapText="1"/>
    </xf>
    <xf numFmtId="49" fontId="104" fillId="24" borderId="11" xfId="0" applyNumberFormat="1" applyFont="1" applyFill="1" applyBorder="1" applyAlignment="1">
      <alignment horizontal="justify" vertical="center" wrapText="1"/>
    </xf>
    <xf numFmtId="49" fontId="91" fillId="37" borderId="11" xfId="0" applyNumberFormat="1" applyFont="1" applyFill="1" applyBorder="1" applyAlignment="1">
      <alignment horizontal="justify" vertical="center" wrapText="1"/>
    </xf>
    <xf numFmtId="49" fontId="104" fillId="20" borderId="11" xfId="0" applyNumberFormat="1" applyFont="1" applyFill="1" applyBorder="1" applyAlignment="1">
      <alignment horizontal="justify" vertical="center" wrapText="1"/>
    </xf>
    <xf numFmtId="49" fontId="91" fillId="19" borderId="11" xfId="0" applyNumberFormat="1" applyFont="1" applyFill="1" applyBorder="1" applyAlignment="1">
      <alignment horizontal="justify" vertical="center" wrapText="1"/>
    </xf>
    <xf numFmtId="49" fontId="91" fillId="24" borderId="11" xfId="0" applyNumberFormat="1" applyFont="1" applyFill="1" applyBorder="1" applyAlignment="1">
      <alignment horizontal="center" vertical="center" wrapText="1"/>
    </xf>
    <xf numFmtId="9" fontId="92" fillId="0" borderId="11" xfId="22" applyFont="1" applyFill="1" applyBorder="1" applyAlignment="1">
      <alignment horizontal="justify" vertical="center"/>
    </xf>
    <xf numFmtId="166" fontId="92" fillId="0" borderId="12" xfId="0" applyNumberFormat="1" applyFont="1" applyBorder="1" applyAlignment="1">
      <alignment horizontal="justify" vertical="center"/>
    </xf>
    <xf numFmtId="0" fontId="92" fillId="14" borderId="11" xfId="0" applyFont="1" applyFill="1" applyBorder="1" applyAlignment="1">
      <alignment horizontal="justify" vertical="center"/>
    </xf>
    <xf numFmtId="166" fontId="92" fillId="14" borderId="11" xfId="0" applyNumberFormat="1" applyFont="1" applyFill="1" applyBorder="1" applyAlignment="1">
      <alignment horizontal="justify" vertical="center"/>
    </xf>
    <xf numFmtId="9" fontId="92" fillId="14" borderId="11" xfId="22" applyFont="1" applyFill="1" applyBorder="1" applyAlignment="1">
      <alignment horizontal="justify" vertical="center"/>
    </xf>
    <xf numFmtId="166" fontId="92" fillId="14" borderId="12" xfId="0" applyNumberFormat="1" applyFont="1" applyFill="1" applyBorder="1" applyAlignment="1">
      <alignment horizontal="justify" vertical="center"/>
    </xf>
    <xf numFmtId="166" fontId="167" fillId="0" borderId="45" xfId="0" applyNumberFormat="1" applyFont="1" applyBorder="1" applyAlignment="1">
      <alignment horizontal="left" vertical="center" wrapText="1"/>
    </xf>
    <xf numFmtId="166" fontId="142" fillId="44" borderId="11" xfId="0" applyNumberFormat="1" applyFont="1" applyFill="1" applyBorder="1" applyAlignment="1">
      <alignment horizontal="justify" vertical="center"/>
    </xf>
    <xf numFmtId="166" fontId="176" fillId="0" borderId="0" xfId="0" applyNumberFormat="1" applyFont="1" applyAlignment="1">
      <alignment horizontal="left" vertical="center"/>
    </xf>
    <xf numFmtId="166" fontId="140" fillId="0" borderId="54" xfId="0" applyNumberFormat="1" applyFont="1" applyBorder="1" applyAlignment="1">
      <alignment horizontal="left" vertical="center"/>
    </xf>
    <xf numFmtId="166" fontId="178" fillId="28" borderId="45" xfId="0" applyNumberFormat="1" applyFont="1" applyFill="1" applyBorder="1" applyAlignment="1">
      <alignment horizontal="left" vertical="center" wrapText="1"/>
    </xf>
    <xf numFmtId="0" fontId="179" fillId="0" borderId="45" xfId="0" applyFont="1" applyBorder="1" applyAlignment="1">
      <alignment horizontal="left" vertical="center" wrapText="1"/>
    </xf>
    <xf numFmtId="166" fontId="178" fillId="0" borderId="45" xfId="0" applyNumberFormat="1" applyFont="1" applyBorder="1" applyAlignment="1">
      <alignment horizontal="left" vertical="center" wrapText="1"/>
    </xf>
    <xf numFmtId="166" fontId="100" fillId="37" borderId="11" xfId="0" applyNumberFormat="1" applyFont="1" applyFill="1" applyBorder="1" applyAlignment="1">
      <alignment horizontal="justify" vertical="center"/>
    </xf>
    <xf numFmtId="166" fontId="142" fillId="37" borderId="11" xfId="0" applyNumberFormat="1" applyFont="1" applyFill="1" applyBorder="1" applyAlignment="1">
      <alignment horizontal="justify" vertical="center"/>
    </xf>
    <xf numFmtId="0" fontId="49" fillId="46" borderId="11" xfId="0" applyFont="1" applyFill="1" applyBorder="1" applyAlignment="1">
      <alignment horizontal="justify" vertical="center"/>
    </xf>
    <xf numFmtId="166" fontId="98" fillId="46" borderId="11" xfId="0" applyNumberFormat="1" applyFont="1" applyFill="1" applyBorder="1" applyAlignment="1">
      <alignment horizontal="justify" vertical="center"/>
    </xf>
    <xf numFmtId="166" fontId="49" fillId="46" borderId="11" xfId="0" applyNumberFormat="1" applyFont="1" applyFill="1" applyBorder="1" applyAlignment="1">
      <alignment horizontal="justify" vertical="center"/>
    </xf>
    <xf numFmtId="166" fontId="100" fillId="46" borderId="11" xfId="0" applyNumberFormat="1" applyFont="1" applyFill="1" applyBorder="1" applyAlignment="1">
      <alignment horizontal="justify" vertical="center"/>
    </xf>
    <xf numFmtId="166" fontId="96" fillId="46" borderId="11" xfId="0" applyNumberFormat="1" applyFont="1" applyFill="1" applyBorder="1" applyAlignment="1">
      <alignment horizontal="justify" vertical="center"/>
    </xf>
    <xf numFmtId="166" fontId="142" fillId="46" borderId="11" xfId="0" applyNumberFormat="1" applyFont="1" applyFill="1" applyBorder="1" applyAlignment="1">
      <alignment horizontal="justify" vertical="center"/>
    </xf>
    <xf numFmtId="0" fontId="49" fillId="54" borderId="11" xfId="0" applyFont="1" applyFill="1" applyBorder="1" applyAlignment="1">
      <alignment horizontal="justify" vertical="center"/>
    </xf>
    <xf numFmtId="166" fontId="98" fillId="54" borderId="11" xfId="0" applyNumberFormat="1" applyFont="1" applyFill="1" applyBorder="1" applyAlignment="1">
      <alignment horizontal="justify" vertical="center"/>
    </xf>
    <xf numFmtId="166" fontId="49" fillId="54" borderId="11" xfId="0" applyNumberFormat="1" applyFont="1" applyFill="1" applyBorder="1" applyAlignment="1">
      <alignment horizontal="justify" vertical="center"/>
    </xf>
    <xf numFmtId="166" fontId="100" fillId="54" borderId="11" xfId="0" applyNumberFormat="1" applyFont="1" applyFill="1" applyBorder="1" applyAlignment="1">
      <alignment horizontal="justify" vertical="center"/>
    </xf>
    <xf numFmtId="166" fontId="96" fillId="54" borderId="11" xfId="0" applyNumberFormat="1" applyFont="1" applyFill="1" applyBorder="1" applyAlignment="1">
      <alignment horizontal="justify" vertical="center"/>
    </xf>
    <xf numFmtId="166" fontId="142" fillId="54" borderId="11" xfId="0" applyNumberFormat="1" applyFont="1" applyFill="1" applyBorder="1" applyAlignment="1">
      <alignment horizontal="justify" vertical="center"/>
    </xf>
    <xf numFmtId="0" fontId="49" fillId="29" borderId="11" xfId="0" applyFont="1" applyFill="1" applyBorder="1" applyAlignment="1">
      <alignment horizontal="justify" vertical="center"/>
    </xf>
    <xf numFmtId="166" fontId="98" fillId="29" borderId="11" xfId="0" applyNumberFormat="1" applyFont="1" applyFill="1" applyBorder="1" applyAlignment="1">
      <alignment horizontal="justify" vertical="center"/>
    </xf>
    <xf numFmtId="166" fontId="49" fillId="29" borderId="11" xfId="0" applyNumberFormat="1" applyFont="1" applyFill="1" applyBorder="1" applyAlignment="1">
      <alignment horizontal="justify" vertical="center"/>
    </xf>
    <xf numFmtId="166" fontId="100" fillId="29" borderId="11" xfId="0" applyNumberFormat="1" applyFont="1" applyFill="1" applyBorder="1" applyAlignment="1">
      <alignment horizontal="justify" vertical="center"/>
    </xf>
    <xf numFmtId="166" fontId="96" fillId="29" borderId="11" xfId="0" applyNumberFormat="1" applyFont="1" applyFill="1" applyBorder="1" applyAlignment="1">
      <alignment horizontal="justify" vertical="center"/>
    </xf>
    <xf numFmtId="166" fontId="142" fillId="29" borderId="11" xfId="0" applyNumberFormat="1" applyFont="1" applyFill="1" applyBorder="1" applyAlignment="1">
      <alignment horizontal="justify" vertical="center"/>
    </xf>
    <xf numFmtId="49" fontId="48" fillId="24" borderId="6" xfId="0" applyNumberFormat="1" applyFont="1" applyFill="1" applyBorder="1" applyAlignment="1">
      <alignment horizontal="justify" vertical="center"/>
    </xf>
    <xf numFmtId="49" fontId="146" fillId="24" borderId="19" xfId="0" applyNumberFormat="1" applyFont="1" applyFill="1" applyBorder="1" applyAlignment="1">
      <alignment horizontal="justify" vertical="center" wrapText="1"/>
    </xf>
    <xf numFmtId="0" fontId="181" fillId="0" borderId="0" xfId="0" applyFont="1" applyAlignment="1">
      <alignment horizontal="justify" vertical="center"/>
    </xf>
    <xf numFmtId="166" fontId="152" fillId="0" borderId="0" xfId="0" applyNumberFormat="1" applyFont="1" applyAlignment="1">
      <alignment horizontal="justify" vertical="center"/>
    </xf>
    <xf numFmtId="9" fontId="38" fillId="0" borderId="0" xfId="22" applyFont="1" applyAlignment="1">
      <alignment horizontal="left" vertical="center"/>
    </xf>
    <xf numFmtId="166" fontId="127" fillId="24" borderId="11" xfId="0" applyNumberFormat="1" applyFont="1" applyFill="1" applyBorder="1" applyAlignment="1">
      <alignment horizontal="justify" vertical="center"/>
    </xf>
    <xf numFmtId="166" fontId="127" fillId="20" borderId="11" xfId="0" applyNumberFormat="1" applyFont="1" applyFill="1" applyBorder="1" applyAlignment="1">
      <alignment horizontal="justify" vertical="center"/>
    </xf>
    <xf numFmtId="166" fontId="183" fillId="0" borderId="11" xfId="0" applyNumberFormat="1" applyFont="1" applyBorder="1" applyAlignment="1">
      <alignment horizontal="justify" vertical="center"/>
    </xf>
    <xf numFmtId="166" fontId="104" fillId="20" borderId="11" xfId="0" applyNumberFormat="1" applyFont="1" applyFill="1" applyBorder="1" applyAlignment="1">
      <alignment horizontal="justify" vertical="center"/>
    </xf>
    <xf numFmtId="166" fontId="157" fillId="0" borderId="0" xfId="0" applyNumberFormat="1" applyFont="1"/>
    <xf numFmtId="166" fontId="96" fillId="5" borderId="11" xfId="0" applyNumberFormat="1" applyFont="1" applyFill="1" applyBorder="1" applyAlignment="1">
      <alignment horizontal="justify" vertical="center"/>
    </xf>
    <xf numFmtId="166" fontId="94" fillId="0" borderId="11" xfId="0" applyNumberFormat="1" applyFont="1" applyBorder="1" applyAlignment="1">
      <alignment horizontal="justify" vertical="center"/>
    </xf>
    <xf numFmtId="166" fontId="153" fillId="24" borderId="11" xfId="0" applyNumberFormat="1" applyFont="1" applyFill="1" applyBorder="1" applyAlignment="1">
      <alignment horizontal="left" vertical="center"/>
    </xf>
    <xf numFmtId="166" fontId="128" fillId="5" borderId="11" xfId="0" applyNumberFormat="1" applyFont="1" applyFill="1" applyBorder="1" applyAlignment="1">
      <alignment horizontal="justify" vertical="center"/>
    </xf>
    <xf numFmtId="0" fontId="128" fillId="24" borderId="6" xfId="0" applyFont="1" applyFill="1" applyBorder="1" applyAlignment="1">
      <alignment horizontal="justify" vertical="center" wrapText="1"/>
    </xf>
    <xf numFmtId="0" fontId="128" fillId="24" borderId="6" xfId="0" applyFont="1" applyFill="1" applyBorder="1" applyAlignment="1">
      <alignment horizontal="justify" vertical="center" textRotation="90" wrapText="1"/>
    </xf>
    <xf numFmtId="0" fontId="153" fillId="24" borderId="6" xfId="0" applyFont="1" applyFill="1" applyBorder="1" applyAlignment="1">
      <alignment horizontal="justify" vertical="center"/>
    </xf>
    <xf numFmtId="166" fontId="153" fillId="24" borderId="12" xfId="0" applyNumberFormat="1" applyFont="1" applyFill="1" applyBorder="1" applyAlignment="1">
      <alignment horizontal="justify" vertical="center"/>
    </xf>
    <xf numFmtId="166" fontId="77" fillId="24" borderId="11" xfId="0" applyNumberFormat="1" applyFont="1" applyFill="1" applyBorder="1" applyAlignment="1">
      <alignment horizontal="justify" vertical="center"/>
    </xf>
    <xf numFmtId="0" fontId="128" fillId="24" borderId="11" xfId="0" applyFont="1" applyFill="1" applyBorder="1" applyAlignment="1">
      <alignment horizontal="justify" vertical="center" textRotation="90" wrapText="1"/>
    </xf>
    <xf numFmtId="166" fontId="96" fillId="24" borderId="16" xfId="0" applyNumberFormat="1" applyFont="1" applyFill="1" applyBorder="1" applyAlignment="1">
      <alignment vertical="center" wrapText="1"/>
    </xf>
    <xf numFmtId="166" fontId="96" fillId="24" borderId="19" xfId="0" applyNumberFormat="1" applyFont="1" applyFill="1" applyBorder="1" applyAlignment="1">
      <alignment vertical="center" wrapText="1"/>
    </xf>
    <xf numFmtId="166" fontId="96" fillId="24" borderId="17" xfId="0" applyNumberFormat="1" applyFont="1" applyFill="1" applyBorder="1" applyAlignment="1">
      <alignment vertical="center" wrapText="1"/>
    </xf>
    <xf numFmtId="166" fontId="33" fillId="42" borderId="11" xfId="0" applyNumberFormat="1" applyFont="1" applyFill="1" applyBorder="1"/>
    <xf numFmtId="166" fontId="59" fillId="0" borderId="0" xfId="0" applyNumberFormat="1" applyFont="1" applyAlignment="1">
      <alignment horizontal="justify" vertical="center"/>
    </xf>
    <xf numFmtId="0" fontId="33" fillId="0" borderId="11" xfId="0" applyFont="1" applyBorder="1" applyAlignment="1">
      <alignment horizontal="left" wrapText="1"/>
    </xf>
    <xf numFmtId="2" fontId="39" fillId="0" borderId="0" xfId="0" applyNumberFormat="1" applyFont="1"/>
    <xf numFmtId="0" fontId="59" fillId="0" borderId="11" xfId="0" applyFont="1" applyBorder="1" applyAlignment="1">
      <alignment horizontal="justify" vertical="center"/>
    </xf>
    <xf numFmtId="166" fontId="59" fillId="0" borderId="11" xfId="0" applyNumberFormat="1" applyFont="1" applyBorder="1" applyAlignment="1">
      <alignment horizontal="justify" vertical="center"/>
    </xf>
    <xf numFmtId="166" fontId="59" fillId="0" borderId="16" xfId="0" applyNumberFormat="1" applyFont="1" applyBorder="1" applyAlignment="1">
      <alignment horizontal="justify" vertical="center"/>
    </xf>
    <xf numFmtId="166" fontId="59" fillId="0" borderId="83" xfId="0" applyNumberFormat="1" applyFont="1" applyBorder="1" applyAlignment="1">
      <alignment horizontal="justify" vertical="center"/>
    </xf>
    <xf numFmtId="9" fontId="38" fillId="0" borderId="0" xfId="22" applyFont="1" applyFill="1" applyAlignment="1">
      <alignment horizontal="left" vertical="center"/>
    </xf>
    <xf numFmtId="166" fontId="60" fillId="0" borderId="16" xfId="0" applyNumberFormat="1" applyFont="1" applyBorder="1" applyAlignment="1">
      <alignment horizontal="justify" vertical="center"/>
    </xf>
    <xf numFmtId="166" fontId="96" fillId="24" borderId="12" xfId="0" applyNumberFormat="1" applyFont="1" applyFill="1" applyBorder="1" applyAlignment="1">
      <alignment horizontal="left" vertical="center"/>
    </xf>
    <xf numFmtId="166" fontId="83" fillId="24" borderId="11" xfId="0" applyNumberFormat="1" applyFont="1" applyFill="1" applyBorder="1" applyAlignment="1">
      <alignment horizontal="left" vertical="center"/>
    </xf>
    <xf numFmtId="0" fontId="48" fillId="24" borderId="11" xfId="0" applyFont="1" applyFill="1" applyBorder="1" applyAlignment="1">
      <alignment horizontal="left" vertical="center"/>
    </xf>
    <xf numFmtId="9" fontId="83" fillId="24" borderId="11" xfId="22" applyFont="1" applyFill="1" applyBorder="1" applyAlignment="1">
      <alignment horizontal="left" vertical="center"/>
    </xf>
    <xf numFmtId="166" fontId="142" fillId="24" borderId="12" xfId="0" applyNumberFormat="1" applyFont="1" applyFill="1" applyBorder="1" applyAlignment="1">
      <alignment horizontal="left" vertical="center"/>
    </xf>
    <xf numFmtId="166" fontId="78" fillId="42" borderId="11" xfId="0" applyNumberFormat="1" applyFont="1" applyFill="1" applyBorder="1"/>
    <xf numFmtId="166" fontId="60" fillId="0" borderId="11" xfId="0" applyNumberFormat="1" applyFont="1" applyBorder="1" applyAlignment="1">
      <alignment horizontal="justify" vertical="center"/>
    </xf>
    <xf numFmtId="9" fontId="63" fillId="0" borderId="0" xfId="22" applyFont="1" applyFill="1" applyAlignment="1">
      <alignment horizontal="justify" vertical="center"/>
    </xf>
    <xf numFmtId="0" fontId="63" fillId="0" borderId="0" xfId="0" applyFont="1" applyAlignment="1">
      <alignment horizontal="center" vertical="center"/>
    </xf>
    <xf numFmtId="10" fontId="63" fillId="0" borderId="0" xfId="22" applyNumberFormat="1" applyFont="1" applyFill="1" applyAlignment="1">
      <alignment horizontal="justify" vertical="center"/>
    </xf>
    <xf numFmtId="9" fontId="39" fillId="0" borderId="0" xfId="22" applyFont="1" applyFill="1" applyAlignment="1">
      <alignment horizontal="left" vertical="center"/>
    </xf>
    <xf numFmtId="166" fontId="29" fillId="42" borderId="11" xfId="0" applyNumberFormat="1" applyFont="1" applyFill="1" applyBorder="1"/>
    <xf numFmtId="10" fontId="39" fillId="0" borderId="0" xfId="22" applyNumberFormat="1" applyFont="1" applyAlignment="1">
      <alignment horizontal="left" vertical="center"/>
    </xf>
    <xf numFmtId="9" fontId="92" fillId="0" borderId="11" xfId="22" applyFont="1" applyBorder="1" applyAlignment="1">
      <alignment horizontal="justify" vertical="center"/>
    </xf>
    <xf numFmtId="0" fontId="45" fillId="0" borderId="0" xfId="0" applyFont="1" applyAlignment="1">
      <alignment horizontal="center"/>
    </xf>
    <xf numFmtId="10" fontId="39" fillId="0" borderId="0" xfId="22" applyNumberFormat="1" applyFont="1" applyFill="1" applyAlignment="1">
      <alignment horizontal="left" vertical="center"/>
    </xf>
    <xf numFmtId="166" fontId="144" fillId="0" borderId="11" xfId="0" applyNumberFormat="1" applyFont="1" applyBorder="1" applyAlignment="1">
      <alignment vertical="center"/>
    </xf>
    <xf numFmtId="166" fontId="47" fillId="45" borderId="0" xfId="0" applyNumberFormat="1" applyFont="1" applyFill="1" applyAlignment="1">
      <alignment horizontal="left" vertical="center"/>
    </xf>
    <xf numFmtId="166" fontId="29" fillId="45" borderId="0" xfId="0" applyNumberFormat="1" applyFont="1" applyFill="1"/>
    <xf numFmtId="166" fontId="87" fillId="45" borderId="0" xfId="0" applyNumberFormat="1" applyFont="1" applyFill="1" applyAlignment="1">
      <alignment horizontal="justify" vertical="center"/>
    </xf>
    <xf numFmtId="166" fontId="87" fillId="45" borderId="0" xfId="0" applyNumberFormat="1" applyFont="1" applyFill="1"/>
    <xf numFmtId="10" fontId="39" fillId="0" borderId="45" xfId="22" applyNumberFormat="1" applyFont="1" applyBorder="1" applyAlignment="1">
      <alignment horizontal="left" vertical="center"/>
    </xf>
    <xf numFmtId="0" fontId="0" fillId="0" borderId="0" xfId="0" applyAlignment="1">
      <alignment wrapText="1"/>
    </xf>
    <xf numFmtId="9" fontId="48" fillId="24" borderId="11" xfId="22" applyFont="1" applyFill="1" applyBorder="1" applyAlignment="1">
      <alignment horizontal="justify" vertical="center" wrapText="1"/>
    </xf>
    <xf numFmtId="0" fontId="52" fillId="18" borderId="11" xfId="0" applyFont="1" applyFill="1" applyBorder="1" applyAlignment="1">
      <alignment horizontal="justify" vertical="center" wrapText="1"/>
    </xf>
    <xf numFmtId="0" fontId="52" fillId="18" borderId="11" xfId="0" applyFont="1" applyFill="1" applyBorder="1" applyAlignment="1">
      <alignment horizontal="center" vertical="center" wrapText="1"/>
    </xf>
    <xf numFmtId="0" fontId="119" fillId="18" borderId="11" xfId="0" applyFont="1" applyFill="1" applyBorder="1" applyAlignment="1">
      <alignment horizontal="center" vertical="center" wrapText="1"/>
    </xf>
    <xf numFmtId="166" fontId="52" fillId="0" borderId="11" xfId="0" applyNumberFormat="1" applyFont="1" applyBorder="1" applyAlignment="1">
      <alignment horizontal="center" vertical="center" wrapText="1"/>
    </xf>
    <xf numFmtId="1" fontId="52" fillId="0" borderId="11" xfId="0" applyNumberFormat="1" applyFont="1" applyBorder="1" applyAlignment="1">
      <alignment horizontal="center" vertical="center" wrapText="1"/>
    </xf>
    <xf numFmtId="166" fontId="142" fillId="48" borderId="11" xfId="0" applyNumberFormat="1" applyFont="1" applyFill="1" applyBorder="1" applyAlignment="1">
      <alignment horizontal="left" vertical="center"/>
    </xf>
    <xf numFmtId="166" fontId="145" fillId="48" borderId="11" xfId="0" applyNumberFormat="1" applyFont="1" applyFill="1" applyBorder="1" applyAlignment="1">
      <alignment horizontal="left" vertical="center"/>
    </xf>
    <xf numFmtId="166" fontId="96" fillId="48" borderId="11" xfId="0" applyNumberFormat="1" applyFont="1" applyFill="1" applyBorder="1" applyAlignment="1">
      <alignment horizontal="left" vertical="center"/>
    </xf>
    <xf numFmtId="166" fontId="47" fillId="48" borderId="11" xfId="0" applyNumberFormat="1" applyFont="1" applyFill="1" applyBorder="1" applyAlignment="1">
      <alignment horizontal="left" vertical="center"/>
    </xf>
    <xf numFmtId="166" fontId="144" fillId="48" borderId="11" xfId="0" applyNumberFormat="1" applyFont="1" applyFill="1" applyBorder="1" applyAlignment="1">
      <alignment horizontal="left" vertical="center"/>
    </xf>
    <xf numFmtId="0" fontId="60" fillId="0" borderId="0" xfId="0" applyFont="1" applyAlignment="1">
      <alignment horizontal="right" vertical="center"/>
    </xf>
    <xf numFmtId="166" fontId="59" fillId="5" borderId="11" xfId="0" applyNumberFormat="1" applyFont="1" applyFill="1" applyBorder="1" applyAlignment="1">
      <alignment horizontal="left" vertical="center"/>
    </xf>
    <xf numFmtId="166" fontId="59" fillId="0" borderId="0" xfId="0" applyNumberFormat="1" applyFont="1" applyAlignment="1">
      <alignment horizontal="left" vertical="center"/>
    </xf>
    <xf numFmtId="166" fontId="149" fillId="48" borderId="11" xfId="0" applyNumberFormat="1" applyFont="1" applyFill="1" applyBorder="1" applyAlignment="1">
      <alignment horizontal="left" vertical="center"/>
    </xf>
    <xf numFmtId="49" fontId="94" fillId="24" borderId="11" xfId="0" applyNumberFormat="1" applyFont="1" applyFill="1" applyBorder="1" applyAlignment="1">
      <alignment horizontal="left" vertical="center"/>
    </xf>
    <xf numFmtId="0" fontId="94" fillId="24" borderId="11" xfId="0" applyFont="1" applyFill="1" applyBorder="1" applyAlignment="1">
      <alignment horizontal="left" vertical="center" textRotation="90" wrapText="1"/>
    </xf>
    <xf numFmtId="0" fontId="144" fillId="25" borderId="11" xfId="0" applyFont="1" applyFill="1" applyBorder="1" applyAlignment="1">
      <alignment horizontal="left" vertical="center" wrapText="1"/>
    </xf>
    <xf numFmtId="9" fontId="144" fillId="24" borderId="11" xfId="22" applyFont="1" applyFill="1" applyBorder="1" applyAlignment="1">
      <alignment horizontal="left" vertical="center" wrapText="1"/>
    </xf>
    <xf numFmtId="9" fontId="144" fillId="24" borderId="11" xfId="22" applyFont="1" applyFill="1" applyBorder="1" applyAlignment="1">
      <alignment horizontal="left" vertical="center"/>
    </xf>
    <xf numFmtId="0" fontId="92" fillId="24" borderId="11" xfId="0" applyFont="1" applyFill="1" applyBorder="1" applyAlignment="1">
      <alignment horizontal="center" vertical="center"/>
    </xf>
    <xf numFmtId="49" fontId="94" fillId="24" borderId="11" xfId="0" applyNumberFormat="1" applyFont="1" applyFill="1" applyBorder="1" applyAlignment="1">
      <alignment horizontal="left" vertical="center" wrapText="1"/>
    </xf>
    <xf numFmtId="49" fontId="83" fillId="24" borderId="11" xfId="0" applyNumberFormat="1" applyFont="1" applyFill="1" applyBorder="1" applyAlignment="1">
      <alignment horizontal="center" vertical="center" wrapText="1"/>
    </xf>
    <xf numFmtId="0" fontId="128" fillId="24" borderId="11" xfId="0" applyFont="1" applyFill="1" applyBorder="1" applyAlignment="1">
      <alignment horizontal="justify" vertical="center" wrapText="1"/>
    </xf>
    <xf numFmtId="0" fontId="48" fillId="25" borderId="11" xfId="0" applyFont="1" applyFill="1" applyBorder="1" applyAlignment="1">
      <alignment horizontal="left" vertical="center" wrapText="1"/>
    </xf>
    <xf numFmtId="0" fontId="48" fillId="0" borderId="11" xfId="0" applyFont="1" applyBorder="1" applyAlignment="1">
      <alignment horizontal="justify" vertical="center" textRotation="90" wrapText="1"/>
    </xf>
    <xf numFmtId="0" fontId="47" fillId="0" borderId="11" xfId="0" applyFont="1" applyBorder="1" applyAlignment="1">
      <alignment horizontal="center" vertical="center" textRotation="90" wrapText="1"/>
    </xf>
    <xf numFmtId="0" fontId="88" fillId="0" borderId="11" xfId="0" applyFont="1" applyBorder="1" applyAlignment="1">
      <alignment horizontal="justify" vertical="center" textRotation="90" wrapText="1"/>
    </xf>
    <xf numFmtId="0" fontId="48" fillId="19" borderId="11" xfId="0" applyFont="1" applyFill="1" applyBorder="1" applyAlignment="1">
      <alignment horizontal="justify" vertical="center" textRotation="90" wrapText="1"/>
    </xf>
    <xf numFmtId="9" fontId="40" fillId="0" borderId="0" xfId="22" applyFont="1" applyFill="1" applyAlignment="1">
      <alignment horizontal="left" vertical="center"/>
    </xf>
    <xf numFmtId="9" fontId="33" fillId="0" borderId="0" xfId="0" applyNumberFormat="1" applyFont="1"/>
    <xf numFmtId="0" fontId="96" fillId="0" borderId="11" xfId="0" applyFont="1" applyBorder="1" applyAlignment="1">
      <alignment horizontal="left" vertical="center" wrapText="1"/>
    </xf>
    <xf numFmtId="166" fontId="184" fillId="0" borderId="11" xfId="0" applyNumberFormat="1" applyFont="1" applyBorder="1" applyAlignment="1">
      <alignment horizontal="justify" vertical="center"/>
    </xf>
    <xf numFmtId="0" fontId="49" fillId="14" borderId="11" xfId="0" applyFont="1" applyFill="1" applyBorder="1" applyAlignment="1">
      <alignment horizontal="justify" vertical="center"/>
    </xf>
    <xf numFmtId="166" fontId="111" fillId="14" borderId="11" xfId="0" applyNumberFormat="1" applyFont="1" applyFill="1" applyBorder="1" applyAlignment="1">
      <alignment horizontal="justify" vertical="center"/>
    </xf>
    <xf numFmtId="49" fontId="48" fillId="24" borderId="33" xfId="0" applyNumberFormat="1" applyFont="1" applyFill="1" applyBorder="1" applyAlignment="1">
      <alignment horizontal="center" vertical="center" wrapText="1"/>
    </xf>
    <xf numFmtId="49" fontId="48" fillId="24" borderId="32" xfId="0" applyNumberFormat="1" applyFont="1" applyFill="1" applyBorder="1" applyAlignment="1">
      <alignment horizontal="center" vertical="center" wrapText="1"/>
    </xf>
    <xf numFmtId="166" fontId="29" fillId="0" borderId="11" xfId="0" applyNumberFormat="1" applyFont="1" applyBorder="1"/>
    <xf numFmtId="166" fontId="33" fillId="0" borderId="11" xfId="0" applyNumberFormat="1" applyFont="1" applyBorder="1"/>
    <xf numFmtId="166" fontId="187" fillId="0" borderId="11" xfId="0" applyNumberFormat="1" applyFont="1" applyBorder="1" applyAlignment="1">
      <alignment horizontal="justify" vertical="center"/>
    </xf>
    <xf numFmtId="166" fontId="188" fillId="14" borderId="11" xfId="0" applyNumberFormat="1" applyFont="1" applyFill="1" applyBorder="1" applyAlignment="1">
      <alignment horizontal="justify" vertical="center"/>
    </xf>
    <xf numFmtId="166" fontId="0" fillId="0" borderId="11" xfId="0" applyNumberFormat="1" applyBorder="1"/>
    <xf numFmtId="0" fontId="29" fillId="0" borderId="11" xfId="0" applyFont="1" applyBorder="1"/>
    <xf numFmtId="0" fontId="33" fillId="0" borderId="11" xfId="0" applyFont="1" applyBorder="1"/>
    <xf numFmtId="166" fontId="146" fillId="24" borderId="17" xfId="0" applyNumberFormat="1" applyFont="1" applyFill="1" applyBorder="1" applyAlignment="1">
      <alignment horizontal="justify" vertical="center"/>
    </xf>
    <xf numFmtId="166" fontId="60" fillId="0" borderId="0" xfId="0" applyNumberFormat="1" applyFont="1" applyAlignment="1">
      <alignment horizontal="center" vertical="center"/>
    </xf>
    <xf numFmtId="166" fontId="51" fillId="0" borderId="11" xfId="0" applyNumberFormat="1" applyFont="1" applyBorder="1"/>
    <xf numFmtId="166" fontId="29" fillId="0" borderId="12" xfId="0" applyNumberFormat="1" applyFont="1" applyBorder="1"/>
    <xf numFmtId="166" fontId="33" fillId="0" borderId="12" xfId="0" applyNumberFormat="1" applyFont="1" applyBorder="1"/>
    <xf numFmtId="0" fontId="33" fillId="0" borderId="12" xfId="0" applyFont="1" applyBorder="1"/>
    <xf numFmtId="166" fontId="129" fillId="0" borderId="11" xfId="0" applyNumberFormat="1" applyFont="1" applyBorder="1"/>
    <xf numFmtId="166" fontId="186" fillId="0" borderId="11" xfId="0" applyNumberFormat="1" applyFont="1" applyBorder="1"/>
    <xf numFmtId="0" fontId="186" fillId="0" borderId="11" xfId="0" applyFont="1" applyBorder="1"/>
    <xf numFmtId="0" fontId="129" fillId="0" borderId="11" xfId="0" applyFont="1" applyBorder="1"/>
    <xf numFmtId="166" fontId="130" fillId="0" borderId="11" xfId="0" applyNumberFormat="1" applyFont="1" applyBorder="1"/>
    <xf numFmtId="9" fontId="149" fillId="0" borderId="0" xfId="22" applyFont="1" applyAlignment="1">
      <alignment horizontal="justify" vertical="center"/>
    </xf>
    <xf numFmtId="0" fontId="51" fillId="0" borderId="12" xfId="0" applyFont="1" applyBorder="1"/>
    <xf numFmtId="166" fontId="51" fillId="0" borderId="12" xfId="0" applyNumberFormat="1" applyFont="1" applyBorder="1"/>
    <xf numFmtId="166" fontId="78" fillId="0" borderId="12" xfId="0" applyNumberFormat="1" applyFont="1" applyBorder="1"/>
    <xf numFmtId="166" fontId="129" fillId="0" borderId="12" xfId="0" applyNumberFormat="1" applyFont="1" applyBorder="1"/>
    <xf numFmtId="0" fontId="129" fillId="0" borderId="12" xfId="0" applyFont="1" applyBorder="1"/>
    <xf numFmtId="166" fontId="0" fillId="0" borderId="12" xfId="0" applyNumberFormat="1" applyBorder="1"/>
    <xf numFmtId="0" fontId="0" fillId="0" borderId="12" xfId="0" applyBorder="1"/>
    <xf numFmtId="0" fontId="49" fillId="0" borderId="0" xfId="0" applyFont="1" applyAlignment="1">
      <alignment vertical="center" wrapText="1"/>
    </xf>
    <xf numFmtId="166" fontId="129" fillId="0" borderId="0" xfId="0" applyNumberFormat="1" applyFont="1"/>
    <xf numFmtId="0" fontId="129" fillId="0" borderId="0" xfId="0" applyFont="1"/>
    <xf numFmtId="49" fontId="128" fillId="24" borderId="11" xfId="0" applyNumberFormat="1" applyFont="1" applyFill="1" applyBorder="1" applyAlignment="1">
      <alignment horizontal="left" vertical="center" wrapText="1"/>
    </xf>
    <xf numFmtId="49" fontId="83" fillId="0" borderId="11" xfId="0" applyNumberFormat="1" applyFont="1" applyBorder="1" applyAlignment="1">
      <alignment horizontal="justify" vertical="center" wrapText="1"/>
    </xf>
    <xf numFmtId="49" fontId="94" fillId="0" borderId="11" xfId="0" applyNumberFormat="1" applyFont="1" applyBorder="1" applyAlignment="1">
      <alignment horizontal="left" vertical="center" wrapText="1"/>
    </xf>
    <xf numFmtId="166" fontId="185" fillId="40" borderId="11" xfId="0" applyNumberFormat="1" applyFont="1" applyFill="1" applyBorder="1"/>
    <xf numFmtId="166" fontId="29" fillId="40" borderId="11" xfId="0" applyNumberFormat="1" applyFont="1" applyFill="1" applyBorder="1"/>
    <xf numFmtId="166" fontId="51" fillId="40" borderId="11" xfId="0" applyNumberFormat="1" applyFont="1" applyFill="1" applyBorder="1"/>
    <xf numFmtId="166" fontId="33" fillId="40" borderId="11" xfId="0" applyNumberFormat="1" applyFont="1" applyFill="1" applyBorder="1"/>
    <xf numFmtId="166" fontId="29" fillId="19" borderId="11" xfId="0" applyNumberFormat="1" applyFont="1" applyFill="1" applyBorder="1"/>
    <xf numFmtId="166" fontId="0" fillId="19" borderId="11" xfId="0" applyNumberFormat="1" applyFill="1" applyBorder="1"/>
    <xf numFmtId="0" fontId="78" fillId="0" borderId="0" xfId="0" applyFont="1" applyAlignment="1">
      <alignment horizontal="center" wrapText="1"/>
    </xf>
    <xf numFmtId="0" fontId="33" fillId="40" borderId="11" xfId="0" applyFont="1" applyFill="1" applyBorder="1"/>
    <xf numFmtId="0" fontId="57" fillId="0" borderId="0" xfId="0" applyFont="1" applyAlignment="1">
      <alignment horizontal="center"/>
    </xf>
    <xf numFmtId="0" fontId="57" fillId="0" borderId="49" xfId="0" applyFont="1" applyBorder="1" applyAlignment="1">
      <alignment horizontal="center"/>
    </xf>
    <xf numFmtId="0" fontId="57" fillId="10" borderId="45" xfId="0" applyFont="1" applyFill="1" applyBorder="1" applyAlignment="1">
      <alignment horizontal="center" vertical="center" wrapText="1"/>
    </xf>
    <xf numFmtId="0" fontId="190" fillId="11" borderId="45" xfId="0" applyFont="1" applyFill="1" applyBorder="1" applyAlignment="1">
      <alignment horizontal="center" vertical="center" wrapText="1"/>
    </xf>
    <xf numFmtId="0" fontId="190" fillId="11" borderId="45" xfId="0" applyFont="1" applyFill="1" applyBorder="1" applyAlignment="1">
      <alignment horizontal="center" vertical="center"/>
    </xf>
    <xf numFmtId="0" fontId="57" fillId="0" borderId="54" xfId="0" applyFont="1" applyBorder="1" applyAlignment="1">
      <alignment horizontal="center"/>
    </xf>
    <xf numFmtId="166" fontId="60" fillId="19" borderId="11" xfId="0" applyNumberFormat="1" applyFont="1" applyFill="1" applyBorder="1" applyAlignment="1">
      <alignment horizontal="justify" vertical="center"/>
    </xf>
    <xf numFmtId="49" fontId="94" fillId="0" borderId="0" xfId="0" applyNumberFormat="1" applyFont="1" applyAlignment="1">
      <alignment vertical="center"/>
    </xf>
    <xf numFmtId="0" fontId="94" fillId="0" borderId="0" xfId="0" applyFont="1" applyAlignment="1">
      <alignment horizontal="left" vertical="center"/>
    </xf>
    <xf numFmtId="0" fontId="186" fillId="0" borderId="0" xfId="0" applyFont="1" applyAlignment="1">
      <alignment horizontal="left" vertical="center"/>
    </xf>
    <xf numFmtId="0" fontId="184" fillId="0" borderId="0" xfId="0" applyFont="1" applyAlignment="1">
      <alignment horizontal="justify" vertical="center"/>
    </xf>
    <xf numFmtId="0" fontId="94" fillId="0" borderId="0" xfId="0" applyFont="1" applyAlignment="1">
      <alignment horizontal="justify" vertical="center"/>
    </xf>
    <xf numFmtId="9" fontId="128" fillId="51" borderId="11" xfId="22" applyFont="1" applyFill="1" applyBorder="1" applyAlignment="1">
      <alignment horizontal="justify" vertical="center"/>
    </xf>
    <xf numFmtId="9" fontId="94" fillId="51" borderId="11" xfId="22" applyFont="1" applyFill="1" applyBorder="1" applyAlignment="1">
      <alignment horizontal="justify" vertical="center"/>
    </xf>
    <xf numFmtId="9" fontId="128" fillId="24" borderId="11" xfId="22" applyFont="1" applyFill="1" applyBorder="1" applyAlignment="1">
      <alignment horizontal="justify" vertical="center"/>
    </xf>
    <xf numFmtId="9" fontId="94" fillId="24" borderId="11" xfId="22" applyFont="1" applyFill="1" applyBorder="1" applyAlignment="1">
      <alignment horizontal="justify" vertical="center"/>
    </xf>
    <xf numFmtId="9" fontId="94" fillId="0" borderId="0" xfId="22" applyFont="1" applyFill="1" applyAlignment="1">
      <alignment horizontal="left" vertical="center"/>
    </xf>
    <xf numFmtId="9" fontId="128" fillId="27" borderId="11" xfId="22" applyFont="1" applyFill="1" applyBorder="1" applyAlignment="1">
      <alignment horizontal="justify" vertical="center"/>
    </xf>
    <xf numFmtId="9" fontId="128" fillId="53" borderId="11" xfId="22" applyFont="1" applyFill="1" applyBorder="1" applyAlignment="1">
      <alignment horizontal="justify" vertical="center"/>
    </xf>
    <xf numFmtId="9" fontId="128" fillId="0" borderId="11" xfId="22" applyFont="1" applyFill="1" applyBorder="1" applyAlignment="1">
      <alignment horizontal="justify" vertical="center"/>
    </xf>
    <xf numFmtId="9" fontId="128" fillId="14" borderId="11" xfId="22" applyFont="1" applyFill="1" applyBorder="1" applyAlignment="1">
      <alignment horizontal="justify" vertical="center"/>
    </xf>
    <xf numFmtId="166" fontId="184" fillId="0" borderId="0" xfId="0" applyNumberFormat="1" applyFont="1" applyAlignment="1">
      <alignment horizontal="justify" vertical="center"/>
    </xf>
    <xf numFmtId="0" fontId="191" fillId="0" borderId="0" xfId="0" applyFont="1" applyAlignment="1">
      <alignment horizontal="justify" vertical="center"/>
    </xf>
    <xf numFmtId="166" fontId="191" fillId="0" borderId="0" xfId="0" applyNumberFormat="1" applyFont="1" applyAlignment="1">
      <alignment horizontal="justify" vertical="center"/>
    </xf>
    <xf numFmtId="0" fontId="94" fillId="0" borderId="11" xfId="0" applyFont="1" applyBorder="1" applyAlignment="1">
      <alignment horizontal="center" vertical="center" wrapText="1"/>
    </xf>
    <xf numFmtId="9" fontId="94" fillId="23" borderId="11" xfId="22" applyFont="1" applyFill="1" applyBorder="1" applyAlignment="1">
      <alignment horizontal="justify" vertical="center" wrapText="1"/>
    </xf>
    <xf numFmtId="9" fontId="94" fillId="0" borderId="11" xfId="22" applyFont="1" applyFill="1" applyBorder="1" applyAlignment="1">
      <alignment horizontal="justify" vertical="center"/>
    </xf>
    <xf numFmtId="9" fontId="94" fillId="14" borderId="11" xfId="22" applyFont="1" applyFill="1" applyBorder="1" applyAlignment="1">
      <alignment horizontal="justify" vertical="center"/>
    </xf>
    <xf numFmtId="9" fontId="94" fillId="23" borderId="11" xfId="22" applyFont="1" applyFill="1" applyBorder="1" applyAlignment="1">
      <alignment horizontal="justify" vertical="center"/>
    </xf>
    <xf numFmtId="9" fontId="94" fillId="11" borderId="11" xfId="22" applyFont="1" applyFill="1" applyBorder="1" applyAlignment="1">
      <alignment horizontal="center" vertical="center" wrapText="1"/>
    </xf>
    <xf numFmtId="9" fontId="94" fillId="0" borderId="11" xfId="22" applyFont="1" applyFill="1" applyBorder="1" applyAlignment="1">
      <alignment horizontal="justify" vertical="center" wrapText="1"/>
    </xf>
    <xf numFmtId="9" fontId="94" fillId="14" borderId="11" xfId="22" applyFont="1" applyFill="1" applyBorder="1" applyAlignment="1">
      <alignment horizontal="justify" vertical="center" wrapText="1"/>
    </xf>
    <xf numFmtId="0" fontId="184" fillId="0" borderId="11" xfId="0" applyFont="1" applyBorder="1" applyAlignment="1">
      <alignment horizontal="justify" vertical="center"/>
    </xf>
    <xf numFmtId="0" fontId="128" fillId="24" borderId="11" xfId="0" applyFont="1" applyFill="1" applyBorder="1" applyAlignment="1">
      <alignment horizontal="justify" vertical="center"/>
    </xf>
    <xf numFmtId="166" fontId="128" fillId="24" borderId="11" xfId="0" applyNumberFormat="1" applyFont="1" applyFill="1" applyBorder="1" applyAlignment="1">
      <alignment horizontal="justify" vertical="center" wrapText="1"/>
    </xf>
    <xf numFmtId="166" fontId="94" fillId="24" borderId="11" xfId="0" applyNumberFormat="1" applyFont="1" applyFill="1" applyBorder="1" applyAlignment="1">
      <alignment horizontal="justify" vertical="center"/>
    </xf>
    <xf numFmtId="0" fontId="94" fillId="14" borderId="11" xfId="0" applyFont="1" applyFill="1" applyBorder="1" applyAlignment="1">
      <alignment horizontal="justify" vertical="center"/>
    </xf>
    <xf numFmtId="166" fontId="94" fillId="14" borderId="11" xfId="0" applyNumberFormat="1" applyFont="1" applyFill="1" applyBorder="1" applyAlignment="1">
      <alignment horizontal="justify" vertical="center"/>
    </xf>
    <xf numFmtId="9" fontId="128" fillId="24" borderId="11" xfId="22" applyFont="1" applyFill="1" applyBorder="1" applyAlignment="1">
      <alignment horizontal="justify" vertical="center" wrapText="1"/>
    </xf>
    <xf numFmtId="166" fontId="128" fillId="24" borderId="11" xfId="0" applyNumberFormat="1" applyFont="1" applyFill="1" applyBorder="1" applyAlignment="1">
      <alignment horizontal="center" vertical="center" wrapText="1"/>
    </xf>
    <xf numFmtId="166" fontId="94" fillId="24" borderId="11" xfId="0" applyNumberFormat="1" applyFont="1" applyFill="1" applyBorder="1" applyAlignment="1">
      <alignment horizontal="center" vertical="center" wrapText="1"/>
    </xf>
    <xf numFmtId="166" fontId="128" fillId="24" borderId="11" xfId="0" applyNumberFormat="1" applyFont="1" applyFill="1" applyBorder="1" applyAlignment="1">
      <alignment horizontal="center" vertical="center"/>
    </xf>
    <xf numFmtId="9" fontId="94" fillId="24" borderId="11" xfId="22" applyFont="1" applyFill="1" applyBorder="1" applyAlignment="1">
      <alignment horizontal="justify" vertical="center" wrapText="1"/>
    </xf>
    <xf numFmtId="9" fontId="96" fillId="37" borderId="11" xfId="22" applyFont="1" applyFill="1" applyBorder="1" applyAlignment="1">
      <alignment horizontal="left" vertical="center"/>
    </xf>
    <xf numFmtId="9" fontId="48" fillId="34" borderId="11" xfId="22" applyFont="1" applyFill="1" applyBorder="1" applyAlignment="1">
      <alignment horizontal="left" vertical="center"/>
    </xf>
    <xf numFmtId="9" fontId="96" fillId="51" borderId="11" xfId="22" applyFont="1" applyFill="1" applyBorder="1" applyAlignment="1">
      <alignment horizontal="left" vertical="center"/>
    </xf>
    <xf numFmtId="9" fontId="96" fillId="40" borderId="11" xfId="22" applyFont="1" applyFill="1" applyBorder="1" applyAlignment="1">
      <alignment horizontal="left" vertical="center"/>
    </xf>
    <xf numFmtId="9" fontId="96" fillId="24" borderId="17" xfId="22" applyFont="1" applyFill="1" applyBorder="1" applyAlignment="1">
      <alignment horizontal="left" vertical="center"/>
    </xf>
    <xf numFmtId="9" fontId="96" fillId="24" borderId="28" xfId="22" applyFont="1" applyFill="1" applyBorder="1" applyAlignment="1">
      <alignment horizontal="left" vertical="center"/>
    </xf>
    <xf numFmtId="9" fontId="48" fillId="23" borderId="11" xfId="22" applyFont="1" applyFill="1" applyBorder="1" applyAlignment="1">
      <alignment horizontal="left" vertical="center" wrapText="1"/>
    </xf>
    <xf numFmtId="9" fontId="48" fillId="0" borderId="11" xfId="22" applyFont="1" applyBorder="1" applyAlignment="1">
      <alignment horizontal="left" vertical="center"/>
    </xf>
    <xf numFmtId="9" fontId="48" fillId="14" borderId="11" xfId="22" applyFont="1" applyFill="1" applyBorder="1" applyAlignment="1">
      <alignment horizontal="left" vertical="center"/>
    </xf>
    <xf numFmtId="9" fontId="48" fillId="15" borderId="11" xfId="22" applyFont="1" applyFill="1" applyBorder="1" applyAlignment="1">
      <alignment horizontal="left" vertical="center" wrapText="1"/>
    </xf>
    <xf numFmtId="9" fontId="48" fillId="0" borderId="11" xfId="22" applyFont="1" applyFill="1" applyBorder="1" applyAlignment="1">
      <alignment horizontal="left" vertical="center"/>
    </xf>
    <xf numFmtId="166" fontId="48" fillId="14" borderId="11" xfId="0" applyNumberFormat="1" applyFont="1" applyFill="1" applyBorder="1" applyAlignment="1">
      <alignment horizontal="left" vertical="center"/>
    </xf>
    <xf numFmtId="9" fontId="48" fillId="24" borderId="11" xfId="22" applyFont="1" applyFill="1" applyBorder="1" applyAlignment="1">
      <alignment horizontal="left" vertical="center"/>
    </xf>
    <xf numFmtId="9" fontId="48" fillId="51" borderId="11" xfId="22" applyFont="1" applyFill="1" applyBorder="1" applyAlignment="1">
      <alignment horizontal="left" vertical="center"/>
    </xf>
    <xf numFmtId="9" fontId="48" fillId="11" borderId="12" xfId="22" applyFont="1" applyFill="1" applyBorder="1" applyAlignment="1">
      <alignment horizontal="center" vertical="center" wrapText="1"/>
    </xf>
    <xf numFmtId="9" fontId="48" fillId="0" borderId="28" xfId="22" applyFont="1" applyBorder="1" applyAlignment="1">
      <alignment horizontal="left" vertical="center" wrapText="1"/>
    </xf>
    <xf numFmtId="9" fontId="48" fillId="0" borderId="11" xfId="22" applyFont="1" applyBorder="1" applyAlignment="1">
      <alignment horizontal="left" vertical="center" wrapText="1"/>
    </xf>
    <xf numFmtId="0" fontId="154" fillId="0" borderId="0" xfId="0" applyFont="1" applyAlignment="1">
      <alignment horizontal="left" vertical="center"/>
    </xf>
    <xf numFmtId="49" fontId="96" fillId="24" borderId="11" xfId="0" applyNumberFormat="1" applyFont="1" applyFill="1" applyBorder="1" applyAlignment="1">
      <alignment horizontal="left" vertical="center"/>
    </xf>
    <xf numFmtId="9" fontId="100" fillId="24" borderId="11" xfId="22" applyFont="1" applyFill="1" applyBorder="1" applyAlignment="1">
      <alignment horizontal="left" vertical="center" wrapText="1"/>
    </xf>
    <xf numFmtId="166" fontId="96" fillId="24" borderId="11" xfId="0" applyNumberFormat="1" applyFont="1" applyFill="1" applyBorder="1" applyAlignment="1" applyProtection="1">
      <alignment horizontal="left" vertical="center"/>
      <protection locked="0"/>
    </xf>
    <xf numFmtId="166" fontId="100" fillId="24" borderId="11" xfId="0" applyNumberFormat="1" applyFont="1" applyFill="1" applyBorder="1" applyAlignment="1" applyProtection="1">
      <alignment horizontal="left" vertical="center"/>
      <protection locked="0"/>
    </xf>
    <xf numFmtId="49" fontId="128" fillId="24" borderId="11" xfId="0" applyNumberFormat="1" applyFont="1" applyFill="1" applyBorder="1" applyAlignment="1">
      <alignment horizontal="left" vertical="center"/>
    </xf>
    <xf numFmtId="166" fontId="60" fillId="24" borderId="11" xfId="0" applyNumberFormat="1" applyFont="1" applyFill="1" applyBorder="1" applyAlignment="1">
      <alignment horizontal="left" vertical="center"/>
    </xf>
    <xf numFmtId="166" fontId="149" fillId="24" borderId="11" xfId="0" applyNumberFormat="1" applyFont="1" applyFill="1" applyBorder="1" applyAlignment="1">
      <alignment horizontal="left" vertical="center"/>
    </xf>
    <xf numFmtId="166" fontId="96" fillId="39" borderId="11" xfId="0" applyNumberFormat="1" applyFont="1" applyFill="1" applyBorder="1" applyAlignment="1">
      <alignment horizontal="left" vertical="center"/>
    </xf>
    <xf numFmtId="166" fontId="142" fillId="39" borderId="11" xfId="0" applyNumberFormat="1" applyFont="1" applyFill="1" applyBorder="1" applyAlignment="1">
      <alignment horizontal="left" vertical="center"/>
    </xf>
    <xf numFmtId="0" fontId="79" fillId="0" borderId="0" xfId="0" applyFont="1" applyAlignment="1">
      <alignment horizontal="left" vertical="center" wrapText="1"/>
    </xf>
    <xf numFmtId="9" fontId="48" fillId="23" borderId="11" xfId="22" applyFont="1" applyFill="1" applyBorder="1" applyAlignment="1">
      <alignment horizontal="justify" vertical="center" wrapText="1"/>
    </xf>
    <xf numFmtId="9" fontId="48" fillId="0" borderId="11" xfId="22" applyFont="1" applyFill="1" applyBorder="1" applyAlignment="1">
      <alignment horizontal="justify" vertical="center" wrapText="1"/>
    </xf>
    <xf numFmtId="9" fontId="48" fillId="14" borderId="11" xfId="22" applyFont="1" applyFill="1" applyBorder="1" applyAlignment="1">
      <alignment horizontal="justify" vertical="center" wrapText="1"/>
    </xf>
    <xf numFmtId="9" fontId="48" fillId="51" borderId="11" xfId="22" applyFont="1" applyFill="1" applyBorder="1" applyAlignment="1">
      <alignment horizontal="justify" vertical="center" wrapText="1"/>
    </xf>
    <xf numFmtId="9" fontId="48" fillId="37" borderId="11" xfId="22" applyFont="1" applyFill="1" applyBorder="1" applyAlignment="1">
      <alignment horizontal="justify" vertical="center" wrapText="1"/>
    </xf>
    <xf numFmtId="9" fontId="48" fillId="11" borderId="11" xfId="22" applyFont="1" applyFill="1" applyBorder="1" applyAlignment="1">
      <alignment horizontal="justify" vertical="center" wrapText="1"/>
    </xf>
    <xf numFmtId="166" fontId="39" fillId="0" borderId="0" xfId="0" applyNumberFormat="1" applyFont="1" applyAlignment="1">
      <alignment horizontal="left" vertical="center" wrapText="1"/>
    </xf>
    <xf numFmtId="0" fontId="44" fillId="0" borderId="0" xfId="0" applyFont="1" applyAlignment="1">
      <alignment horizontal="left" vertical="center"/>
    </xf>
    <xf numFmtId="166" fontId="100" fillId="28" borderId="11" xfId="0" applyNumberFormat="1" applyFont="1" applyFill="1" applyBorder="1" applyAlignment="1">
      <alignment horizontal="justify" vertical="center"/>
    </xf>
    <xf numFmtId="9" fontId="100" fillId="28" borderId="11" xfId="22" applyFont="1" applyFill="1" applyBorder="1" applyAlignment="1">
      <alignment horizontal="justify" vertical="center"/>
    </xf>
    <xf numFmtId="166" fontId="96" fillId="28" borderId="11" xfId="0" applyNumberFormat="1" applyFont="1" applyFill="1" applyBorder="1" applyAlignment="1">
      <alignment horizontal="justify" vertical="center"/>
    </xf>
    <xf numFmtId="166" fontId="98" fillId="14" borderId="11" xfId="0" applyNumberFormat="1" applyFont="1" applyFill="1" applyBorder="1" applyAlignment="1">
      <alignment horizontal="justify" vertical="center"/>
    </xf>
    <xf numFmtId="9" fontId="98" fillId="14" borderId="11" xfId="22" applyFont="1" applyFill="1" applyBorder="1" applyAlignment="1">
      <alignment horizontal="justify" vertical="center"/>
    </xf>
    <xf numFmtId="166" fontId="146" fillId="28" borderId="11" xfId="0" applyNumberFormat="1" applyFont="1" applyFill="1" applyBorder="1" applyAlignment="1">
      <alignment horizontal="justify" vertical="center"/>
    </xf>
    <xf numFmtId="9" fontId="47" fillId="28" borderId="11" xfId="22" applyFont="1" applyFill="1" applyBorder="1" applyAlignment="1">
      <alignment horizontal="justify" vertical="center" wrapText="1"/>
    </xf>
    <xf numFmtId="166" fontId="84" fillId="11" borderId="11" xfId="0" applyNumberFormat="1" applyFont="1" applyFill="1" applyBorder="1" applyAlignment="1">
      <alignment horizontal="left" vertical="center" wrapText="1"/>
    </xf>
    <xf numFmtId="9" fontId="84" fillId="11" borderId="17" xfId="22" applyFont="1" applyFill="1" applyBorder="1" applyAlignment="1">
      <alignment horizontal="left" vertical="center" wrapText="1"/>
    </xf>
    <xf numFmtId="9" fontId="84" fillId="11" borderId="11" xfId="22" applyFont="1" applyFill="1" applyBorder="1" applyAlignment="1">
      <alignment horizontal="left" vertical="center" wrapText="1"/>
    </xf>
    <xf numFmtId="9" fontId="144" fillId="11" borderId="11" xfId="22" applyFont="1" applyFill="1" applyBorder="1" applyAlignment="1">
      <alignment horizontal="left" vertical="center" wrapText="1"/>
    </xf>
    <xf numFmtId="166" fontId="47" fillId="11" borderId="17" xfId="0" applyNumberFormat="1" applyFont="1" applyFill="1" applyBorder="1" applyAlignment="1">
      <alignment horizontal="left" vertical="center" wrapText="1"/>
    </xf>
    <xf numFmtId="9" fontId="47" fillId="11" borderId="17" xfId="22" applyFont="1" applyFill="1" applyBorder="1" applyAlignment="1">
      <alignment horizontal="left" vertical="center" wrapText="1"/>
    </xf>
    <xf numFmtId="9" fontId="47" fillId="11" borderId="28" xfId="22" applyFont="1" applyFill="1" applyBorder="1" applyAlignment="1">
      <alignment horizontal="left" vertical="center" wrapText="1"/>
    </xf>
    <xf numFmtId="9" fontId="144" fillId="11" borderId="28" xfId="22" applyFont="1" applyFill="1" applyBorder="1" applyAlignment="1">
      <alignment horizontal="left" vertical="center" wrapText="1"/>
    </xf>
    <xf numFmtId="9" fontId="48" fillId="11" borderId="28" xfId="22" applyFont="1" applyFill="1" applyBorder="1" applyAlignment="1">
      <alignment horizontal="left" vertical="center" wrapText="1"/>
    </xf>
    <xf numFmtId="10" fontId="47" fillId="11" borderId="11" xfId="22" applyNumberFormat="1" applyFont="1" applyFill="1" applyBorder="1" applyAlignment="1">
      <alignment horizontal="left" vertical="center" wrapText="1"/>
    </xf>
    <xf numFmtId="166" fontId="84" fillId="11" borderId="11" xfId="0" applyNumberFormat="1" applyFont="1" applyFill="1" applyBorder="1" applyAlignment="1">
      <alignment horizontal="justify" vertical="center" wrapText="1"/>
    </xf>
    <xf numFmtId="9" fontId="84" fillId="11" borderId="11" xfId="22" applyFont="1" applyFill="1" applyBorder="1" applyAlignment="1">
      <alignment horizontal="justify" vertical="center" wrapText="1"/>
    </xf>
    <xf numFmtId="9" fontId="47" fillId="11" borderId="11" xfId="22" applyFont="1" applyFill="1" applyBorder="1" applyAlignment="1">
      <alignment horizontal="justify" vertical="center" wrapText="1"/>
    </xf>
    <xf numFmtId="9" fontId="144" fillId="11" borderId="11" xfId="22" applyFont="1" applyFill="1" applyBorder="1" applyAlignment="1">
      <alignment horizontal="justify" vertical="center" wrapText="1"/>
    </xf>
    <xf numFmtId="9" fontId="94" fillId="11" borderId="11" xfId="22" applyFont="1" applyFill="1" applyBorder="1" applyAlignment="1">
      <alignment horizontal="justify" vertical="center" wrapText="1"/>
    </xf>
    <xf numFmtId="9" fontId="48" fillId="0" borderId="11" xfId="22" applyFont="1" applyFill="1" applyBorder="1" applyAlignment="1">
      <alignment horizontal="justify" vertical="center"/>
    </xf>
    <xf numFmtId="0" fontId="48" fillId="0" borderId="11" xfId="0" applyFont="1" applyBorder="1" applyAlignment="1">
      <alignment horizontal="center" vertical="center" wrapText="1"/>
    </xf>
    <xf numFmtId="9" fontId="48" fillId="23" borderId="11" xfId="22" applyFont="1" applyFill="1" applyBorder="1" applyAlignment="1">
      <alignment horizontal="justify" vertical="center"/>
    </xf>
    <xf numFmtId="9" fontId="96" fillId="24" borderId="11" xfId="22" applyFont="1" applyFill="1" applyBorder="1"/>
    <xf numFmtId="9" fontId="96" fillId="24" borderId="17" xfId="22" applyFont="1" applyFill="1" applyBorder="1" applyAlignment="1">
      <alignment horizontal="justify" vertical="center"/>
    </xf>
    <xf numFmtId="9" fontId="48" fillId="0" borderId="17" xfId="22" applyFont="1" applyBorder="1" applyAlignment="1">
      <alignment horizontal="justify" vertical="center" wrapText="1"/>
    </xf>
    <xf numFmtId="9" fontId="48" fillId="24" borderId="12" xfId="22" applyFont="1" applyFill="1" applyBorder="1" applyAlignment="1">
      <alignment horizontal="justify" vertical="center"/>
    </xf>
    <xf numFmtId="9" fontId="48" fillId="0" borderId="11" xfId="22" applyFont="1" applyBorder="1" applyAlignment="1">
      <alignment horizontal="justify" vertical="center" wrapText="1"/>
    </xf>
    <xf numFmtId="0" fontId="96" fillId="0" borderId="0" xfId="0" applyFont="1" applyAlignment="1">
      <alignment vertical="center"/>
    </xf>
    <xf numFmtId="166" fontId="96" fillId="24" borderId="17" xfId="0" applyNumberFormat="1" applyFont="1" applyFill="1" applyBorder="1" applyAlignment="1">
      <alignment horizontal="justify" vertical="center" wrapText="1"/>
    </xf>
    <xf numFmtId="9" fontId="48" fillId="49" borderId="11" xfId="22" applyFont="1" applyFill="1" applyBorder="1" applyAlignment="1">
      <alignment horizontal="justify" vertical="center"/>
    </xf>
    <xf numFmtId="9" fontId="48" fillId="51" borderId="11" xfId="22" applyFont="1" applyFill="1" applyBorder="1" applyAlignment="1">
      <alignment horizontal="justify" vertical="center"/>
    </xf>
    <xf numFmtId="9" fontId="48" fillId="11" borderId="11" xfId="22" applyFont="1" applyFill="1" applyBorder="1" applyAlignment="1">
      <alignment horizontal="center" vertical="center"/>
    </xf>
    <xf numFmtId="49" fontId="49" fillId="37" borderId="11" xfId="0" applyNumberFormat="1" applyFont="1" applyFill="1" applyBorder="1" applyAlignment="1">
      <alignment horizontal="justify" vertical="center"/>
    </xf>
    <xf numFmtId="9" fontId="46" fillId="0" borderId="0" xfId="22" applyFont="1" applyAlignment="1">
      <alignment horizontal="center" vertical="top" wrapText="1"/>
    </xf>
    <xf numFmtId="9" fontId="46" fillId="0" borderId="0" xfId="22" applyFont="1"/>
    <xf numFmtId="9" fontId="104" fillId="24" borderId="11" xfId="22" applyFont="1" applyFill="1" applyBorder="1" applyAlignment="1">
      <alignment horizontal="justify" vertical="center"/>
    </xf>
    <xf numFmtId="9" fontId="125" fillId="0" borderId="11" xfId="22" applyFont="1" applyBorder="1" applyAlignment="1">
      <alignment horizontal="justify" vertical="center"/>
    </xf>
    <xf numFmtId="9" fontId="104" fillId="37" borderId="11" xfId="22" applyFont="1" applyFill="1" applyBorder="1" applyAlignment="1">
      <alignment horizontal="justify" vertical="center"/>
    </xf>
    <xf numFmtId="9" fontId="91" fillId="24" borderId="11" xfId="22" applyFont="1" applyFill="1" applyBorder="1" applyAlignment="1">
      <alignment horizontal="justify" vertical="center"/>
    </xf>
    <xf numFmtId="9" fontId="91" fillId="0" borderId="11" xfId="22" applyFont="1" applyBorder="1" applyAlignment="1">
      <alignment horizontal="justify" vertical="center"/>
    </xf>
    <xf numFmtId="9" fontId="104" fillId="19" borderId="11" xfId="22" applyFont="1" applyFill="1" applyBorder="1" applyAlignment="1">
      <alignment horizontal="justify" vertical="center"/>
    </xf>
    <xf numFmtId="9" fontId="104" fillId="20" borderId="11" xfId="22" applyFont="1" applyFill="1" applyBorder="1" applyAlignment="1">
      <alignment horizontal="justify" vertical="center"/>
    </xf>
    <xf numFmtId="9" fontId="104" fillId="0" borderId="11" xfId="22" applyFont="1" applyFill="1" applyBorder="1" applyAlignment="1">
      <alignment horizontal="justify" vertical="center"/>
    </xf>
    <xf numFmtId="9" fontId="104" fillId="24" borderId="11" xfId="22" applyFont="1" applyFill="1" applyBorder="1" applyAlignment="1">
      <alignment vertical="center"/>
    </xf>
    <xf numFmtId="9" fontId="91" fillId="0" borderId="0" xfId="22" applyFont="1" applyAlignment="1">
      <alignment vertical="center"/>
    </xf>
    <xf numFmtId="9" fontId="194" fillId="0" borderId="0" xfId="22" applyFont="1"/>
    <xf numFmtId="0" fontId="18" fillId="0" borderId="11" xfId="0" applyFont="1" applyBorder="1" applyAlignment="1">
      <alignment horizontal="justify" vertical="center"/>
    </xf>
    <xf numFmtId="9" fontId="22" fillId="0" borderId="0" xfId="22" applyFont="1" applyAlignment="1">
      <alignment vertical="top"/>
    </xf>
    <xf numFmtId="9" fontId="22" fillId="0" borderId="0" xfId="22" applyFont="1" applyAlignment="1">
      <alignment horizontal="left" vertical="top" wrapText="1"/>
    </xf>
    <xf numFmtId="9" fontId="91" fillId="0" borderId="11" xfId="22" applyFont="1" applyBorder="1" applyAlignment="1">
      <alignment horizontal="center" vertical="center" wrapText="1"/>
    </xf>
    <xf numFmtId="9" fontId="91" fillId="23" borderId="11" xfId="22" applyFont="1" applyFill="1" applyBorder="1" applyAlignment="1">
      <alignment horizontal="justify" vertical="center" wrapText="1"/>
    </xf>
    <xf numFmtId="9" fontId="91" fillId="14" borderId="11" xfId="22" applyFont="1" applyFill="1" applyBorder="1" applyAlignment="1">
      <alignment horizontal="justify" vertical="center"/>
    </xf>
    <xf numFmtId="9" fontId="91" fillId="0" borderId="11" xfId="22" applyFont="1" applyFill="1" applyBorder="1" applyAlignment="1">
      <alignment horizontal="justify" vertical="center"/>
    </xf>
    <xf numFmtId="166" fontId="91" fillId="14" borderId="11" xfId="0" applyNumberFormat="1" applyFont="1" applyFill="1" applyBorder="1" applyAlignment="1">
      <alignment horizontal="justify" vertical="center"/>
    </xf>
    <xf numFmtId="9" fontId="91" fillId="28" borderId="11" xfId="22" applyFont="1" applyFill="1" applyBorder="1" applyAlignment="1">
      <alignment horizontal="justify" vertical="center"/>
    </xf>
    <xf numFmtId="9" fontId="104" fillId="24" borderId="17" xfId="22" applyFont="1" applyFill="1" applyBorder="1" applyAlignment="1">
      <alignment vertical="center"/>
    </xf>
    <xf numFmtId="9" fontId="22" fillId="0" borderId="0" xfId="22" applyFont="1"/>
    <xf numFmtId="9" fontId="104" fillId="0" borderId="0" xfId="22" applyFont="1" applyAlignment="1">
      <alignment vertical="center"/>
    </xf>
    <xf numFmtId="0" fontId="33" fillId="19" borderId="0" xfId="0" applyFont="1" applyFill="1"/>
    <xf numFmtId="9" fontId="96" fillId="11" borderId="11" xfId="22" applyFont="1" applyFill="1" applyBorder="1" applyAlignment="1">
      <alignment horizontal="justify" vertical="center"/>
    </xf>
    <xf numFmtId="9" fontId="96" fillId="18" borderId="11" xfId="22" applyFont="1" applyFill="1" applyBorder="1" applyAlignment="1">
      <alignment horizontal="justify" vertical="center"/>
    </xf>
    <xf numFmtId="9" fontId="96" fillId="51" borderId="11" xfId="22" applyFont="1" applyFill="1" applyBorder="1" applyAlignment="1">
      <alignment horizontal="justify" vertical="center"/>
    </xf>
    <xf numFmtId="9" fontId="48" fillId="0" borderId="17" xfId="22" applyFont="1" applyFill="1" applyBorder="1" applyAlignment="1">
      <alignment horizontal="center" vertical="center"/>
    </xf>
    <xf numFmtId="9" fontId="96" fillId="46" borderId="11" xfId="22" applyFont="1" applyFill="1" applyBorder="1" applyAlignment="1">
      <alignment horizontal="justify" vertical="center"/>
    </xf>
    <xf numFmtId="9" fontId="96" fillId="54" borderId="11" xfId="22" applyFont="1" applyFill="1" applyBorder="1" applyAlignment="1">
      <alignment horizontal="justify" vertical="center"/>
    </xf>
    <xf numFmtId="9" fontId="96" fillId="29" borderId="11" xfId="22" applyFont="1" applyFill="1" applyBorder="1" applyAlignment="1">
      <alignment horizontal="justify" vertical="center"/>
    </xf>
    <xf numFmtId="9" fontId="96" fillId="18" borderId="11" xfId="22" applyFont="1" applyFill="1" applyBorder="1" applyAlignment="1">
      <alignment horizontal="left" vertical="center"/>
    </xf>
    <xf numFmtId="9" fontId="48" fillId="11" borderId="11" xfId="22" applyFont="1" applyFill="1" applyBorder="1" applyAlignment="1">
      <alignment horizontal="center" vertical="center" wrapText="1"/>
    </xf>
    <xf numFmtId="9" fontId="48" fillId="0" borderId="11" xfId="22" applyFont="1" applyFill="1" applyBorder="1" applyAlignment="1">
      <alignment horizontal="left" vertical="center" wrapText="1"/>
    </xf>
    <xf numFmtId="10" fontId="47" fillId="0" borderId="11" xfId="22" applyNumberFormat="1" applyFont="1" applyBorder="1" applyAlignment="1">
      <alignment horizontal="left" vertical="center" wrapText="1"/>
    </xf>
    <xf numFmtId="10" fontId="48" fillId="0" borderId="11" xfId="22" applyNumberFormat="1" applyFont="1" applyFill="1" applyBorder="1" applyAlignment="1">
      <alignment horizontal="justify" vertical="center"/>
    </xf>
    <xf numFmtId="9" fontId="48" fillId="11" borderId="11" xfId="22" applyFont="1" applyFill="1" applyBorder="1" applyAlignment="1">
      <alignment horizontal="justify" vertical="center"/>
    </xf>
    <xf numFmtId="166" fontId="48" fillId="45" borderId="0" xfId="0" applyNumberFormat="1" applyFont="1" applyFill="1" applyAlignment="1">
      <alignment horizontal="left" vertical="center"/>
    </xf>
    <xf numFmtId="0" fontId="193" fillId="0" borderId="0" xfId="0" applyFont="1" applyAlignment="1">
      <alignment horizontal="left" vertical="center"/>
    </xf>
    <xf numFmtId="0" fontId="195" fillId="0" borderId="0" xfId="0" applyFont="1"/>
    <xf numFmtId="0" fontId="196" fillId="0" borderId="0" xfId="0" applyFont="1"/>
    <xf numFmtId="0" fontId="196" fillId="0" borderId="0" xfId="0" applyFont="1" applyAlignment="1">
      <alignment vertical="top"/>
    </xf>
    <xf numFmtId="9" fontId="177" fillId="23" borderId="11" xfId="22" applyFont="1" applyFill="1" applyBorder="1" applyAlignment="1">
      <alignment horizontal="justify" vertical="center"/>
    </xf>
    <xf numFmtId="9" fontId="177" fillId="0" borderId="11" xfId="22" applyFont="1" applyFill="1" applyBorder="1" applyAlignment="1">
      <alignment horizontal="justify" vertical="center"/>
    </xf>
    <xf numFmtId="9" fontId="177" fillId="14" borderId="11" xfId="22" applyFont="1" applyFill="1" applyBorder="1" applyAlignment="1">
      <alignment horizontal="justify" vertical="center"/>
    </xf>
    <xf numFmtId="9" fontId="127" fillId="14" borderId="11" xfId="22" applyFont="1" applyFill="1" applyBorder="1" applyAlignment="1">
      <alignment horizontal="justify" vertical="center"/>
    </xf>
    <xf numFmtId="9" fontId="127" fillId="51" borderId="11" xfId="22" applyFont="1" applyFill="1" applyBorder="1" applyAlignment="1">
      <alignment horizontal="justify" vertical="center"/>
    </xf>
    <xf numFmtId="9" fontId="177" fillId="51" borderId="11" xfId="22" applyFont="1" applyFill="1" applyBorder="1" applyAlignment="1">
      <alignment horizontal="justify" vertical="center"/>
    </xf>
    <xf numFmtId="9" fontId="127" fillId="24" borderId="11" xfId="22" applyFont="1" applyFill="1" applyBorder="1" applyAlignment="1">
      <alignment horizontal="justify" vertical="center"/>
    </xf>
    <xf numFmtId="9" fontId="127" fillId="0" borderId="11" xfId="22" applyFont="1" applyFill="1" applyBorder="1" applyAlignment="1">
      <alignment horizontal="justify" vertical="center"/>
    </xf>
    <xf numFmtId="9" fontId="197" fillId="51" borderId="11" xfId="22" applyFont="1" applyFill="1" applyBorder="1" applyAlignment="1">
      <alignment horizontal="justify" vertical="center"/>
    </xf>
    <xf numFmtId="9" fontId="127" fillId="37" borderId="11" xfId="22" applyFont="1" applyFill="1" applyBorder="1" applyAlignment="1">
      <alignment horizontal="justify" vertical="center"/>
    </xf>
    <xf numFmtId="0" fontId="196" fillId="19" borderId="11" xfId="0" applyFont="1" applyFill="1" applyBorder="1"/>
    <xf numFmtId="166" fontId="196" fillId="19" borderId="11" xfId="0" applyNumberFormat="1" applyFont="1" applyFill="1" applyBorder="1"/>
    <xf numFmtId="0" fontId="198" fillId="0" borderId="0" xfId="0" applyFont="1" applyAlignment="1">
      <alignment horizontal="justify" vertical="center"/>
    </xf>
    <xf numFmtId="0" fontId="193" fillId="0" borderId="0" xfId="0" applyFont="1"/>
    <xf numFmtId="166" fontId="193" fillId="42" borderId="11" xfId="0" applyNumberFormat="1" applyFont="1" applyFill="1" applyBorder="1"/>
    <xf numFmtId="166" fontId="199" fillId="45" borderId="0" xfId="0" applyNumberFormat="1" applyFont="1" applyFill="1"/>
    <xf numFmtId="9" fontId="178" fillId="0" borderId="0" xfId="22" applyFont="1" applyAlignment="1">
      <alignment vertical="top"/>
    </xf>
    <xf numFmtId="9" fontId="178" fillId="0" borderId="0" xfId="22" applyFont="1" applyAlignment="1">
      <alignment horizontal="left"/>
    </xf>
    <xf numFmtId="9" fontId="178" fillId="0" borderId="0" xfId="22" applyFont="1"/>
    <xf numFmtId="9" fontId="94" fillId="24" borderId="17" xfId="22" applyFont="1" applyFill="1" applyBorder="1" applyAlignment="1">
      <alignment horizontal="justify" vertical="center"/>
    </xf>
    <xf numFmtId="9" fontId="186" fillId="0" borderId="0" xfId="22" applyFont="1"/>
    <xf numFmtId="9" fontId="186" fillId="19" borderId="11" xfId="22" applyFont="1" applyFill="1" applyBorder="1"/>
    <xf numFmtId="9" fontId="94" fillId="14" borderId="16" xfId="22" applyFont="1" applyFill="1" applyBorder="1" applyAlignment="1">
      <alignment horizontal="justify" vertical="center"/>
    </xf>
    <xf numFmtId="166" fontId="128" fillId="20" borderId="11" xfId="0" applyNumberFormat="1" applyFont="1" applyFill="1" applyBorder="1" applyAlignment="1">
      <alignment horizontal="justify" vertical="center"/>
    </xf>
    <xf numFmtId="9" fontId="200" fillId="0" borderId="0" xfId="22" applyFont="1"/>
    <xf numFmtId="166" fontId="184" fillId="0" borderId="16" xfId="0" applyNumberFormat="1" applyFont="1" applyBorder="1" applyAlignment="1">
      <alignment horizontal="justify" vertical="center"/>
    </xf>
    <xf numFmtId="166" fontId="184" fillId="0" borderId="83" xfId="0" applyNumberFormat="1" applyFont="1" applyBorder="1" applyAlignment="1">
      <alignment horizontal="justify" vertical="center"/>
    </xf>
    <xf numFmtId="49" fontId="94" fillId="24" borderId="11" xfId="0" applyNumberFormat="1" applyFont="1" applyFill="1" applyBorder="1" applyAlignment="1">
      <alignment horizontal="justify" vertical="center"/>
    </xf>
    <xf numFmtId="0" fontId="94" fillId="24" borderId="11" xfId="0" applyFont="1" applyFill="1" applyBorder="1" applyAlignment="1">
      <alignment horizontal="justify" vertical="center" wrapText="1"/>
    </xf>
    <xf numFmtId="0" fontId="94" fillId="24" borderId="11" xfId="0" applyFont="1" applyFill="1" applyBorder="1" applyAlignment="1">
      <alignment horizontal="justify" vertical="center" textRotation="90" wrapText="1"/>
    </xf>
    <xf numFmtId="0" fontId="94" fillId="24" borderId="11" xfId="0" applyFont="1" applyFill="1" applyBorder="1" applyAlignment="1">
      <alignment horizontal="justify" vertical="center"/>
    </xf>
    <xf numFmtId="166" fontId="92" fillId="24" borderId="11" xfId="0" applyNumberFormat="1" applyFont="1" applyFill="1" applyBorder="1" applyAlignment="1">
      <alignment horizontal="justify" vertical="center"/>
    </xf>
    <xf numFmtId="49" fontId="128" fillId="24" borderId="9" xfId="0" applyNumberFormat="1" applyFont="1" applyFill="1" applyBorder="1" applyAlignment="1">
      <alignment horizontal="justify" vertical="center"/>
    </xf>
    <xf numFmtId="0" fontId="128" fillId="24" borderId="9" xfId="0" applyFont="1" applyFill="1" applyBorder="1" applyAlignment="1">
      <alignment horizontal="justify" vertical="center" wrapText="1"/>
    </xf>
    <xf numFmtId="0" fontId="128" fillId="24" borderId="9" xfId="0" applyFont="1" applyFill="1" applyBorder="1" applyAlignment="1">
      <alignment horizontal="justify" vertical="center" textRotation="90" wrapText="1"/>
    </xf>
    <xf numFmtId="0" fontId="153" fillId="24" borderId="9" xfId="0" applyFont="1" applyFill="1" applyBorder="1" applyAlignment="1">
      <alignment horizontal="justify" vertical="center"/>
    </xf>
    <xf numFmtId="166" fontId="153" fillId="24" borderId="17" xfId="0" applyNumberFormat="1" applyFont="1" applyFill="1" applyBorder="1" applyAlignment="1">
      <alignment horizontal="justify" vertical="center"/>
    </xf>
    <xf numFmtId="9" fontId="153" fillId="24" borderId="17" xfId="22" applyFont="1" applyFill="1" applyBorder="1" applyAlignment="1">
      <alignment horizontal="justify" vertical="center"/>
    </xf>
    <xf numFmtId="166" fontId="153" fillId="24" borderId="28" xfId="0" applyNumberFormat="1" applyFont="1" applyFill="1" applyBorder="1" applyAlignment="1">
      <alignment horizontal="justify" vertical="center"/>
    </xf>
    <xf numFmtId="166" fontId="128" fillId="24" borderId="17" xfId="0" applyNumberFormat="1" applyFont="1" applyFill="1" applyBorder="1" applyAlignment="1">
      <alignment horizontal="justify" vertical="center"/>
    </xf>
    <xf numFmtId="166" fontId="153" fillId="24" borderId="32" xfId="0" applyNumberFormat="1" applyFont="1" applyFill="1" applyBorder="1" applyAlignment="1">
      <alignment horizontal="justify" vertical="center"/>
    </xf>
    <xf numFmtId="49" fontId="128" fillId="24" borderId="6" xfId="0" applyNumberFormat="1" applyFont="1" applyFill="1" applyBorder="1" applyAlignment="1">
      <alignment horizontal="justify" vertical="center"/>
    </xf>
    <xf numFmtId="166" fontId="94" fillId="24" borderId="11" xfId="0" applyNumberFormat="1" applyFont="1" applyFill="1" applyBorder="1" applyAlignment="1">
      <alignment vertical="center" wrapText="1"/>
    </xf>
    <xf numFmtId="166" fontId="128" fillId="24" borderId="17" xfId="0" applyNumberFormat="1" applyFont="1" applyFill="1" applyBorder="1" applyAlignment="1">
      <alignment vertical="center" wrapText="1"/>
    </xf>
    <xf numFmtId="166" fontId="128" fillId="24" borderId="11" xfId="0" applyNumberFormat="1" applyFont="1" applyFill="1" applyBorder="1" applyAlignment="1">
      <alignment vertical="center" wrapText="1"/>
    </xf>
    <xf numFmtId="49" fontId="128" fillId="24" borderId="11" xfId="0" applyNumberFormat="1" applyFont="1" applyFill="1" applyBorder="1" applyAlignment="1">
      <alignment horizontal="justify" vertical="center"/>
    </xf>
    <xf numFmtId="49" fontId="128" fillId="24" borderId="17" xfId="0" applyNumberFormat="1" applyFont="1" applyFill="1" applyBorder="1" applyAlignment="1">
      <alignment horizontal="justify" vertical="center" wrapText="1"/>
    </xf>
    <xf numFmtId="49" fontId="128" fillId="25" borderId="17" xfId="0" applyNumberFormat="1" applyFont="1" applyFill="1" applyBorder="1" applyAlignment="1">
      <alignment horizontal="justify" vertical="center" wrapText="1"/>
    </xf>
    <xf numFmtId="0" fontId="128" fillId="24" borderId="17" xfId="0" applyFont="1" applyFill="1" applyBorder="1" applyAlignment="1">
      <alignment horizontal="justify" vertical="center" textRotation="90" wrapText="1"/>
    </xf>
    <xf numFmtId="10" fontId="48" fillId="0" borderId="11" xfId="22" applyNumberFormat="1" applyFont="1" applyFill="1" applyBorder="1" applyAlignment="1">
      <alignment horizontal="left" vertical="center" wrapText="1"/>
    </xf>
    <xf numFmtId="49" fontId="94" fillId="0" borderId="11" xfId="0" applyNumberFormat="1" applyFont="1" applyBorder="1" applyAlignment="1">
      <alignment vertical="center" wrapText="1"/>
    </xf>
    <xf numFmtId="0" fontId="201" fillId="0" borderId="11" xfId="0" applyFont="1" applyBorder="1" applyAlignment="1">
      <alignment horizontal="center" vertical="center" wrapText="1"/>
    </xf>
    <xf numFmtId="166" fontId="185" fillId="0" borderId="11" xfId="0" applyNumberFormat="1" applyFont="1" applyBorder="1"/>
    <xf numFmtId="0" fontId="51" fillId="0" borderId="85" xfId="0" applyFont="1" applyBorder="1"/>
    <xf numFmtId="0" fontId="186" fillId="0" borderId="86" xfId="0" applyFont="1" applyBorder="1"/>
    <xf numFmtId="0" fontId="186" fillId="0" borderId="87" xfId="0" applyFont="1" applyBorder="1"/>
    <xf numFmtId="0" fontId="186" fillId="0" borderId="89" xfId="0" applyFont="1" applyBorder="1"/>
    <xf numFmtId="0" fontId="51" fillId="0" borderId="90" xfId="0" applyFont="1" applyBorder="1"/>
    <xf numFmtId="0" fontId="186" fillId="0" borderId="91" xfId="0" applyFont="1" applyBorder="1"/>
    <xf numFmtId="0" fontId="186" fillId="0" borderId="92" xfId="0" applyFont="1" applyBorder="1"/>
    <xf numFmtId="0" fontId="185" fillId="0" borderId="86" xfId="0" applyFont="1" applyBorder="1"/>
    <xf numFmtId="166" fontId="185" fillId="0" borderId="86" xfId="0" applyNumberFormat="1" applyFont="1" applyBorder="1"/>
    <xf numFmtId="0" fontId="185" fillId="0" borderId="87" xfId="0" applyFont="1" applyBorder="1"/>
    <xf numFmtId="166" fontId="51" fillId="0" borderId="85" xfId="0" applyNumberFormat="1" applyFont="1" applyBorder="1"/>
    <xf numFmtId="166" fontId="185" fillId="0" borderId="87" xfId="0" applyNumberFormat="1" applyFont="1" applyBorder="1"/>
    <xf numFmtId="166" fontId="78" fillId="0" borderId="90" xfId="0" applyNumberFormat="1" applyFont="1" applyBorder="1"/>
    <xf numFmtId="166" fontId="186" fillId="0" borderId="91" xfId="0" applyNumberFormat="1" applyFont="1" applyBorder="1"/>
    <xf numFmtId="166" fontId="186" fillId="0" borderId="92" xfId="0" applyNumberFormat="1" applyFont="1" applyBorder="1"/>
    <xf numFmtId="166" fontId="51" fillId="0" borderId="90" xfId="0" applyNumberFormat="1" applyFont="1" applyBorder="1"/>
    <xf numFmtId="166" fontId="186" fillId="0" borderId="89" xfId="0" applyNumberFormat="1" applyFont="1" applyBorder="1"/>
    <xf numFmtId="166" fontId="186" fillId="0" borderId="11" xfId="0" applyNumberFormat="1" applyFont="1" applyBorder="1" applyAlignment="1">
      <alignment horizontal="center"/>
    </xf>
    <xf numFmtId="0" fontId="186" fillId="0" borderId="89" xfId="0" applyFont="1" applyBorder="1" applyAlignment="1">
      <alignment horizontal="center"/>
    </xf>
    <xf numFmtId="166" fontId="186" fillId="0" borderId="91" xfId="0" applyNumberFormat="1" applyFont="1" applyBorder="1" applyAlignment="1">
      <alignment horizontal="center"/>
    </xf>
    <xf numFmtId="0" fontId="186" fillId="0" borderId="92" xfId="0" applyFont="1" applyBorder="1" applyAlignment="1">
      <alignment horizontal="center"/>
    </xf>
    <xf numFmtId="0" fontId="51" fillId="0" borderId="22" xfId="0" applyFont="1" applyBorder="1"/>
    <xf numFmtId="166" fontId="186" fillId="0" borderId="16" xfId="0" applyNumberFormat="1" applyFont="1" applyBorder="1"/>
    <xf numFmtId="0" fontId="186" fillId="0" borderId="16" xfId="0" applyFont="1" applyBorder="1"/>
    <xf numFmtId="0" fontId="186" fillId="0" borderId="93" xfId="0" applyFont="1" applyBorder="1"/>
    <xf numFmtId="0" fontId="186" fillId="0" borderId="0" xfId="0" applyFont="1"/>
    <xf numFmtId="166" fontId="185" fillId="0" borderId="0" xfId="0" applyNumberFormat="1" applyFont="1"/>
    <xf numFmtId="0" fontId="185" fillId="0" borderId="0" xfId="0" applyFont="1"/>
    <xf numFmtId="166" fontId="185" fillId="0" borderId="86" xfId="0" applyNumberFormat="1" applyFont="1" applyBorder="1" applyAlignment="1">
      <alignment horizontal="center"/>
    </xf>
    <xf numFmtId="0" fontId="51" fillId="0" borderId="91" xfId="0" applyFont="1" applyBorder="1"/>
    <xf numFmtId="0" fontId="51" fillId="44" borderId="86" xfId="0" applyFont="1" applyFill="1" applyBorder="1"/>
    <xf numFmtId="0" fontId="29" fillId="0" borderId="95" xfId="0" applyFont="1" applyBorder="1"/>
    <xf numFmtId="166" fontId="29" fillId="0" borderId="86" xfId="0" applyNumberFormat="1" applyFont="1" applyBorder="1"/>
    <xf numFmtId="166" fontId="0" fillId="0" borderId="41" xfId="0" applyNumberFormat="1" applyBorder="1"/>
    <xf numFmtId="0" fontId="29" fillId="0" borderId="97" xfId="0" applyFont="1" applyBorder="1"/>
    <xf numFmtId="9" fontId="29" fillId="0" borderId="91" xfId="22" applyFont="1" applyFill="1" applyBorder="1"/>
    <xf numFmtId="0" fontId="185" fillId="40" borderId="86" xfId="0" applyFont="1" applyFill="1" applyBorder="1"/>
    <xf numFmtId="0" fontId="186" fillId="40" borderId="11" xfId="0" applyFont="1" applyFill="1" applyBorder="1"/>
    <xf numFmtId="0" fontId="186" fillId="40" borderId="91" xfId="0" applyFont="1" applyFill="1" applyBorder="1"/>
    <xf numFmtId="166" fontId="185" fillId="40" borderId="86" xfId="0" applyNumberFormat="1" applyFont="1" applyFill="1" applyBorder="1"/>
    <xf numFmtId="166" fontId="186" fillId="40" borderId="11" xfId="0" applyNumberFormat="1" applyFont="1" applyFill="1" applyBorder="1"/>
    <xf numFmtId="166" fontId="186" fillId="40" borderId="91" xfId="0" applyNumberFormat="1" applyFont="1" applyFill="1" applyBorder="1"/>
    <xf numFmtId="166" fontId="185" fillId="40" borderId="86" xfId="0" applyNumberFormat="1" applyFont="1" applyFill="1" applyBorder="1" applyAlignment="1">
      <alignment horizontal="center"/>
    </xf>
    <xf numFmtId="166" fontId="186" fillId="40" borderId="11" xfId="0" applyNumberFormat="1" applyFont="1" applyFill="1" applyBorder="1" applyAlignment="1">
      <alignment horizontal="center"/>
    </xf>
    <xf numFmtId="166" fontId="186" fillId="40" borderId="91" xfId="0" applyNumberFormat="1" applyFont="1" applyFill="1" applyBorder="1" applyAlignment="1">
      <alignment horizontal="center"/>
    </xf>
    <xf numFmtId="0" fontId="186" fillId="40" borderId="86" xfId="0" applyFont="1" applyFill="1" applyBorder="1"/>
    <xf numFmtId="0" fontId="186" fillId="40" borderId="16" xfId="0" applyFont="1" applyFill="1" applyBorder="1"/>
    <xf numFmtId="0" fontId="98" fillId="0" borderId="43" xfId="0" applyFont="1" applyBorder="1" applyAlignment="1">
      <alignment vertical="center"/>
    </xf>
    <xf numFmtId="0" fontId="186" fillId="0" borderId="88" xfId="0" applyFont="1" applyBorder="1"/>
    <xf numFmtId="0" fontId="186" fillId="0" borderId="31" xfId="0" applyFont="1" applyBorder="1"/>
    <xf numFmtId="0" fontId="186" fillId="0" borderId="40" xfId="0" applyFont="1" applyBorder="1"/>
    <xf numFmtId="0" fontId="185" fillId="44" borderId="95" xfId="0" applyFont="1" applyFill="1" applyBorder="1"/>
    <xf numFmtId="0" fontId="185" fillId="0" borderId="96" xfId="0" applyFont="1" applyBorder="1"/>
    <xf numFmtId="0" fontId="185" fillId="0" borderId="97" xfId="0" applyFont="1" applyBorder="1"/>
    <xf numFmtId="0" fontId="29" fillId="40" borderId="11" xfId="0" applyFont="1" applyFill="1" applyBorder="1"/>
    <xf numFmtId="0" fontId="33" fillId="0" borderId="16" xfId="0" applyFont="1" applyBorder="1"/>
    <xf numFmtId="0" fontId="33" fillId="40" borderId="16" xfId="0" applyFont="1" applyFill="1" applyBorder="1"/>
    <xf numFmtId="0" fontId="185" fillId="14" borderId="95" xfId="0" applyFont="1" applyFill="1" applyBorder="1"/>
    <xf numFmtId="0" fontId="33" fillId="40" borderId="86" xfId="0" applyFont="1" applyFill="1" applyBorder="1"/>
    <xf numFmtId="166" fontId="33" fillId="0" borderId="89" xfId="0" applyNumberFormat="1" applyFont="1" applyBorder="1"/>
    <xf numFmtId="0" fontId="33" fillId="0" borderId="91" xfId="0" applyFont="1" applyBorder="1"/>
    <xf numFmtId="0" fontId="33" fillId="40" borderId="91" xfId="0" applyFont="1" applyFill="1" applyBorder="1"/>
    <xf numFmtId="0" fontId="33" fillId="0" borderId="92" xfId="0" applyFont="1" applyBorder="1"/>
    <xf numFmtId="0" fontId="29" fillId="40" borderId="16" xfId="0" applyFont="1" applyFill="1" applyBorder="1"/>
    <xf numFmtId="0" fontId="33" fillId="0" borderId="86" xfId="0" applyFont="1" applyBorder="1"/>
    <xf numFmtId="0" fontId="33" fillId="0" borderId="87" xfId="0" applyFont="1" applyBorder="1"/>
    <xf numFmtId="0" fontId="33" fillId="0" borderId="89" xfId="0" applyFont="1" applyBorder="1"/>
    <xf numFmtId="166" fontId="33" fillId="0" borderId="86" xfId="0" applyNumberFormat="1" applyFont="1" applyBorder="1"/>
    <xf numFmtId="166" fontId="33" fillId="40" borderId="86" xfId="0" applyNumberFormat="1" applyFont="1" applyFill="1" applyBorder="1"/>
    <xf numFmtId="166" fontId="33" fillId="0" borderId="87" xfId="0" applyNumberFormat="1" applyFont="1" applyBorder="1"/>
    <xf numFmtId="0" fontId="29" fillId="0" borderId="89" xfId="0" applyFont="1" applyBorder="1"/>
    <xf numFmtId="0" fontId="29" fillId="0" borderId="91" xfId="0" applyFont="1" applyBorder="1"/>
    <xf numFmtId="0" fontId="29" fillId="40" borderId="91" xfId="0" applyFont="1" applyFill="1" applyBorder="1"/>
    <xf numFmtId="0" fontId="29" fillId="0" borderId="92" xfId="0" applyFont="1" applyBorder="1"/>
    <xf numFmtId="166" fontId="29" fillId="40" borderId="16" xfId="0" applyNumberFormat="1" applyFont="1" applyFill="1" applyBorder="1"/>
    <xf numFmtId="166" fontId="29" fillId="0" borderId="89" xfId="0" applyNumberFormat="1" applyFont="1" applyBorder="1"/>
    <xf numFmtId="166" fontId="29" fillId="0" borderId="91" xfId="0" applyNumberFormat="1" applyFont="1" applyBorder="1"/>
    <xf numFmtId="166" fontId="29" fillId="40" borderId="91" xfId="0" applyNumberFormat="1" applyFont="1" applyFill="1" applyBorder="1"/>
    <xf numFmtId="166" fontId="29" fillId="0" borderId="92" xfId="0" applyNumberFormat="1" applyFont="1" applyBorder="1"/>
    <xf numFmtId="0" fontId="29" fillId="0" borderId="86" xfId="0" applyFont="1" applyBorder="1"/>
    <xf numFmtId="0" fontId="29" fillId="40" borderId="86" xfId="0" applyFont="1" applyFill="1" applyBorder="1"/>
    <xf numFmtId="0" fontId="29" fillId="0" borderId="87" xfId="0" applyFont="1" applyBorder="1"/>
    <xf numFmtId="166" fontId="33" fillId="0" borderId="16" xfId="0" applyNumberFormat="1" applyFont="1" applyBorder="1"/>
    <xf numFmtId="166" fontId="33" fillId="40" borderId="16" xfId="0" applyNumberFormat="1" applyFont="1" applyFill="1" applyBorder="1"/>
    <xf numFmtId="166" fontId="29" fillId="40" borderId="86" xfId="0" applyNumberFormat="1" applyFont="1" applyFill="1" applyBorder="1"/>
    <xf numFmtId="166" fontId="29" fillId="0" borderId="87" xfId="0" applyNumberFormat="1" applyFont="1" applyBorder="1"/>
    <xf numFmtId="166" fontId="33" fillId="0" borderId="91" xfId="0" applyNumberFormat="1" applyFont="1" applyBorder="1"/>
    <xf numFmtId="166" fontId="33" fillId="40" borderId="91" xfId="0" applyNumberFormat="1" applyFont="1" applyFill="1" applyBorder="1"/>
    <xf numFmtId="166" fontId="33" fillId="0" borderId="92" xfId="0" applyNumberFormat="1" applyFont="1" applyBorder="1"/>
    <xf numFmtId="0" fontId="49" fillId="40" borderId="19" xfId="0" applyFont="1" applyFill="1" applyBorder="1" applyAlignment="1">
      <alignment vertical="center"/>
    </xf>
    <xf numFmtId="166" fontId="44" fillId="40" borderId="45" xfId="0" applyNumberFormat="1" applyFont="1" applyFill="1" applyBorder="1" applyAlignment="1">
      <alignment horizontal="left" vertical="center" wrapText="1"/>
    </xf>
    <xf numFmtId="166" fontId="50" fillId="40" borderId="45" xfId="0" applyNumberFormat="1" applyFont="1" applyFill="1" applyBorder="1" applyAlignment="1">
      <alignment horizontal="left" vertical="center" wrapText="1"/>
    </xf>
    <xf numFmtId="0" fontId="49" fillId="0" borderId="98" xfId="0" applyFont="1" applyBorder="1" applyAlignment="1">
      <alignment vertical="center"/>
    </xf>
    <xf numFmtId="0" fontId="49" fillId="0" borderId="99" xfId="0" applyFont="1" applyBorder="1" applyAlignment="1">
      <alignment vertical="center"/>
    </xf>
    <xf numFmtId="166" fontId="29" fillId="0" borderId="17" xfId="0" applyNumberFormat="1" applyFont="1" applyBorder="1"/>
    <xf numFmtId="166" fontId="29" fillId="40" borderId="17" xfId="0" applyNumberFormat="1" applyFont="1" applyFill="1" applyBorder="1"/>
    <xf numFmtId="166" fontId="33" fillId="0" borderId="17" xfId="0" applyNumberFormat="1" applyFont="1" applyBorder="1"/>
    <xf numFmtId="166" fontId="33" fillId="40" borderId="17" xfId="0" applyNumberFormat="1" applyFont="1" applyFill="1" applyBorder="1"/>
    <xf numFmtId="166" fontId="29" fillId="0" borderId="85" xfId="0" applyNumberFormat="1" applyFont="1" applyBorder="1"/>
    <xf numFmtId="9" fontId="0" fillId="0" borderId="0" xfId="22" applyFont="1" applyBorder="1"/>
    <xf numFmtId="9" fontId="29" fillId="0" borderId="92" xfId="22" applyFont="1" applyFill="1" applyBorder="1"/>
    <xf numFmtId="166" fontId="0" fillId="0" borderId="87" xfId="0" applyNumberFormat="1" applyBorder="1"/>
    <xf numFmtId="0" fontId="49" fillId="0" borderId="98" xfId="0" applyFont="1" applyBorder="1" applyAlignment="1">
      <alignment horizontal="center" vertical="center"/>
    </xf>
    <xf numFmtId="0" fontId="49" fillId="40" borderId="98" xfId="0" applyFont="1" applyFill="1" applyBorder="1" applyAlignment="1">
      <alignment horizontal="center" vertical="center"/>
    </xf>
    <xf numFmtId="0" fontId="49" fillId="0" borderId="99" xfId="0" applyFont="1" applyBorder="1" applyAlignment="1">
      <alignment horizontal="center" vertical="center"/>
    </xf>
    <xf numFmtId="0" fontId="153" fillId="0" borderId="98" xfId="0" applyFont="1" applyBorder="1" applyAlignment="1">
      <alignment horizontal="center" vertical="center"/>
    </xf>
    <xf numFmtId="0" fontId="153" fillId="40" borderId="98" xfId="0" applyFont="1" applyFill="1" applyBorder="1" applyAlignment="1">
      <alignment horizontal="center" vertical="center"/>
    </xf>
    <xf numFmtId="0" fontId="153" fillId="0" borderId="99" xfId="0" applyFont="1" applyBorder="1" applyAlignment="1">
      <alignment horizontal="center" vertical="center"/>
    </xf>
    <xf numFmtId="14" fontId="182" fillId="0" borderId="84" xfId="0" applyNumberFormat="1" applyFont="1" applyBorder="1" applyAlignment="1">
      <alignment vertical="center"/>
    </xf>
    <xf numFmtId="166" fontId="29" fillId="14" borderId="86" xfId="0" applyNumberFormat="1" applyFont="1" applyFill="1" applyBorder="1"/>
    <xf numFmtId="166" fontId="185" fillId="44" borderId="86" xfId="0" applyNumberFormat="1" applyFont="1" applyFill="1" applyBorder="1"/>
    <xf numFmtId="166" fontId="185" fillId="44" borderId="87" xfId="0" applyNumberFormat="1" applyFont="1" applyFill="1" applyBorder="1"/>
    <xf numFmtId="0" fontId="185" fillId="14" borderId="102" xfId="0" applyFont="1" applyFill="1" applyBorder="1"/>
    <xf numFmtId="166" fontId="29" fillId="14" borderId="19" xfId="0" applyNumberFormat="1" applyFont="1" applyFill="1" applyBorder="1"/>
    <xf numFmtId="166" fontId="29" fillId="40" borderId="19" xfId="0" applyNumberFormat="1" applyFont="1" applyFill="1" applyBorder="1"/>
    <xf numFmtId="0" fontId="185" fillId="0" borderId="95" xfId="0" applyFont="1" applyBorder="1"/>
    <xf numFmtId="9" fontId="29" fillId="0" borderId="0" xfId="22" applyFont="1" applyFill="1" applyBorder="1"/>
    <xf numFmtId="9" fontId="29" fillId="0" borderId="92" xfId="22" applyFont="1" applyBorder="1"/>
    <xf numFmtId="0" fontId="0" fillId="0" borderId="34" xfId="0" applyBorder="1"/>
    <xf numFmtId="166" fontId="0" fillId="40" borderId="11" xfId="0" applyNumberFormat="1" applyFill="1" applyBorder="1"/>
    <xf numFmtId="0" fontId="0" fillId="0" borderId="16" xfId="0" applyBorder="1"/>
    <xf numFmtId="166" fontId="38" fillId="40" borderId="45" xfId="0" applyNumberFormat="1" applyFont="1" applyFill="1" applyBorder="1" applyAlignment="1">
      <alignment horizontal="left" vertical="center" wrapText="1"/>
    </xf>
    <xf numFmtId="9" fontId="38" fillId="40" borderId="45" xfId="22" applyFont="1" applyFill="1" applyBorder="1" applyAlignment="1">
      <alignment horizontal="left" vertical="center" wrapText="1"/>
    </xf>
    <xf numFmtId="9" fontId="44" fillId="40" borderId="45" xfId="22" applyFont="1" applyFill="1" applyBorder="1" applyAlignment="1">
      <alignment horizontal="left" vertical="center" wrapText="1"/>
    </xf>
    <xf numFmtId="166" fontId="29" fillId="19" borderId="17" xfId="0" applyNumberFormat="1" applyFont="1" applyFill="1" applyBorder="1"/>
    <xf numFmtId="0" fontId="49" fillId="0" borderId="91" xfId="0" applyFont="1" applyBorder="1" applyAlignment="1">
      <alignment horizontal="center" vertical="center"/>
    </xf>
    <xf numFmtId="0" fontId="49" fillId="0" borderId="92" xfId="0" applyFont="1" applyBorder="1" applyAlignment="1">
      <alignment horizontal="center" vertical="center"/>
    </xf>
    <xf numFmtId="166" fontId="29" fillId="19" borderId="86" xfId="0" applyNumberFormat="1" applyFont="1" applyFill="1" applyBorder="1"/>
    <xf numFmtId="0" fontId="0" fillId="0" borderId="89" xfId="0" applyBorder="1"/>
    <xf numFmtId="166" fontId="33" fillId="19" borderId="91" xfId="0" applyNumberFormat="1" applyFont="1" applyFill="1" applyBorder="1"/>
    <xf numFmtId="0" fontId="0" fillId="0" borderId="92" xfId="0" applyBorder="1"/>
    <xf numFmtId="0" fontId="33" fillId="19" borderId="91" xfId="0" applyFont="1" applyFill="1" applyBorder="1"/>
    <xf numFmtId="166" fontId="0" fillId="0" borderId="86" xfId="0" applyNumberFormat="1" applyBorder="1"/>
    <xf numFmtId="166" fontId="0" fillId="0" borderId="91" xfId="0" applyNumberFormat="1" applyBorder="1"/>
    <xf numFmtId="166" fontId="0" fillId="19" borderId="91" xfId="0" applyNumberFormat="1" applyFill="1" applyBorder="1"/>
    <xf numFmtId="0" fontId="185" fillId="0" borderId="95" xfId="0" applyFont="1" applyBorder="1" applyAlignment="1">
      <alignment wrapText="1"/>
    </xf>
    <xf numFmtId="10" fontId="29" fillId="0" borderId="0" xfId="22" applyNumberFormat="1" applyFont="1" applyFill="1" applyBorder="1"/>
    <xf numFmtId="0" fontId="185" fillId="14" borderId="83" xfId="0" applyFont="1" applyFill="1" applyBorder="1" applyAlignment="1">
      <alignment wrapText="1"/>
    </xf>
    <xf numFmtId="166" fontId="29" fillId="14" borderId="98" xfId="0" applyNumberFormat="1" applyFont="1" applyFill="1" applyBorder="1"/>
    <xf numFmtId="0" fontId="0" fillId="40" borderId="11" xfId="0" applyFill="1" applyBorder="1"/>
    <xf numFmtId="166" fontId="29" fillId="40" borderId="98" xfId="0" applyNumberFormat="1" applyFont="1" applyFill="1" applyBorder="1"/>
    <xf numFmtId="166" fontId="0" fillId="40" borderId="91" xfId="0" applyNumberFormat="1" applyFill="1" applyBorder="1"/>
    <xf numFmtId="166" fontId="29" fillId="0" borderId="14" xfId="0" applyNumberFormat="1" applyFont="1" applyBorder="1"/>
    <xf numFmtId="166" fontId="129" fillId="0" borderId="14" xfId="0" applyNumberFormat="1" applyFont="1" applyBorder="1"/>
    <xf numFmtId="166" fontId="129" fillId="0" borderId="91" xfId="0" applyNumberFormat="1" applyFont="1" applyBorder="1"/>
    <xf numFmtId="166" fontId="129" fillId="0" borderId="92" xfId="0" applyNumberFormat="1" applyFont="1" applyBorder="1"/>
    <xf numFmtId="166" fontId="129" fillId="0" borderId="89" xfId="0" applyNumberFormat="1" applyFont="1" applyBorder="1"/>
    <xf numFmtId="166" fontId="33" fillId="0" borderId="14" xfId="0" applyNumberFormat="1" applyFont="1" applyBorder="1"/>
    <xf numFmtId="0" fontId="129" fillId="0" borderId="14" xfId="0" applyFont="1" applyBorder="1"/>
    <xf numFmtId="0" fontId="129" fillId="0" borderId="89" xfId="0" applyFont="1" applyBorder="1"/>
    <xf numFmtId="0" fontId="129" fillId="0" borderId="91" xfId="0" applyFont="1" applyBorder="1"/>
    <xf numFmtId="0" fontId="129" fillId="0" borderId="92" xfId="0" applyFont="1" applyBorder="1"/>
    <xf numFmtId="166" fontId="186" fillId="0" borderId="86" xfId="0" applyNumberFormat="1" applyFont="1" applyBorder="1"/>
    <xf numFmtId="166" fontId="130" fillId="0" borderId="89" xfId="0" applyNumberFormat="1" applyFont="1" applyBorder="1"/>
    <xf numFmtId="166" fontId="0" fillId="0" borderId="14" xfId="0" applyNumberFormat="1" applyBorder="1"/>
    <xf numFmtId="0" fontId="0" fillId="0" borderId="14" xfId="0" applyBorder="1"/>
    <xf numFmtId="166" fontId="0" fillId="0" borderId="89" xfId="0" applyNumberFormat="1" applyBorder="1"/>
    <xf numFmtId="0" fontId="0" fillId="0" borderId="91" xfId="0" applyBorder="1"/>
    <xf numFmtId="166" fontId="0" fillId="0" borderId="92" xfId="0" applyNumberFormat="1" applyBorder="1"/>
    <xf numFmtId="166" fontId="29" fillId="0" borderId="0" xfId="0" applyNumberFormat="1" applyFont="1" applyAlignment="1">
      <alignment horizontal="center"/>
    </xf>
    <xf numFmtId="166" fontId="0" fillId="0" borderId="0" xfId="0" applyNumberFormat="1" applyAlignment="1">
      <alignment horizontal="center"/>
    </xf>
    <xf numFmtId="166" fontId="129" fillId="40" borderId="91" xfId="0" applyNumberFormat="1" applyFont="1" applyFill="1" applyBorder="1"/>
    <xf numFmtId="166" fontId="129" fillId="40" borderId="11" xfId="0" applyNumberFormat="1" applyFont="1" applyFill="1" applyBorder="1"/>
    <xf numFmtId="0" fontId="129" fillId="40" borderId="11" xfId="0" applyFont="1" applyFill="1" applyBorder="1"/>
    <xf numFmtId="0" fontId="129" fillId="40" borderId="91" xfId="0" applyFont="1" applyFill="1" applyBorder="1"/>
    <xf numFmtId="166" fontId="130" fillId="40" borderId="11" xfId="0" applyNumberFormat="1" applyFont="1" applyFill="1" applyBorder="1"/>
    <xf numFmtId="166" fontId="129" fillId="19" borderId="91" xfId="0" applyNumberFormat="1" applyFont="1" applyFill="1" applyBorder="1"/>
    <xf numFmtId="166" fontId="33" fillId="19" borderId="86" xfId="0" applyNumberFormat="1" applyFont="1" applyFill="1" applyBorder="1"/>
    <xf numFmtId="166" fontId="129" fillId="19" borderId="11" xfId="0" applyNumberFormat="1" applyFont="1" applyFill="1" applyBorder="1"/>
    <xf numFmtId="166" fontId="186" fillId="19" borderId="11" xfId="0" applyNumberFormat="1" applyFont="1" applyFill="1" applyBorder="1"/>
    <xf numFmtId="166" fontId="186" fillId="19" borderId="91" xfId="0" applyNumberFormat="1" applyFont="1" applyFill="1" applyBorder="1"/>
    <xf numFmtId="0" fontId="186" fillId="19" borderId="86" xfId="0" applyFont="1" applyFill="1" applyBorder="1"/>
    <xf numFmtId="0" fontId="186" fillId="19" borderId="11" xfId="0" applyFont="1" applyFill="1" applyBorder="1"/>
    <xf numFmtId="0" fontId="186" fillId="19" borderId="91" xfId="0" applyFont="1" applyFill="1" applyBorder="1"/>
    <xf numFmtId="0" fontId="129" fillId="19" borderId="11" xfId="0" applyFont="1" applyFill="1" applyBorder="1"/>
    <xf numFmtId="0" fontId="129" fillId="19" borderId="91" xfId="0" applyFont="1" applyFill="1" applyBorder="1"/>
    <xf numFmtId="166" fontId="185" fillId="19" borderId="86" xfId="0" applyNumberFormat="1" applyFont="1" applyFill="1" applyBorder="1"/>
    <xf numFmtId="166" fontId="130" fillId="19" borderId="11" xfId="0" applyNumberFormat="1" applyFont="1" applyFill="1" applyBorder="1"/>
    <xf numFmtId="166" fontId="29" fillId="19" borderId="98" xfId="0" applyNumberFormat="1" applyFont="1" applyFill="1" applyBorder="1"/>
    <xf numFmtId="166" fontId="0" fillId="19" borderId="86" xfId="0" applyNumberFormat="1" applyFill="1" applyBorder="1"/>
    <xf numFmtId="14" fontId="182" fillId="0" borderId="35" xfId="0" applyNumberFormat="1" applyFont="1" applyBorder="1" applyAlignment="1">
      <alignment vertical="center"/>
    </xf>
    <xf numFmtId="0" fontId="49" fillId="0" borderId="103" xfId="0" applyFont="1" applyBorder="1" applyAlignment="1">
      <alignment vertical="center"/>
    </xf>
    <xf numFmtId="0" fontId="49" fillId="40" borderId="103" xfId="0" applyFont="1" applyFill="1" applyBorder="1" applyAlignment="1">
      <alignment vertical="center"/>
    </xf>
    <xf numFmtId="0" fontId="49" fillId="0" borderId="104" xfId="0" applyFont="1" applyBorder="1" applyAlignment="1">
      <alignment vertical="center"/>
    </xf>
    <xf numFmtId="0" fontId="49" fillId="0" borderId="24" xfId="0" applyFont="1" applyBorder="1" applyAlignment="1">
      <alignment vertical="center" wrapText="1"/>
    </xf>
    <xf numFmtId="0" fontId="49" fillId="0" borderId="28" xfId="0" applyFont="1" applyBorder="1" applyAlignment="1">
      <alignment vertical="center" wrapText="1"/>
    </xf>
    <xf numFmtId="0" fontId="29" fillId="0" borderId="43" xfId="0" applyFont="1" applyBorder="1" applyAlignment="1">
      <alignment vertical="center" wrapText="1"/>
    </xf>
    <xf numFmtId="0" fontId="29" fillId="0" borderId="44" xfId="0" applyFont="1" applyBorder="1" applyAlignment="1">
      <alignment vertical="center" wrapText="1"/>
    </xf>
    <xf numFmtId="0" fontId="49" fillId="19" borderId="103" xfId="0" applyFont="1" applyFill="1" applyBorder="1" applyAlignment="1">
      <alignment vertical="center" wrapText="1"/>
    </xf>
    <xf numFmtId="0" fontId="49" fillId="40" borderId="103" xfId="0" applyFont="1" applyFill="1" applyBorder="1" applyAlignment="1">
      <alignment vertical="center" wrapText="1"/>
    </xf>
    <xf numFmtId="0" fontId="51" fillId="0" borderId="11" xfId="0" applyFont="1" applyBorder="1"/>
    <xf numFmtId="0" fontId="51" fillId="0" borderId="89" xfId="0" applyFont="1" applyBorder="1"/>
    <xf numFmtId="166" fontId="51" fillId="0" borderId="89" xfId="0" applyNumberFormat="1" applyFont="1" applyBorder="1"/>
    <xf numFmtId="0" fontId="51" fillId="0" borderId="92" xfId="0" applyFont="1" applyBorder="1"/>
    <xf numFmtId="0" fontId="51" fillId="0" borderId="16" xfId="0" applyFont="1" applyBorder="1"/>
    <xf numFmtId="0" fontId="51" fillId="0" borderId="93" xfId="0" applyFont="1" applyBorder="1"/>
    <xf numFmtId="0" fontId="51" fillId="0" borderId="87" xfId="0" applyFont="1" applyBorder="1"/>
    <xf numFmtId="0" fontId="49" fillId="0" borderId="32" xfId="0" applyFont="1" applyBorder="1" applyAlignment="1">
      <alignment vertical="center"/>
    </xf>
    <xf numFmtId="0" fontId="49" fillId="0" borderId="19" xfId="0" applyFont="1" applyBorder="1" applyAlignment="1">
      <alignment vertical="center"/>
    </xf>
    <xf numFmtId="0" fontId="49" fillId="0" borderId="107" xfId="0" applyFont="1" applyBorder="1" applyAlignment="1">
      <alignment vertical="center"/>
    </xf>
    <xf numFmtId="166" fontId="78" fillId="0" borderId="86" xfId="0" applyNumberFormat="1" applyFont="1" applyBorder="1"/>
    <xf numFmtId="166" fontId="78" fillId="0" borderId="87" xfId="0" applyNumberFormat="1" applyFont="1" applyBorder="1"/>
    <xf numFmtId="166" fontId="78" fillId="0" borderId="91" xfId="0" applyNumberFormat="1" applyFont="1" applyBorder="1"/>
    <xf numFmtId="166" fontId="78" fillId="0" borderId="92" xfId="0" applyNumberFormat="1" applyFont="1" applyBorder="1"/>
    <xf numFmtId="0" fontId="33" fillId="0" borderId="40" xfId="0" applyFont="1" applyBorder="1"/>
    <xf numFmtId="0" fontId="33" fillId="0" borderId="88" xfId="0" applyFont="1" applyBorder="1"/>
    <xf numFmtId="166" fontId="29" fillId="0" borderId="16" xfId="0" applyNumberFormat="1" applyFont="1" applyBorder="1"/>
    <xf numFmtId="0" fontId="29" fillId="0" borderId="83" xfId="0" applyFont="1" applyBorder="1"/>
    <xf numFmtId="0" fontId="33" fillId="0" borderId="105" xfId="0" applyFont="1" applyBorder="1"/>
    <xf numFmtId="0" fontId="33" fillId="0" borderId="98" xfId="0" applyFont="1" applyBorder="1"/>
    <xf numFmtId="0" fontId="33" fillId="0" borderId="99" xfId="0" applyFont="1" applyBorder="1"/>
    <xf numFmtId="14" fontId="182" fillId="0" borderId="36" xfId="0" applyNumberFormat="1" applyFont="1" applyBorder="1" applyAlignment="1">
      <alignment vertical="center"/>
    </xf>
    <xf numFmtId="0" fontId="33" fillId="40" borderId="98" xfId="0" applyFont="1" applyFill="1" applyBorder="1"/>
    <xf numFmtId="0" fontId="33" fillId="0" borderId="17" xfId="0" applyFont="1" applyBorder="1"/>
    <xf numFmtId="0" fontId="33" fillId="0" borderId="31" xfId="0" applyFont="1" applyBorder="1"/>
    <xf numFmtId="0" fontId="33" fillId="0" borderId="95" xfId="0" applyFont="1" applyBorder="1"/>
    <xf numFmtId="0" fontId="33" fillId="0" borderId="96" xfId="0" applyFont="1" applyBorder="1"/>
    <xf numFmtId="0" fontId="33" fillId="0" borderId="97" xfId="0" applyFont="1" applyBorder="1"/>
    <xf numFmtId="0" fontId="29" fillId="0" borderId="17" xfId="0" applyFont="1" applyBorder="1"/>
    <xf numFmtId="0" fontId="29" fillId="40" borderId="17" xfId="0" applyFont="1" applyFill="1" applyBorder="1"/>
    <xf numFmtId="0" fontId="29" fillId="0" borderId="83" xfId="0" applyFont="1" applyBorder="1" applyAlignment="1">
      <alignment wrapText="1"/>
    </xf>
    <xf numFmtId="166" fontId="33" fillId="0" borderId="105" xfId="0" applyNumberFormat="1" applyFont="1" applyBorder="1"/>
    <xf numFmtId="166" fontId="33" fillId="40" borderId="98" xfId="0" applyNumberFormat="1" applyFont="1" applyFill="1" applyBorder="1"/>
    <xf numFmtId="166" fontId="33" fillId="0" borderId="98" xfId="0" applyNumberFormat="1" applyFont="1" applyBorder="1"/>
    <xf numFmtId="166" fontId="33" fillId="0" borderId="99" xfId="0" applyNumberFormat="1" applyFont="1" applyBorder="1"/>
    <xf numFmtId="166" fontId="29" fillId="40" borderId="105" xfId="0" applyNumberFormat="1" applyFont="1" applyFill="1" applyBorder="1"/>
    <xf numFmtId="166" fontId="33" fillId="19" borderId="17" xfId="0" applyNumberFormat="1" applyFont="1" applyFill="1" applyBorder="1"/>
    <xf numFmtId="0" fontId="49" fillId="0" borderId="99" xfId="0" applyFont="1" applyBorder="1" applyAlignment="1">
      <alignment vertical="center" wrapText="1"/>
    </xf>
    <xf numFmtId="0" fontId="33" fillId="0" borderId="101" xfId="0" applyFont="1" applyBorder="1"/>
    <xf numFmtId="166" fontId="29" fillId="19" borderId="91" xfId="0" applyNumberFormat="1" applyFont="1" applyFill="1" applyBorder="1"/>
    <xf numFmtId="0" fontId="33" fillId="19" borderId="16" xfId="0" applyFont="1" applyFill="1" applyBorder="1"/>
    <xf numFmtId="0" fontId="33" fillId="0" borderId="93" xfId="0" applyFont="1" applyBorder="1"/>
    <xf numFmtId="0" fontId="33" fillId="0" borderId="100" xfId="0" applyFont="1" applyBorder="1"/>
    <xf numFmtId="0" fontId="29" fillId="0" borderId="11" xfId="0" applyFont="1" applyBorder="1" applyAlignment="1">
      <alignment wrapText="1"/>
    </xf>
    <xf numFmtId="0" fontId="29" fillId="0" borderId="95" xfId="0" applyFont="1" applyBorder="1" applyAlignment="1">
      <alignment wrapText="1"/>
    </xf>
    <xf numFmtId="0" fontId="29" fillId="11" borderId="83" xfId="0" applyFont="1" applyFill="1" applyBorder="1" applyAlignment="1">
      <alignment wrapText="1"/>
    </xf>
    <xf numFmtId="166" fontId="29" fillId="11" borderId="105" xfId="0" applyNumberFormat="1" applyFont="1" applyFill="1" applyBorder="1"/>
    <xf numFmtId="166" fontId="29" fillId="11" borderId="98" xfId="0" applyNumberFormat="1" applyFont="1" applyFill="1" applyBorder="1"/>
    <xf numFmtId="166" fontId="29" fillId="11" borderId="99" xfId="0" applyNumberFormat="1" applyFont="1" applyFill="1" applyBorder="1"/>
    <xf numFmtId="0" fontId="49" fillId="40" borderId="98" xfId="0" applyFont="1" applyFill="1" applyBorder="1" applyAlignment="1">
      <alignment vertical="center" wrapText="1"/>
    </xf>
    <xf numFmtId="0" fontId="49" fillId="19" borderId="98" xfId="0" applyFont="1" applyFill="1" applyBorder="1" applyAlignment="1">
      <alignment vertical="center" wrapText="1"/>
    </xf>
    <xf numFmtId="0" fontId="51" fillId="0" borderId="86" xfId="0" applyFont="1" applyBorder="1"/>
    <xf numFmtId="166" fontId="51" fillId="0" borderId="91" xfId="0" applyNumberFormat="1" applyFont="1" applyBorder="1"/>
    <xf numFmtId="166" fontId="51" fillId="0" borderId="92" xfId="0" applyNumberFormat="1" applyFont="1" applyBorder="1"/>
    <xf numFmtId="0" fontId="29" fillId="11" borderId="42" xfId="0" applyFont="1" applyFill="1" applyBorder="1" applyAlignment="1">
      <alignment wrapText="1"/>
    </xf>
    <xf numFmtId="0" fontId="29" fillId="0" borderId="16" xfId="0" applyFont="1" applyBorder="1"/>
    <xf numFmtId="0" fontId="29" fillId="0" borderId="93" xfId="0" applyFont="1" applyBorder="1"/>
    <xf numFmtId="0" fontId="33" fillId="0" borderId="106" xfId="0" applyFont="1" applyBorder="1"/>
    <xf numFmtId="166" fontId="29" fillId="0" borderId="93" xfId="0" applyNumberFormat="1" applyFont="1" applyBorder="1"/>
    <xf numFmtId="9" fontId="29" fillId="0" borderId="11" xfId="22" applyFont="1" applyBorder="1"/>
    <xf numFmtId="0" fontId="29" fillId="0" borderId="16" xfId="0" applyFont="1" applyBorder="1" applyAlignment="1">
      <alignment wrapText="1"/>
    </xf>
    <xf numFmtId="0" fontId="29" fillId="11" borderId="11" xfId="0" applyFont="1" applyFill="1" applyBorder="1" applyAlignment="1">
      <alignment wrapText="1"/>
    </xf>
    <xf numFmtId="166" fontId="29" fillId="11" borderId="11" xfId="0" applyNumberFormat="1" applyFont="1" applyFill="1" applyBorder="1"/>
    <xf numFmtId="0" fontId="29" fillId="11" borderId="17" xfId="0" applyFont="1" applyFill="1" applyBorder="1" applyAlignment="1">
      <alignment wrapText="1"/>
    </xf>
    <xf numFmtId="0" fontId="51" fillId="40" borderId="86" xfId="0" applyFont="1" applyFill="1" applyBorder="1"/>
    <xf numFmtId="0" fontId="51" fillId="40" borderId="11" xfId="0" applyFont="1" applyFill="1" applyBorder="1"/>
    <xf numFmtId="0" fontId="51" fillId="40" borderId="91" xfId="0" applyFont="1" applyFill="1" applyBorder="1"/>
    <xf numFmtId="166" fontId="51" fillId="40" borderId="91" xfId="0" applyNumberFormat="1" applyFont="1" applyFill="1" applyBorder="1"/>
    <xf numFmtId="0" fontId="51" fillId="40" borderId="16" xfId="0" applyFont="1" applyFill="1" applyBorder="1"/>
    <xf numFmtId="166" fontId="78" fillId="40" borderId="86" xfId="0" applyNumberFormat="1" applyFont="1" applyFill="1" applyBorder="1"/>
    <xf numFmtId="166" fontId="78" fillId="40" borderId="91" xfId="0" applyNumberFormat="1" applyFont="1" applyFill="1" applyBorder="1"/>
    <xf numFmtId="166" fontId="29" fillId="11" borderId="17" xfId="0" applyNumberFormat="1" applyFont="1" applyFill="1" applyBorder="1"/>
    <xf numFmtId="166" fontId="29" fillId="0" borderId="28" xfId="0" applyNumberFormat="1" applyFont="1" applyBorder="1"/>
    <xf numFmtId="0" fontId="49" fillId="0" borderId="98" xfId="0" applyFont="1" applyBorder="1" applyAlignment="1">
      <alignment vertical="center" wrapText="1"/>
    </xf>
    <xf numFmtId="166" fontId="33" fillId="0" borderId="90" xfId="0" applyNumberFormat="1" applyFont="1" applyBorder="1"/>
    <xf numFmtId="166" fontId="29" fillId="0" borderId="90" xfId="0" applyNumberFormat="1" applyFont="1" applyBorder="1"/>
    <xf numFmtId="0" fontId="185" fillId="0" borderId="101" xfId="0" applyFont="1" applyBorder="1"/>
    <xf numFmtId="0" fontId="185" fillId="14" borderId="83" xfId="0" applyFont="1" applyFill="1" applyBorder="1"/>
    <xf numFmtId="0" fontId="185" fillId="0" borderId="101" xfId="0" applyFont="1" applyBorder="1" applyAlignment="1">
      <alignment wrapText="1"/>
    </xf>
    <xf numFmtId="166" fontId="29" fillId="0" borderId="41" xfId="0" applyNumberFormat="1" applyFont="1" applyBorder="1"/>
    <xf numFmtId="166" fontId="29" fillId="19" borderId="85" xfId="0" applyNumberFormat="1" applyFont="1" applyFill="1" applyBorder="1"/>
    <xf numFmtId="166" fontId="33" fillId="19" borderId="12" xfId="0" applyNumberFormat="1" applyFont="1" applyFill="1" applyBorder="1"/>
    <xf numFmtId="166" fontId="33" fillId="19" borderId="90" xfId="0" applyNumberFormat="1" applyFont="1" applyFill="1" applyBorder="1"/>
    <xf numFmtId="166" fontId="29" fillId="19" borderId="12" xfId="0" applyNumberFormat="1" applyFont="1" applyFill="1" applyBorder="1"/>
    <xf numFmtId="166" fontId="29" fillId="19" borderId="90" xfId="0" applyNumberFormat="1" applyFont="1" applyFill="1" applyBorder="1"/>
    <xf numFmtId="0" fontId="33" fillId="19" borderId="12" xfId="0" applyFont="1" applyFill="1" applyBorder="1"/>
    <xf numFmtId="166" fontId="33" fillId="19" borderId="22" xfId="0" applyNumberFormat="1" applyFont="1" applyFill="1" applyBorder="1"/>
    <xf numFmtId="166" fontId="33" fillId="0" borderId="22" xfId="0" applyNumberFormat="1" applyFont="1" applyBorder="1"/>
    <xf numFmtId="166" fontId="29" fillId="19" borderId="28" xfId="0" applyNumberFormat="1" applyFont="1" applyFill="1" applyBorder="1"/>
    <xf numFmtId="166" fontId="29" fillId="0" borderId="106" xfId="0" applyNumberFormat="1" applyFont="1" applyBorder="1"/>
    <xf numFmtId="0" fontId="29" fillId="19" borderId="91" xfId="0" applyFont="1" applyFill="1" applyBorder="1"/>
    <xf numFmtId="0" fontId="33" fillId="19" borderId="98" xfId="0" applyFont="1" applyFill="1" applyBorder="1"/>
    <xf numFmtId="0" fontId="33" fillId="0" borderId="28" xfId="0" applyFont="1" applyBorder="1"/>
    <xf numFmtId="0" fontId="49" fillId="40" borderId="19" xfId="0" applyFont="1" applyFill="1" applyBorder="1" applyAlignment="1">
      <alignment horizontal="left" vertical="center" wrapText="1"/>
    </xf>
    <xf numFmtId="0" fontId="49" fillId="19" borderId="19" xfId="0" applyFont="1" applyFill="1" applyBorder="1" applyAlignment="1">
      <alignment horizontal="left" vertical="center" wrapText="1"/>
    </xf>
    <xf numFmtId="166" fontId="29" fillId="14" borderId="99" xfId="0" applyNumberFormat="1" applyFont="1" applyFill="1" applyBorder="1"/>
    <xf numFmtId="0" fontId="49" fillId="0" borderId="19" xfId="0" applyFont="1" applyBorder="1" applyAlignment="1">
      <alignment vertical="top" wrapText="1"/>
    </xf>
    <xf numFmtId="0" fontId="49" fillId="0" borderId="19" xfId="0" applyFont="1" applyBorder="1" applyAlignment="1">
      <alignment horizontal="left" vertical="center" wrapText="1"/>
    </xf>
    <xf numFmtId="9" fontId="39" fillId="0" borderId="45" xfId="22" applyFont="1" applyFill="1" applyBorder="1" applyAlignment="1">
      <alignment horizontal="left" vertical="center"/>
    </xf>
    <xf numFmtId="166" fontId="178" fillId="0" borderId="45" xfId="0" quotePrefix="1" applyNumberFormat="1" applyFont="1" applyBorder="1" applyAlignment="1">
      <alignment horizontal="left" vertical="center" wrapText="1"/>
    </xf>
    <xf numFmtId="166" fontId="180" fillId="0" borderId="45" xfId="0" quotePrefix="1" applyNumberFormat="1" applyFont="1" applyBorder="1" applyAlignment="1">
      <alignment horizontal="left" vertical="center" wrapText="1"/>
    </xf>
    <xf numFmtId="166" fontId="38" fillId="0" borderId="45" xfId="0" applyNumberFormat="1" applyFont="1" applyBorder="1" applyAlignment="1">
      <alignment horizontal="left" vertical="center" wrapText="1"/>
    </xf>
    <xf numFmtId="166" fontId="179" fillId="0" borderId="45" xfId="0" applyNumberFormat="1" applyFont="1" applyBorder="1" applyAlignment="1">
      <alignment horizontal="left" vertical="center" wrapText="1"/>
    </xf>
    <xf numFmtId="166" fontId="44" fillId="0" borderId="45" xfId="0" applyNumberFormat="1" applyFont="1" applyBorder="1" applyAlignment="1">
      <alignment horizontal="left" vertical="center" wrapText="1"/>
    </xf>
    <xf numFmtId="166" fontId="180" fillId="0" borderId="45" xfId="0" applyNumberFormat="1" applyFont="1" applyBorder="1" applyAlignment="1">
      <alignment horizontal="left" vertical="center" wrapText="1"/>
    </xf>
    <xf numFmtId="166" fontId="29" fillId="0" borderId="0" xfId="0" applyNumberFormat="1" applyFont="1" applyAlignment="1">
      <alignment horizontal="left" vertical="center"/>
    </xf>
    <xf numFmtId="166" fontId="182" fillId="0" borderId="0" xfId="0" applyNumberFormat="1" applyFont="1" applyAlignment="1">
      <alignment horizontal="left" vertical="center"/>
    </xf>
    <xf numFmtId="166" fontId="29" fillId="11" borderId="83" xfId="0" applyNumberFormat="1" applyFont="1" applyFill="1" applyBorder="1"/>
    <xf numFmtId="166" fontId="29" fillId="0" borderId="98" xfId="0" applyNumberFormat="1" applyFont="1" applyBorder="1"/>
    <xf numFmtId="0" fontId="0" fillId="5" borderId="11" xfId="0" applyFill="1" applyBorder="1"/>
    <xf numFmtId="166" fontId="0" fillId="5" borderId="11" xfId="0" applyNumberFormat="1" applyFill="1" applyBorder="1"/>
    <xf numFmtId="166" fontId="29" fillId="5" borderId="11" xfId="0" applyNumberFormat="1" applyFont="1" applyFill="1" applyBorder="1"/>
    <xf numFmtId="0" fontId="29" fillId="5" borderId="11" xfId="0" applyFont="1" applyFill="1" applyBorder="1"/>
    <xf numFmtId="166" fontId="0" fillId="40" borderId="87" xfId="0" applyNumberFormat="1" applyFill="1" applyBorder="1"/>
    <xf numFmtId="166" fontId="0" fillId="40" borderId="89" xfId="0" applyNumberFormat="1" applyFill="1" applyBorder="1"/>
    <xf numFmtId="0" fontId="0" fillId="0" borderId="100" xfId="0" applyBorder="1" applyAlignment="1">
      <alignment wrapText="1"/>
    </xf>
    <xf numFmtId="166" fontId="0" fillId="40" borderId="93" xfId="0" applyNumberFormat="1" applyFill="1" applyBorder="1"/>
    <xf numFmtId="0" fontId="29" fillId="0" borderId="96" xfId="0" applyFont="1" applyBorder="1"/>
    <xf numFmtId="0" fontId="29" fillId="18" borderId="95" xfId="0" applyFont="1" applyFill="1" applyBorder="1" applyAlignment="1">
      <alignment wrapText="1"/>
    </xf>
    <xf numFmtId="166" fontId="29" fillId="18" borderId="87" xfId="0" applyNumberFormat="1" applyFont="1" applyFill="1" applyBorder="1" applyAlignment="1">
      <alignment wrapText="1"/>
    </xf>
    <xf numFmtId="166" fontId="29" fillId="18" borderId="96" xfId="0" applyNumberFormat="1" applyFont="1" applyFill="1" applyBorder="1" applyAlignment="1">
      <alignment wrapText="1"/>
    </xf>
    <xf numFmtId="166" fontId="29" fillId="18" borderId="89" xfId="0" applyNumberFormat="1" applyFont="1" applyFill="1" applyBorder="1" applyAlignment="1">
      <alignment wrapText="1"/>
    </xf>
    <xf numFmtId="166" fontId="29" fillId="18" borderId="100" xfId="0" applyNumberFormat="1" applyFont="1" applyFill="1" applyBorder="1" applyAlignment="1">
      <alignment wrapText="1"/>
    </xf>
    <xf numFmtId="166" fontId="29" fillId="18" borderId="93" xfId="0" applyNumberFormat="1" applyFont="1" applyFill="1" applyBorder="1" applyAlignment="1">
      <alignment wrapText="1"/>
    </xf>
    <xf numFmtId="166" fontId="29" fillId="18" borderId="83" xfId="0" applyNumberFormat="1" applyFont="1" applyFill="1" applyBorder="1" applyAlignment="1">
      <alignment wrapText="1"/>
    </xf>
    <xf numFmtId="166" fontId="29" fillId="18" borderId="99" xfId="0" applyNumberFormat="1" applyFont="1" applyFill="1" applyBorder="1" applyAlignment="1">
      <alignment wrapText="1"/>
    </xf>
    <xf numFmtId="0" fontId="29" fillId="18" borderId="11" xfId="0" applyFont="1" applyFill="1" applyBorder="1" applyAlignment="1">
      <alignment horizontal="right" wrapText="1"/>
    </xf>
    <xf numFmtId="166" fontId="29" fillId="18" borderId="11" xfId="0" applyNumberFormat="1" applyFont="1" applyFill="1" applyBorder="1" applyAlignment="1">
      <alignment horizontal="right" wrapText="1"/>
    </xf>
    <xf numFmtId="0" fontId="207" fillId="0" borderId="11" xfId="0" applyFont="1" applyBorder="1" applyAlignment="1">
      <alignment vertical="top" wrapText="1"/>
    </xf>
    <xf numFmtId="0" fontId="205" fillId="56" borderId="11" xfId="0" applyFont="1" applyFill="1" applyBorder="1" applyAlignment="1">
      <alignment vertical="top" wrapText="1"/>
    </xf>
    <xf numFmtId="0" fontId="206" fillId="0" borderId="11" xfId="0" applyFont="1" applyBorder="1" applyAlignment="1">
      <alignment vertical="top" wrapText="1"/>
    </xf>
    <xf numFmtId="0" fontId="204" fillId="0" borderId="11" xfId="0" applyFont="1" applyBorder="1" applyAlignment="1">
      <alignment vertical="top" wrapText="1"/>
    </xf>
    <xf numFmtId="0" fontId="203" fillId="56" borderId="89" xfId="0" applyFont="1" applyFill="1" applyBorder="1" applyAlignment="1">
      <alignment vertical="top" wrapText="1"/>
    </xf>
    <xf numFmtId="0" fontId="207" fillId="0" borderId="89" xfId="0" applyFont="1" applyBorder="1" applyAlignment="1">
      <alignment vertical="top" wrapText="1"/>
    </xf>
    <xf numFmtId="0" fontId="208" fillId="0" borderId="89" xfId="0" applyFont="1" applyBorder="1" applyAlignment="1">
      <alignment vertical="top" wrapText="1"/>
    </xf>
    <xf numFmtId="0" fontId="206" fillId="0" borderId="89" xfId="0" applyFont="1" applyBorder="1" applyAlignment="1">
      <alignment vertical="top" wrapText="1"/>
    </xf>
    <xf numFmtId="0" fontId="206" fillId="0" borderId="91" xfId="0" applyFont="1" applyBorder="1" applyAlignment="1">
      <alignment vertical="top" wrapText="1"/>
    </xf>
    <xf numFmtId="0" fontId="206" fillId="0" borderId="92" xfId="0" applyFont="1" applyBorder="1" applyAlignment="1">
      <alignment vertical="top" wrapText="1"/>
    </xf>
    <xf numFmtId="0" fontId="207" fillId="0" borderId="101" xfId="0" applyFont="1" applyBorder="1" applyAlignment="1">
      <alignment vertical="top" wrapText="1"/>
    </xf>
    <xf numFmtId="0" fontId="206" fillId="56" borderId="97" xfId="0" applyFont="1" applyFill="1" applyBorder="1" applyAlignment="1">
      <alignment vertical="top" wrapText="1"/>
    </xf>
    <xf numFmtId="0" fontId="206" fillId="56" borderId="91" xfId="0" applyFont="1" applyFill="1" applyBorder="1" applyAlignment="1">
      <alignment vertical="top" wrapText="1"/>
    </xf>
    <xf numFmtId="0" fontId="206" fillId="56" borderId="92" xfId="0" applyFont="1" applyFill="1" applyBorder="1" applyAlignment="1">
      <alignment vertical="top" wrapText="1"/>
    </xf>
    <xf numFmtId="0" fontId="203" fillId="0" borderId="11" xfId="0" applyFont="1" applyBorder="1" applyAlignment="1">
      <alignment vertical="top" wrapText="1"/>
    </xf>
    <xf numFmtId="0" fontId="190" fillId="5" borderId="45" xfId="0" applyFont="1" applyFill="1" applyBorder="1" applyAlignment="1">
      <alignment horizontal="center" vertical="center" wrapText="1"/>
    </xf>
    <xf numFmtId="0" fontId="57" fillId="5" borderId="45" xfId="0" applyFont="1" applyFill="1" applyBorder="1" applyAlignment="1">
      <alignment horizontal="center" vertical="center" wrapText="1"/>
    </xf>
    <xf numFmtId="49" fontId="96" fillId="5" borderId="11" xfId="0" applyNumberFormat="1" applyFont="1" applyFill="1" applyBorder="1" applyAlignment="1">
      <alignment horizontal="justify" vertical="center" textRotation="90"/>
    </xf>
    <xf numFmtId="0" fontId="96" fillId="5" borderId="11" xfId="0" applyFont="1" applyFill="1" applyBorder="1" applyAlignment="1">
      <alignment horizontal="justify" vertical="center"/>
    </xf>
    <xf numFmtId="166" fontId="98" fillId="5" borderId="11" xfId="0" applyNumberFormat="1" applyFont="1" applyFill="1" applyBorder="1" applyAlignment="1">
      <alignment horizontal="justify" vertical="center"/>
    </xf>
    <xf numFmtId="166" fontId="100" fillId="5" borderId="11" xfId="0" applyNumberFormat="1" applyFont="1" applyFill="1" applyBorder="1" applyAlignment="1">
      <alignment horizontal="justify" vertical="center"/>
    </xf>
    <xf numFmtId="9" fontId="48" fillId="5" borderId="11" xfId="22" applyFont="1" applyFill="1" applyBorder="1" applyAlignment="1">
      <alignment horizontal="justify" vertical="center" wrapText="1"/>
    </xf>
    <xf numFmtId="166" fontId="49" fillId="5" borderId="11" xfId="0" applyNumberFormat="1" applyFont="1" applyFill="1" applyBorder="1" applyAlignment="1">
      <alignment horizontal="justify" vertical="center" wrapText="1"/>
    </xf>
    <xf numFmtId="9" fontId="47" fillId="0" borderId="16" xfId="22" applyFont="1" applyFill="1" applyBorder="1" applyAlignment="1">
      <alignment horizontal="justify" vertical="center"/>
    </xf>
    <xf numFmtId="166" fontId="47" fillId="0" borderId="16" xfId="0" applyNumberFormat="1" applyFont="1" applyBorder="1" applyAlignment="1">
      <alignment horizontal="justify" vertical="center"/>
    </xf>
    <xf numFmtId="9" fontId="94" fillId="0" borderId="16" xfId="22" applyFont="1" applyFill="1" applyBorder="1" applyAlignment="1">
      <alignment horizontal="justify" vertical="center"/>
    </xf>
    <xf numFmtId="166" fontId="144" fillId="0" borderId="16" xfId="0" applyNumberFormat="1" applyFont="1" applyBorder="1" applyAlignment="1">
      <alignment horizontal="justify" vertical="center"/>
    </xf>
    <xf numFmtId="166" fontId="29" fillId="5" borderId="0" xfId="0" applyNumberFormat="1" applyFont="1" applyFill="1" applyAlignment="1">
      <alignment wrapText="1"/>
    </xf>
    <xf numFmtId="171" fontId="29" fillId="0" borderId="85" xfId="0" applyNumberFormat="1" applyFont="1" applyBorder="1"/>
    <xf numFmtId="166" fontId="100" fillId="5" borderId="11" xfId="0" applyNumberFormat="1" applyFont="1" applyFill="1" applyBorder="1" applyAlignment="1">
      <alignment horizontal="left" vertical="center"/>
    </xf>
    <xf numFmtId="166" fontId="104" fillId="5" borderId="11" xfId="0" applyNumberFormat="1" applyFont="1" applyFill="1" applyBorder="1" applyAlignment="1">
      <alignment horizontal="justify" vertical="center"/>
    </xf>
    <xf numFmtId="0" fontId="94" fillId="0" borderId="11" xfId="0" applyFont="1" applyBorder="1" applyAlignment="1" applyProtection="1">
      <alignment horizontal="left" vertical="center" wrapText="1"/>
      <protection locked="0"/>
    </xf>
    <xf numFmtId="0" fontId="94" fillId="0" borderId="11" xfId="0" applyFont="1" applyBorder="1" applyAlignment="1">
      <alignment horizontal="left" vertical="center"/>
    </xf>
    <xf numFmtId="0" fontId="92" fillId="0" borderId="11" xfId="0" applyFont="1" applyBorder="1" applyAlignment="1">
      <alignment horizontal="left" vertical="center" wrapText="1"/>
    </xf>
    <xf numFmtId="49" fontId="48" fillId="28" borderId="11" xfId="0" applyNumberFormat="1" applyFont="1" applyFill="1" applyBorder="1" applyAlignment="1">
      <alignment vertical="center" wrapText="1"/>
    </xf>
    <xf numFmtId="0" fontId="96" fillId="24" borderId="23" xfId="0" applyFont="1" applyFill="1" applyBorder="1" applyAlignment="1">
      <alignment horizontal="center" vertical="center"/>
    </xf>
    <xf numFmtId="166" fontId="47" fillId="0" borderId="19" xfId="0" applyNumberFormat="1" applyFont="1" applyBorder="1" applyAlignment="1">
      <alignment horizontal="justify" vertical="center"/>
    </xf>
    <xf numFmtId="166" fontId="47" fillId="0" borderId="33" xfId="0" applyNumberFormat="1" applyFont="1" applyBorder="1" applyAlignment="1">
      <alignment horizontal="justify" vertical="center"/>
    </xf>
    <xf numFmtId="0" fontId="52" fillId="0" borderId="17" xfId="0" applyFont="1" applyBorder="1" applyAlignment="1">
      <alignment horizontal="left" vertical="center" wrapText="1"/>
    </xf>
    <xf numFmtId="0" fontId="119" fillId="0" borderId="17" xfId="0" applyFont="1" applyBorder="1" applyAlignment="1">
      <alignment horizontal="left" vertical="center" wrapText="1"/>
    </xf>
    <xf numFmtId="0" fontId="211" fillId="0" borderId="11" xfId="0" applyFont="1" applyBorder="1" applyAlignment="1">
      <alignment horizontal="center" vertical="center" wrapText="1"/>
    </xf>
    <xf numFmtId="0" fontId="48" fillId="0" borderId="49" xfId="10" applyFont="1" applyBorder="1" applyAlignment="1">
      <alignment horizontal="left" vertical="top" wrapText="1"/>
    </xf>
    <xf numFmtId="0" fontId="48" fillId="0" borderId="50" xfId="10" applyFont="1" applyBorder="1" applyAlignment="1">
      <alignment horizontal="left" vertical="top" wrapText="1"/>
    </xf>
    <xf numFmtId="0" fontId="0" fillId="0" borderId="51" xfId="0" applyBorder="1" applyAlignment="1">
      <alignment horizontal="center" vertical="top" wrapText="1"/>
    </xf>
    <xf numFmtId="0" fontId="0" fillId="0" borderId="0" xfId="0" applyAlignment="1">
      <alignment horizontal="center" vertical="top" wrapText="1"/>
    </xf>
    <xf numFmtId="0" fontId="0" fillId="0" borderId="52" xfId="0" applyBorder="1" applyAlignment="1">
      <alignment horizontal="center" vertical="top" wrapText="1"/>
    </xf>
    <xf numFmtId="0" fontId="29" fillId="0" borderId="51" xfId="0" applyFont="1" applyBorder="1" applyAlignment="1">
      <alignment horizontal="center"/>
    </xf>
    <xf numFmtId="0" fontId="29" fillId="0" borderId="0" xfId="0" applyFont="1" applyAlignment="1">
      <alignment horizontal="center"/>
    </xf>
    <xf numFmtId="0" fontId="29" fillId="0" borderId="52" xfId="0" applyFont="1" applyBorder="1" applyAlignment="1">
      <alignment horizontal="center"/>
    </xf>
    <xf numFmtId="0" fontId="29" fillId="0" borderId="51" xfId="0" applyFont="1" applyBorder="1" applyAlignment="1">
      <alignment horizontal="center" wrapText="1"/>
    </xf>
    <xf numFmtId="0" fontId="29" fillId="0" borderId="0" xfId="0" applyFont="1" applyAlignment="1">
      <alignment horizontal="center" wrapText="1"/>
    </xf>
    <xf numFmtId="0" fontId="29" fillId="0" borderId="52" xfId="0" applyFont="1" applyBorder="1" applyAlignment="1">
      <alignment horizontal="center" wrapText="1"/>
    </xf>
    <xf numFmtId="0" fontId="29" fillId="0" borderId="51" xfId="0" applyFont="1" applyBorder="1" applyAlignment="1">
      <alignment horizontal="center" vertical="center"/>
    </xf>
    <xf numFmtId="0" fontId="29" fillId="0" borderId="0" xfId="0" applyFont="1" applyAlignment="1">
      <alignment horizontal="center" vertical="center"/>
    </xf>
    <xf numFmtId="0" fontId="29" fillId="0" borderId="52" xfId="0" applyFont="1" applyBorder="1" applyAlignment="1">
      <alignment horizontal="center" vertical="center"/>
    </xf>
    <xf numFmtId="0" fontId="29" fillId="10" borderId="56" xfId="0" applyFont="1" applyFill="1" applyBorder="1" applyAlignment="1">
      <alignment horizontal="center" vertical="center" wrapText="1"/>
    </xf>
    <xf numFmtId="0" fontId="29" fillId="10" borderId="57" xfId="0" applyFont="1" applyFill="1" applyBorder="1" applyAlignment="1">
      <alignment horizontal="center" vertical="center" wrapText="1"/>
    </xf>
    <xf numFmtId="0" fontId="0" fillId="0" borderId="45" xfId="0" applyBorder="1" applyAlignment="1">
      <alignment horizontal="center" vertical="center" wrapText="1"/>
    </xf>
    <xf numFmtId="0" fontId="0" fillId="0" borderId="56" xfId="0" applyBorder="1" applyAlignment="1">
      <alignment horizontal="center" vertical="center" wrapText="1"/>
    </xf>
    <xf numFmtId="0" fontId="0" fillId="0" borderId="57" xfId="0" applyBorder="1" applyAlignment="1">
      <alignment horizontal="center" vertical="center" wrapText="1"/>
    </xf>
    <xf numFmtId="0" fontId="35" fillId="10" borderId="63" xfId="0" applyFont="1" applyFill="1" applyBorder="1" applyAlignment="1">
      <alignment horizontal="center" vertical="center" wrapText="1"/>
    </xf>
    <xf numFmtId="0" fontId="35" fillId="10" borderId="64" xfId="0" applyFont="1" applyFill="1" applyBorder="1" applyAlignment="1">
      <alignment horizontal="center" vertical="center" wrapText="1"/>
    </xf>
    <xf numFmtId="0" fontId="35" fillId="10" borderId="65" xfId="0" applyFont="1" applyFill="1" applyBorder="1" applyAlignment="1">
      <alignment horizontal="center" vertical="center" wrapText="1"/>
    </xf>
    <xf numFmtId="0" fontId="0" fillId="0" borderId="56" xfId="0" applyBorder="1" applyAlignment="1">
      <alignment horizontal="center" vertical="center"/>
    </xf>
    <xf numFmtId="0" fontId="0" fillId="0" borderId="57" xfId="0" applyBorder="1" applyAlignment="1">
      <alignment horizontal="center" vertical="center"/>
    </xf>
    <xf numFmtId="0" fontId="35" fillId="10" borderId="56" xfId="0" applyFont="1" applyFill="1" applyBorder="1" applyAlignment="1">
      <alignment horizontal="center" vertical="center" wrapText="1"/>
    </xf>
    <xf numFmtId="0" fontId="35" fillId="10" borderId="57" xfId="0" applyFont="1" applyFill="1" applyBorder="1" applyAlignment="1">
      <alignment horizontal="center" vertical="center" wrapText="1"/>
    </xf>
    <xf numFmtId="0" fontId="0" fillId="0" borderId="62" xfId="0" applyBorder="1" applyAlignment="1">
      <alignment horizontal="left"/>
    </xf>
    <xf numFmtId="0" fontId="21" fillId="0" borderId="51" xfId="0" applyFont="1" applyBorder="1" applyAlignment="1">
      <alignment horizontal="center" vertical="center"/>
    </xf>
    <xf numFmtId="0" fontId="21" fillId="0" borderId="0" xfId="0" applyFont="1" applyAlignment="1">
      <alignment horizontal="center" vertical="center"/>
    </xf>
    <xf numFmtId="0" fontId="21" fillId="0" borderId="52" xfId="0" applyFont="1" applyBorder="1" applyAlignment="1">
      <alignment horizontal="center" vertical="center"/>
    </xf>
    <xf numFmtId="0" fontId="0" fillId="0" borderId="56" xfId="0" applyBorder="1" applyAlignment="1">
      <alignment horizontal="left" vertical="center"/>
    </xf>
    <xf numFmtId="0" fontId="0" fillId="0" borderId="57" xfId="0" applyBorder="1" applyAlignment="1">
      <alignment horizontal="left" vertical="center"/>
    </xf>
    <xf numFmtId="0" fontId="0" fillId="0" borderId="58" xfId="0" applyBorder="1" applyAlignment="1">
      <alignment horizontal="left" vertical="center"/>
    </xf>
    <xf numFmtId="0" fontId="0" fillId="0" borderId="56" xfId="0" applyBorder="1" applyAlignment="1">
      <alignment horizontal="left" vertical="center" wrapText="1"/>
    </xf>
    <xf numFmtId="0" fontId="0" fillId="0" borderId="58" xfId="0" applyBorder="1" applyAlignment="1">
      <alignment horizontal="left" vertical="center" wrapText="1"/>
    </xf>
    <xf numFmtId="0" fontId="0" fillId="0" borderId="57" xfId="0" applyBorder="1" applyAlignment="1">
      <alignment horizontal="left" vertical="center" wrapText="1"/>
    </xf>
    <xf numFmtId="0" fontId="189" fillId="10" borderId="56" xfId="0" applyFont="1" applyFill="1" applyBorder="1" applyAlignment="1">
      <alignment horizontal="center" vertical="center" wrapText="1"/>
    </xf>
    <xf numFmtId="0" fontId="189" fillId="10" borderId="57" xfId="0" applyFont="1" applyFill="1" applyBorder="1" applyAlignment="1">
      <alignment horizontal="center" vertical="center" wrapText="1"/>
    </xf>
    <xf numFmtId="0" fontId="57" fillId="0" borderId="45" xfId="0" applyFont="1" applyBorder="1" applyAlignment="1">
      <alignment horizontal="center" vertical="center" wrapText="1"/>
    </xf>
    <xf numFmtId="0" fontId="77" fillId="0" borderId="0" xfId="0" applyFont="1" applyAlignment="1">
      <alignment horizontal="center"/>
    </xf>
    <xf numFmtId="0" fontId="57" fillId="0" borderId="56" xfId="0" applyFont="1" applyBorder="1" applyAlignment="1">
      <alignment horizontal="center" vertical="center" wrapText="1"/>
    </xf>
    <xf numFmtId="0" fontId="57" fillId="0" borderId="57" xfId="0" applyFont="1" applyBorder="1" applyAlignment="1">
      <alignment horizontal="center" vertical="center" wrapText="1"/>
    </xf>
    <xf numFmtId="0" fontId="0" fillId="0" borderId="45" xfId="0" applyBorder="1" applyAlignment="1">
      <alignment horizontal="left" vertical="center" wrapText="1"/>
    </xf>
    <xf numFmtId="0" fontId="35" fillId="10" borderId="56" xfId="0" applyFont="1" applyFill="1" applyBorder="1" applyAlignment="1">
      <alignment horizontal="left" vertical="center" wrapText="1"/>
    </xf>
    <xf numFmtId="0" fontId="35" fillId="10" borderId="57" xfId="0" applyFont="1" applyFill="1" applyBorder="1" applyAlignment="1">
      <alignment horizontal="left" vertical="center" wrapText="1"/>
    </xf>
    <xf numFmtId="0" fontId="48" fillId="0" borderId="29" xfId="0" applyFont="1" applyBorder="1" applyAlignment="1">
      <alignment horizontal="left"/>
    </xf>
    <xf numFmtId="0" fontId="29" fillId="0" borderId="11" xfId="0" applyFont="1" applyBorder="1" applyAlignment="1">
      <alignment vertical="center" wrapText="1"/>
    </xf>
    <xf numFmtId="0" fontId="29" fillId="0" borderId="11" xfId="0" applyFont="1" applyBorder="1" applyAlignment="1">
      <alignment vertical="center"/>
    </xf>
    <xf numFmtId="0" fontId="29" fillId="0" borderId="12" xfId="0" applyFont="1" applyBorder="1" applyAlignment="1">
      <alignment vertical="center" wrapText="1"/>
    </xf>
    <xf numFmtId="0" fontId="29" fillId="0" borderId="26" xfId="0" applyFont="1" applyBorder="1" applyAlignment="1">
      <alignment vertical="center"/>
    </xf>
    <xf numFmtId="0" fontId="29" fillId="0" borderId="14" xfId="0" applyFont="1" applyBorder="1" applyAlignment="1">
      <alignment vertical="center"/>
    </xf>
    <xf numFmtId="0" fontId="29" fillId="14" borderId="12" xfId="0" applyFont="1" applyFill="1" applyBorder="1" applyAlignment="1">
      <alignment horizontal="center" vertical="center"/>
    </xf>
    <xf numFmtId="0" fontId="29" fillId="14" borderId="26" xfId="0" applyFont="1" applyFill="1" applyBorder="1" applyAlignment="1">
      <alignment horizontal="center" vertical="center"/>
    </xf>
    <xf numFmtId="0" fontId="29" fillId="14" borderId="14" xfId="0" applyFont="1" applyFill="1" applyBorder="1" applyAlignment="1">
      <alignment horizontal="center" vertical="center"/>
    </xf>
    <xf numFmtId="0" fontId="68" fillId="0" borderId="76" xfId="0" applyFont="1" applyBorder="1" applyAlignment="1">
      <alignment horizontal="left" vertical="center" wrapText="1"/>
    </xf>
    <xf numFmtId="0" fontId="68" fillId="0" borderId="77" xfId="0" applyFont="1" applyBorder="1" applyAlignment="1">
      <alignment horizontal="left" vertical="center" wrapText="1"/>
    </xf>
    <xf numFmtId="0" fontId="68" fillId="0" borderId="78" xfId="0" applyFont="1" applyBorder="1" applyAlignment="1">
      <alignment horizontal="left" vertical="center" wrapText="1"/>
    </xf>
    <xf numFmtId="0" fontId="29" fillId="0" borderId="66"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68" xfId="0" applyFont="1" applyBorder="1" applyAlignment="1">
      <alignment horizontal="center" vertical="center" wrapText="1"/>
    </xf>
    <xf numFmtId="0" fontId="0" fillId="0" borderId="69" xfId="0" applyBorder="1" applyAlignment="1">
      <alignment vertical="center"/>
    </xf>
    <xf numFmtId="0" fontId="0" fillId="0" borderId="45" xfId="0" applyBorder="1" applyAlignment="1">
      <alignment vertical="center"/>
    </xf>
    <xf numFmtId="0" fontId="0" fillId="0" borderId="70" xfId="0" applyBorder="1" applyAlignment="1">
      <alignment vertical="center"/>
    </xf>
    <xf numFmtId="0" fontId="67" fillId="0" borderId="45" xfId="0" applyFont="1" applyBorder="1" applyAlignment="1">
      <alignment vertical="center" wrapText="1"/>
    </xf>
    <xf numFmtId="0" fontId="65" fillId="0" borderId="45" xfId="0" applyFont="1" applyBorder="1" applyAlignment="1">
      <alignment vertical="center" wrapText="1"/>
    </xf>
    <xf numFmtId="0" fontId="68" fillId="0" borderId="45" xfId="0" applyFont="1" applyBorder="1" applyAlignment="1">
      <alignment vertical="center" wrapText="1"/>
    </xf>
    <xf numFmtId="0" fontId="39" fillId="0" borderId="63" xfId="0" applyFont="1" applyBorder="1" applyAlignment="1">
      <alignment horizontal="justify" vertical="center" wrapText="1"/>
    </xf>
    <xf numFmtId="0" fontId="39" fillId="0" borderId="64" xfId="0" applyFont="1" applyBorder="1" applyAlignment="1">
      <alignment horizontal="justify" vertical="center" wrapText="1"/>
    </xf>
    <xf numFmtId="0" fontId="39" fillId="0" borderId="72" xfId="0" applyFont="1" applyBorder="1" applyAlignment="1">
      <alignment horizontal="justify" vertical="center" wrapText="1"/>
    </xf>
    <xf numFmtId="0" fontId="31" fillId="0" borderId="73" xfId="0" applyFont="1" applyBorder="1" applyAlignment="1">
      <alignment horizontal="center" vertical="center"/>
    </xf>
    <xf numFmtId="0" fontId="31" fillId="0" borderId="74" xfId="0" applyFont="1" applyBorder="1" applyAlignment="1">
      <alignment horizontal="center" vertical="center"/>
    </xf>
    <xf numFmtId="0" fontId="31" fillId="0" borderId="75" xfId="0" applyFont="1" applyBorder="1" applyAlignment="1">
      <alignment horizontal="center" vertical="center"/>
    </xf>
    <xf numFmtId="0" fontId="43" fillId="14" borderId="45" xfId="0" applyFont="1" applyFill="1" applyBorder="1" applyAlignment="1">
      <alignment horizontal="left" vertical="center" wrapText="1"/>
    </xf>
    <xf numFmtId="0" fontId="68" fillId="0" borderId="45" xfId="0" applyFont="1" applyBorder="1" applyAlignment="1">
      <alignment horizontal="left" vertical="center" wrapText="1"/>
    </xf>
    <xf numFmtId="0" fontId="39" fillId="0" borderId="45" xfId="0" applyFont="1" applyBorder="1" applyAlignment="1">
      <alignment horizontal="left" vertical="center" wrapText="1"/>
    </xf>
    <xf numFmtId="0" fontId="68" fillId="0" borderId="63" xfId="0" applyFont="1" applyBorder="1" applyAlignment="1">
      <alignment horizontal="left" vertical="center" wrapText="1"/>
    </xf>
    <xf numFmtId="0" fontId="68" fillId="0" borderId="64" xfId="0" applyFont="1" applyBorder="1" applyAlignment="1">
      <alignment horizontal="left" vertical="center" wrapText="1"/>
    </xf>
    <xf numFmtId="0" fontId="68" fillId="0" borderId="65" xfId="0" applyFont="1" applyBorder="1" applyAlignment="1">
      <alignment horizontal="left" vertical="center" wrapText="1"/>
    </xf>
    <xf numFmtId="0" fontId="107" fillId="0" borderId="45" xfId="0" applyFont="1" applyBorder="1" applyAlignment="1">
      <alignment horizontal="left" vertical="center" wrapText="1"/>
    </xf>
    <xf numFmtId="0" fontId="44" fillId="0" borderId="45" xfId="0" applyFont="1" applyBorder="1" applyAlignment="1">
      <alignment horizontal="left" vertical="center" wrapText="1"/>
    </xf>
    <xf numFmtId="0" fontId="84" fillId="5" borderId="45" xfId="0" applyFont="1" applyFill="1" applyBorder="1" applyAlignment="1">
      <alignment horizontal="center" vertical="center" wrapText="1"/>
    </xf>
    <xf numFmtId="0" fontId="38" fillId="0" borderId="45" xfId="0" applyFont="1" applyBorder="1" applyAlignment="1">
      <alignment horizontal="left" vertical="center" wrapText="1"/>
    </xf>
    <xf numFmtId="0" fontId="38" fillId="11" borderId="45" xfId="0" applyFont="1" applyFill="1" applyBorder="1" applyAlignment="1">
      <alignment horizontal="left" vertical="center" wrapText="1"/>
    </xf>
    <xf numFmtId="0" fontId="39" fillId="0" borderId="0" xfId="0" applyFont="1" applyAlignment="1">
      <alignment horizontal="justify" vertical="center" wrapText="1"/>
    </xf>
    <xf numFmtId="0" fontId="47" fillId="0" borderId="0" xfId="0" applyFont="1" applyAlignment="1">
      <alignment horizontal="center" vertical="center" wrapText="1"/>
    </xf>
    <xf numFmtId="0" fontId="33" fillId="0" borderId="48" xfId="0" applyFont="1" applyBorder="1" applyAlignment="1">
      <alignment horizontal="center" vertical="center"/>
    </xf>
    <xf numFmtId="0" fontId="33" fillId="0" borderId="49" xfId="0" applyFont="1" applyBorder="1" applyAlignment="1">
      <alignment horizontal="center" vertical="center"/>
    </xf>
    <xf numFmtId="0" fontId="33" fillId="0" borderId="50" xfId="0" applyFont="1" applyBorder="1" applyAlignment="1">
      <alignment horizontal="center" vertical="center"/>
    </xf>
    <xf numFmtId="0" fontId="39" fillId="28" borderId="45" xfId="0" applyFont="1" applyFill="1" applyBorder="1" applyAlignment="1">
      <alignment horizontal="left" vertical="center" wrapText="1"/>
    </xf>
    <xf numFmtId="0" fontId="39" fillId="0" borderId="0" xfId="0" applyFont="1" applyAlignment="1">
      <alignment horizontal="left" vertical="center"/>
    </xf>
    <xf numFmtId="0" fontId="48" fillId="0" borderId="11" xfId="0" applyFont="1" applyBorder="1" applyAlignment="1">
      <alignment horizontal="justify" vertical="center"/>
    </xf>
    <xf numFmtId="0" fontId="47" fillId="0" borderId="11" xfId="0" applyFont="1" applyBorder="1" applyAlignment="1">
      <alignment horizontal="center" vertical="center" wrapText="1"/>
    </xf>
    <xf numFmtId="0" fontId="144" fillId="0" borderId="11" xfId="0" applyFont="1" applyBorder="1" applyAlignment="1">
      <alignment horizontal="center" vertical="center" wrapText="1"/>
    </xf>
    <xf numFmtId="49" fontId="96" fillId="0" borderId="11" xfId="0" applyNumberFormat="1" applyFont="1" applyBorder="1" applyAlignment="1">
      <alignment horizontal="justify" vertical="center" wrapText="1"/>
    </xf>
    <xf numFmtId="49" fontId="48" fillId="0" borderId="11" xfId="0" applyNumberFormat="1" applyFont="1" applyBorder="1" applyAlignment="1">
      <alignment horizontal="justify" vertical="center" wrapText="1"/>
    </xf>
    <xf numFmtId="49" fontId="47" fillId="0" borderId="11" xfId="0" applyNumberFormat="1" applyFont="1" applyBorder="1" applyAlignment="1">
      <alignment horizontal="justify" vertical="center" wrapText="1"/>
    </xf>
    <xf numFmtId="0" fontId="49" fillId="24" borderId="11" xfId="0" applyFont="1" applyFill="1" applyBorder="1" applyAlignment="1">
      <alignment horizontal="justify" vertical="center"/>
    </xf>
    <xf numFmtId="166" fontId="47" fillId="0" borderId="11" xfId="0" applyNumberFormat="1" applyFont="1" applyBorder="1" applyAlignment="1">
      <alignment horizontal="center" vertical="center" wrapText="1"/>
    </xf>
    <xf numFmtId="166" fontId="94" fillId="0" borderId="11" xfId="0" applyNumberFormat="1" applyFont="1" applyBorder="1" applyAlignment="1">
      <alignment horizontal="justify" vertical="center" wrapText="1"/>
    </xf>
    <xf numFmtId="0" fontId="47" fillId="4" borderId="11" xfId="0" applyFont="1" applyFill="1" applyBorder="1" applyAlignment="1">
      <alignment horizontal="justify" vertical="center" wrapText="1"/>
    </xf>
    <xf numFmtId="0" fontId="48" fillId="0" borderId="11" xfId="0" applyFont="1" applyBorder="1" applyAlignment="1">
      <alignment horizontal="justify" vertical="center" textRotation="90" wrapText="1"/>
    </xf>
    <xf numFmtId="166" fontId="48" fillId="0" borderId="11" xfId="0" applyNumberFormat="1" applyFont="1" applyBorder="1" applyAlignment="1">
      <alignment horizontal="left" vertical="center" wrapText="1"/>
    </xf>
    <xf numFmtId="0" fontId="128" fillId="24" borderId="11" xfId="0" applyFont="1" applyFill="1" applyBorder="1" applyAlignment="1">
      <alignment horizontal="justify" vertical="center"/>
    </xf>
    <xf numFmtId="0" fontId="47" fillId="0" borderId="11" xfId="0" applyFont="1" applyBorder="1" applyAlignment="1">
      <alignment horizontal="justify" vertical="center" wrapText="1"/>
    </xf>
    <xf numFmtId="166" fontId="48" fillId="0" borderId="11" xfId="0" applyNumberFormat="1" applyFont="1" applyBorder="1" applyAlignment="1">
      <alignment horizontal="justify" vertical="center" wrapText="1"/>
    </xf>
    <xf numFmtId="0" fontId="33" fillId="0" borderId="0" xfId="0" applyFont="1" applyAlignment="1">
      <alignment horizontal="justify" vertical="center" wrapText="1"/>
    </xf>
    <xf numFmtId="0" fontId="33" fillId="0" borderId="0" xfId="0" applyFont="1" applyAlignment="1">
      <alignment horizontal="justify" vertical="center"/>
    </xf>
    <xf numFmtId="0" fontId="60" fillId="0" borderId="0" xfId="0" applyFont="1" applyAlignment="1">
      <alignment horizontal="justify" vertical="center" wrapText="1"/>
    </xf>
    <xf numFmtId="0" fontId="60" fillId="0" borderId="0" xfId="0" applyFont="1" applyAlignment="1">
      <alignment horizontal="justify" vertical="center"/>
    </xf>
    <xf numFmtId="0" fontId="87" fillId="0" borderId="0" xfId="0" applyFont="1" applyAlignment="1">
      <alignment horizontal="justify" vertical="center"/>
    </xf>
    <xf numFmtId="0" fontId="48" fillId="0" borderId="0" xfId="0" applyFont="1" applyAlignment="1">
      <alignment horizontal="left" vertical="center"/>
    </xf>
    <xf numFmtId="0" fontId="33" fillId="0" borderId="0" xfId="0" applyFont="1" applyAlignment="1">
      <alignment horizontal="left" vertical="center"/>
    </xf>
    <xf numFmtId="0" fontId="59" fillId="0" borderId="0" xfId="0" applyFont="1" applyAlignment="1">
      <alignment horizontal="justify" vertical="center" wrapText="1"/>
    </xf>
    <xf numFmtId="0" fontId="85" fillId="0" borderId="11" xfId="0" applyFont="1" applyBorder="1" applyAlignment="1">
      <alignment horizontal="center" vertical="center" wrapText="1"/>
    </xf>
    <xf numFmtId="0" fontId="48" fillId="0" borderId="29" xfId="0" applyFont="1" applyBorder="1" applyAlignment="1">
      <alignment horizontal="justify" vertical="center" wrapText="1"/>
    </xf>
    <xf numFmtId="0" fontId="84" fillId="5" borderId="11" xfId="0" applyFont="1" applyFill="1" applyBorder="1" applyAlignment="1">
      <alignment horizontal="center" vertical="center" wrapText="1"/>
    </xf>
    <xf numFmtId="0" fontId="47" fillId="5" borderId="11" xfId="0" applyFont="1" applyFill="1" applyBorder="1" applyAlignment="1">
      <alignment horizontal="center" vertical="center" wrapText="1"/>
    </xf>
    <xf numFmtId="0" fontId="47" fillId="0" borderId="11" xfId="0" applyFont="1" applyBorder="1" applyAlignment="1">
      <alignment horizontal="center" vertical="center" textRotation="90" wrapText="1"/>
    </xf>
    <xf numFmtId="0" fontId="48" fillId="0" borderId="11" xfId="0" applyFont="1" applyBorder="1" applyAlignment="1">
      <alignment horizontal="center" vertical="center" textRotation="90" wrapText="1"/>
    </xf>
    <xf numFmtId="0" fontId="48" fillId="4" borderId="11" xfId="0" applyFont="1" applyFill="1" applyBorder="1" applyAlignment="1">
      <alignment horizontal="justify" vertical="center" textRotation="90" wrapText="1"/>
    </xf>
    <xf numFmtId="9" fontId="84" fillId="5" borderId="11" xfId="22" applyFont="1" applyFill="1" applyBorder="1" applyAlignment="1">
      <alignment horizontal="center" vertical="center" wrapText="1"/>
    </xf>
    <xf numFmtId="0" fontId="96" fillId="25" borderId="11" xfId="0" applyFont="1" applyFill="1" applyBorder="1" applyAlignment="1">
      <alignment horizontal="justify" vertical="center" wrapText="1"/>
    </xf>
    <xf numFmtId="0" fontId="96" fillId="25" borderId="11" xfId="0" applyFont="1" applyFill="1" applyBorder="1" applyAlignment="1">
      <alignment horizontal="justify" vertical="center" textRotation="90" wrapText="1"/>
    </xf>
    <xf numFmtId="49" fontId="48" fillId="0" borderId="11" xfId="0" applyNumberFormat="1" applyFont="1" applyBorder="1" applyAlignment="1">
      <alignment horizontal="justify" vertical="center" textRotation="90"/>
    </xf>
    <xf numFmtId="166" fontId="83" fillId="0" borderId="11" xfId="0" applyNumberFormat="1" applyFont="1" applyBorder="1" applyAlignment="1">
      <alignment horizontal="justify" vertical="center" wrapText="1"/>
    </xf>
    <xf numFmtId="0" fontId="48" fillId="24" borderId="11" xfId="0" applyFont="1" applyFill="1" applyBorder="1" applyAlignment="1">
      <alignment horizontal="justify" vertical="center" wrapText="1"/>
    </xf>
    <xf numFmtId="0" fontId="48" fillId="24" borderId="11" xfId="0" applyFont="1" applyFill="1" applyBorder="1" applyAlignment="1">
      <alignment horizontal="justify" vertical="center" textRotation="90" wrapText="1"/>
    </xf>
    <xf numFmtId="0" fontId="94" fillId="0" borderId="11" xfId="0" applyFont="1" applyBorder="1" applyAlignment="1">
      <alignment horizontal="justify" vertical="center"/>
    </xf>
    <xf numFmtId="0" fontId="92" fillId="0" borderId="11" xfId="0" applyFont="1" applyBorder="1" applyAlignment="1">
      <alignment horizontal="justify" vertical="center" wrapText="1"/>
    </xf>
    <xf numFmtId="166" fontId="47" fillId="0" borderId="11" xfId="0" applyNumberFormat="1" applyFont="1" applyBorder="1" applyAlignment="1">
      <alignment horizontal="center" vertical="center"/>
    </xf>
    <xf numFmtId="0" fontId="96" fillId="0" borderId="11" xfId="0" applyFont="1" applyBorder="1" applyAlignment="1">
      <alignment horizontal="justify" vertical="center"/>
    </xf>
    <xf numFmtId="166" fontId="96" fillId="0" borderId="11" xfId="0" applyNumberFormat="1" applyFont="1" applyBorder="1" applyAlignment="1">
      <alignment horizontal="justify" vertical="center" wrapText="1"/>
    </xf>
    <xf numFmtId="166" fontId="96" fillId="0" borderId="11" xfId="0" applyNumberFormat="1" applyFont="1" applyBorder="1" applyAlignment="1">
      <alignment horizontal="justify" vertical="center"/>
    </xf>
    <xf numFmtId="49" fontId="47" fillId="4" borderId="11" xfId="0" applyNumberFormat="1" applyFont="1" applyFill="1" applyBorder="1" applyAlignment="1">
      <alignment horizontal="justify" vertical="center" wrapText="1"/>
    </xf>
    <xf numFmtId="166" fontId="48" fillId="0" borderId="11" xfId="0" applyNumberFormat="1" applyFont="1" applyBorder="1" applyAlignment="1">
      <alignment horizontal="justify" vertical="center"/>
    </xf>
    <xf numFmtId="166" fontId="142" fillId="0" borderId="11" xfId="0" applyNumberFormat="1" applyFont="1" applyBorder="1" applyAlignment="1">
      <alignment horizontal="justify" vertical="center" wrapText="1"/>
    </xf>
    <xf numFmtId="0" fontId="48" fillId="0" borderId="11" xfId="0" applyFont="1" applyBorder="1" applyAlignment="1">
      <alignment horizontal="justify" vertical="center" wrapText="1"/>
    </xf>
    <xf numFmtId="0" fontId="96" fillId="24" borderId="12" xfId="0" applyFont="1" applyFill="1" applyBorder="1" applyAlignment="1">
      <alignment horizontal="left" vertical="center" wrapText="1"/>
    </xf>
    <xf numFmtId="0" fontId="96" fillId="24" borderId="26" xfId="0" applyFont="1" applyFill="1" applyBorder="1" applyAlignment="1">
      <alignment horizontal="left" vertical="center" wrapText="1"/>
    </xf>
    <xf numFmtId="0" fontId="96" fillId="24" borderId="14" xfId="0" applyFont="1" applyFill="1" applyBorder="1" applyAlignment="1">
      <alignment horizontal="left" vertical="center" wrapText="1"/>
    </xf>
    <xf numFmtId="0" fontId="48" fillId="11" borderId="11" xfId="0" applyFont="1" applyFill="1" applyBorder="1" applyAlignment="1">
      <alignment horizontal="justify" vertical="center"/>
    </xf>
    <xf numFmtId="0" fontId="96" fillId="0" borderId="11" xfId="0" applyFont="1" applyBorder="1" applyAlignment="1">
      <alignment horizontal="justify" vertical="center" wrapText="1"/>
    </xf>
    <xf numFmtId="0" fontId="48" fillId="0" borderId="23" xfId="0" applyFont="1" applyBorder="1" applyAlignment="1">
      <alignment horizontal="justify" vertical="center"/>
    </xf>
    <xf numFmtId="0" fontId="48" fillId="0" borderId="32" xfId="0" applyFont="1" applyBorder="1" applyAlignment="1">
      <alignment horizontal="justify" vertical="center"/>
    </xf>
    <xf numFmtId="0" fontId="47" fillId="12" borderId="11" xfId="0" applyFont="1" applyFill="1" applyBorder="1" applyAlignment="1">
      <alignment horizontal="justify" vertical="center" wrapText="1"/>
    </xf>
    <xf numFmtId="0" fontId="85" fillId="0" borderId="12" xfId="0" applyFont="1" applyBorder="1" applyAlignment="1">
      <alignment horizontal="center" vertical="center" wrapText="1"/>
    </xf>
    <xf numFmtId="0" fontId="85" fillId="0" borderId="26" xfId="0" applyFont="1" applyBorder="1" applyAlignment="1">
      <alignment horizontal="center" vertical="center" wrapText="1"/>
    </xf>
    <xf numFmtId="0" fontId="85" fillId="0" borderId="14" xfId="0" applyFont="1" applyBorder="1" applyAlignment="1">
      <alignment horizontal="center" vertical="center" wrapText="1"/>
    </xf>
    <xf numFmtId="0" fontId="59" fillId="0" borderId="32" xfId="0" applyFont="1" applyBorder="1" applyAlignment="1">
      <alignment horizontal="center" vertical="center" wrapText="1"/>
    </xf>
    <xf numFmtId="0" fontId="59" fillId="0" borderId="32" xfId="0" applyFont="1" applyBorder="1" applyAlignment="1">
      <alignment horizontal="center" vertical="center"/>
    </xf>
    <xf numFmtId="0" fontId="96" fillId="24" borderId="12" xfId="0" applyFont="1" applyFill="1" applyBorder="1" applyAlignment="1">
      <alignment horizontal="justify" vertical="center" wrapText="1"/>
    </xf>
    <xf numFmtId="0" fontId="96" fillId="24" borderId="26" xfId="0" applyFont="1" applyFill="1" applyBorder="1" applyAlignment="1">
      <alignment horizontal="justify" vertical="center" wrapText="1"/>
    </xf>
    <xf numFmtId="0" fontId="96" fillId="24" borderId="14" xfId="0" applyFont="1" applyFill="1" applyBorder="1" applyAlignment="1">
      <alignment horizontal="justify" vertical="center" wrapText="1"/>
    </xf>
    <xf numFmtId="0" fontId="94" fillId="0" borderId="11" xfId="0" applyFont="1" applyBorder="1" applyAlignment="1">
      <alignment horizontal="justify" vertical="center" wrapText="1"/>
    </xf>
    <xf numFmtId="0" fontId="94" fillId="0" borderId="11" xfId="0" applyFont="1" applyBorder="1" applyAlignment="1">
      <alignment horizontal="justify" vertical="center" textRotation="90" wrapText="1"/>
    </xf>
    <xf numFmtId="0" fontId="96" fillId="24" borderId="16" xfId="0" applyFont="1" applyFill="1" applyBorder="1" applyAlignment="1">
      <alignment horizontal="center" vertical="center" wrapText="1"/>
    </xf>
    <xf numFmtId="0" fontId="96" fillId="24" borderId="19" xfId="0" applyFont="1" applyFill="1" applyBorder="1" applyAlignment="1">
      <alignment horizontal="center" vertical="center" wrapText="1"/>
    </xf>
    <xf numFmtId="0" fontId="96" fillId="24" borderId="17" xfId="0" applyFont="1" applyFill="1" applyBorder="1" applyAlignment="1">
      <alignment horizontal="center" vertical="center" wrapText="1"/>
    </xf>
    <xf numFmtId="0" fontId="48" fillId="24" borderId="22" xfId="0" applyFont="1" applyFill="1" applyBorder="1" applyAlignment="1">
      <alignment horizontal="center" vertical="center"/>
    </xf>
    <xf numFmtId="0" fontId="48" fillId="24" borderId="27" xfId="0" applyFont="1" applyFill="1" applyBorder="1" applyAlignment="1">
      <alignment horizontal="center" vertical="center"/>
    </xf>
    <xf numFmtId="0" fontId="48" fillId="24" borderId="33" xfId="0" applyFont="1" applyFill="1" applyBorder="1" applyAlignment="1">
      <alignment horizontal="center" vertical="center"/>
    </xf>
    <xf numFmtId="0" fontId="48" fillId="24" borderId="0" xfId="0" applyFont="1" applyFill="1" applyAlignment="1">
      <alignment horizontal="center" vertical="center"/>
    </xf>
    <xf numFmtId="0" fontId="48" fillId="24" borderId="28" xfId="0" applyFont="1" applyFill="1" applyBorder="1" applyAlignment="1">
      <alignment horizontal="center" vertical="center"/>
    </xf>
    <xf numFmtId="0" fontId="48" fillId="24" borderId="29" xfId="0" applyFont="1" applyFill="1" applyBorder="1" applyAlignment="1">
      <alignment horizontal="center" vertical="center"/>
    </xf>
    <xf numFmtId="49" fontId="48" fillId="0" borderId="11" xfId="0" applyNumberFormat="1" applyFont="1" applyBorder="1" applyAlignment="1">
      <alignment horizontal="center" vertical="center" wrapText="1"/>
    </xf>
    <xf numFmtId="166" fontId="144" fillId="14" borderId="11" xfId="0" applyNumberFormat="1" applyFont="1" applyFill="1" applyBorder="1" applyAlignment="1">
      <alignment horizontal="left" vertical="center"/>
    </xf>
    <xf numFmtId="49" fontId="48" fillId="0" borderId="11" xfId="0" applyNumberFormat="1" applyFont="1" applyBorder="1" applyAlignment="1">
      <alignment horizontal="left" vertical="center" wrapText="1"/>
    </xf>
    <xf numFmtId="1" fontId="48" fillId="24" borderId="16" xfId="0" applyNumberFormat="1" applyFont="1" applyFill="1" applyBorder="1" applyAlignment="1">
      <alignment horizontal="center" vertical="center" wrapText="1"/>
    </xf>
    <xf numFmtId="1" fontId="48" fillId="24" borderId="19" xfId="0" applyNumberFormat="1" applyFont="1" applyFill="1" applyBorder="1" applyAlignment="1">
      <alignment horizontal="center" vertical="center" wrapText="1"/>
    </xf>
    <xf numFmtId="1" fontId="48" fillId="24" borderId="17" xfId="0" applyNumberFormat="1" applyFont="1" applyFill="1" applyBorder="1" applyAlignment="1">
      <alignment horizontal="center" vertical="center" wrapText="1"/>
    </xf>
    <xf numFmtId="49" fontId="84" fillId="24" borderId="22" xfId="0" applyNumberFormat="1" applyFont="1" applyFill="1" applyBorder="1" applyAlignment="1">
      <alignment horizontal="center" vertical="center" wrapText="1"/>
    </xf>
    <xf numFmtId="49" fontId="84" fillId="24" borderId="27" xfId="0" applyNumberFormat="1" applyFont="1" applyFill="1" applyBorder="1" applyAlignment="1">
      <alignment horizontal="center" vertical="center" wrapText="1"/>
    </xf>
    <xf numFmtId="49" fontId="84" fillId="24" borderId="23" xfId="0" applyNumberFormat="1" applyFont="1" applyFill="1" applyBorder="1" applyAlignment="1">
      <alignment horizontal="center" vertical="center" wrapText="1"/>
    </xf>
    <xf numFmtId="49" fontId="84" fillId="24" borderId="33" xfId="0" applyNumberFormat="1" applyFont="1" applyFill="1" applyBorder="1" applyAlignment="1">
      <alignment horizontal="center" vertical="center" wrapText="1"/>
    </xf>
    <xf numFmtId="49" fontId="84" fillId="24" borderId="0" xfId="0" applyNumberFormat="1" applyFont="1" applyFill="1" applyAlignment="1">
      <alignment horizontal="center" vertical="center" wrapText="1"/>
    </xf>
    <xf numFmtId="49" fontId="84" fillId="24" borderId="32" xfId="0" applyNumberFormat="1" applyFont="1" applyFill="1" applyBorder="1" applyAlignment="1">
      <alignment horizontal="center" vertical="center" wrapText="1"/>
    </xf>
    <xf numFmtId="49" fontId="84" fillId="24" borderId="28" xfId="0" applyNumberFormat="1" applyFont="1" applyFill="1" applyBorder="1" applyAlignment="1">
      <alignment horizontal="center" vertical="center" wrapText="1"/>
    </xf>
    <xf numFmtId="49" fontId="84" fillId="24" borderId="29" xfId="0" applyNumberFormat="1" applyFont="1" applyFill="1" applyBorder="1" applyAlignment="1">
      <alignment horizontal="center" vertical="center" wrapText="1"/>
    </xf>
    <xf numFmtId="49" fontId="84" fillId="24" borderId="24" xfId="0" applyNumberFormat="1" applyFont="1" applyFill="1" applyBorder="1" applyAlignment="1">
      <alignment horizontal="center" vertical="center" wrapText="1"/>
    </xf>
    <xf numFmtId="0" fontId="92" fillId="0" borderId="11" xfId="0" applyFont="1" applyBorder="1" applyAlignment="1">
      <alignment horizontal="center" vertical="center"/>
    </xf>
    <xf numFmtId="166" fontId="48" fillId="0" borderId="11" xfId="0" applyNumberFormat="1" applyFont="1" applyBorder="1" applyAlignment="1">
      <alignment horizontal="left" vertical="center"/>
    </xf>
    <xf numFmtId="49" fontId="48" fillId="24" borderId="22" xfId="0" applyNumberFormat="1" applyFont="1" applyFill="1" applyBorder="1" applyAlignment="1">
      <alignment horizontal="center" vertical="center" wrapText="1"/>
    </xf>
    <xf numFmtId="49" fontId="48" fillId="24" borderId="27" xfId="0" applyNumberFormat="1" applyFont="1" applyFill="1" applyBorder="1" applyAlignment="1">
      <alignment horizontal="center" vertical="center" wrapText="1"/>
    </xf>
    <xf numFmtId="49" fontId="48" fillId="24" borderId="23" xfId="0" applyNumberFormat="1" applyFont="1" applyFill="1" applyBorder="1" applyAlignment="1">
      <alignment horizontal="center" vertical="center" wrapText="1"/>
    </xf>
    <xf numFmtId="49" fontId="48" fillId="24" borderId="33" xfId="0" applyNumberFormat="1" applyFont="1" applyFill="1" applyBorder="1" applyAlignment="1">
      <alignment horizontal="center" vertical="center" wrapText="1"/>
    </xf>
    <xf numFmtId="49" fontId="48" fillId="24" borderId="0" xfId="0" applyNumberFormat="1" applyFont="1" applyFill="1" applyAlignment="1">
      <alignment horizontal="center" vertical="center" wrapText="1"/>
    </xf>
    <xf numFmtId="49" fontId="48" fillId="24" borderId="32" xfId="0" applyNumberFormat="1" applyFont="1" applyFill="1" applyBorder="1" applyAlignment="1">
      <alignment horizontal="center" vertical="center" wrapText="1"/>
    </xf>
    <xf numFmtId="49" fontId="48" fillId="24" borderId="28" xfId="0" applyNumberFormat="1" applyFont="1" applyFill="1" applyBorder="1" applyAlignment="1">
      <alignment horizontal="center" vertical="center" wrapText="1"/>
    </xf>
    <xf numFmtId="49" fontId="48" fillId="24" borderId="29" xfId="0" applyNumberFormat="1" applyFont="1" applyFill="1" applyBorder="1" applyAlignment="1">
      <alignment horizontal="center" vertical="center" wrapText="1"/>
    </xf>
    <xf numFmtId="49" fontId="48" fillId="24" borderId="24" xfId="0" applyNumberFormat="1" applyFont="1" applyFill="1" applyBorder="1" applyAlignment="1">
      <alignment horizontal="center" vertical="center" wrapText="1"/>
    </xf>
    <xf numFmtId="49" fontId="94" fillId="0" borderId="11" xfId="0" applyNumberFormat="1" applyFont="1" applyBorder="1" applyAlignment="1">
      <alignment horizontal="left" vertical="center" wrapText="1"/>
    </xf>
    <xf numFmtId="49" fontId="48" fillId="0" borderId="11" xfId="0" applyNumberFormat="1" applyFont="1" applyBorder="1" applyAlignment="1">
      <alignment horizontal="left" vertical="center"/>
    </xf>
    <xf numFmtId="166" fontId="47" fillId="14" borderId="11" xfId="0" applyNumberFormat="1" applyFont="1" applyFill="1" applyBorder="1" applyAlignment="1">
      <alignment horizontal="left" vertical="center"/>
    </xf>
    <xf numFmtId="0" fontId="77" fillId="24" borderId="11" xfId="23" applyFont="1" applyFill="1" applyBorder="1" applyAlignment="1">
      <alignment horizontal="justify" vertical="center" wrapText="1"/>
    </xf>
    <xf numFmtId="49" fontId="48" fillId="24" borderId="11" xfId="0" applyNumberFormat="1" applyFont="1" applyFill="1" applyBorder="1" applyAlignment="1">
      <alignment horizontal="center" vertical="center" wrapText="1"/>
    </xf>
    <xf numFmtId="0" fontId="48" fillId="24" borderId="11" xfId="0" applyFont="1" applyFill="1" applyBorder="1" applyAlignment="1">
      <alignment horizontal="center" vertical="center"/>
    </xf>
    <xf numFmtId="0" fontId="47" fillId="0" borderId="11" xfId="0" applyFont="1" applyBorder="1" applyAlignment="1">
      <alignment horizontal="center" vertical="center"/>
    </xf>
    <xf numFmtId="0" fontId="47" fillId="24" borderId="22" xfId="0" applyFont="1" applyFill="1" applyBorder="1" applyAlignment="1">
      <alignment horizontal="center" vertical="center"/>
    </xf>
    <xf numFmtId="0" fontId="47" fillId="24" borderId="23" xfId="0" applyFont="1" applyFill="1" applyBorder="1" applyAlignment="1">
      <alignment horizontal="center" vertical="center"/>
    </xf>
    <xf numFmtId="0" fontId="47" fillId="24" borderId="33" xfId="0" applyFont="1" applyFill="1" applyBorder="1" applyAlignment="1">
      <alignment horizontal="center" vertical="center"/>
    </xf>
    <xf numFmtId="0" fontId="47" fillId="24" borderId="32" xfId="0" applyFont="1" applyFill="1" applyBorder="1" applyAlignment="1">
      <alignment horizontal="center" vertical="center"/>
    </xf>
    <xf numFmtId="0" fontId="47" fillId="24" borderId="28" xfId="0" applyFont="1" applyFill="1" applyBorder="1" applyAlignment="1">
      <alignment horizontal="center" vertical="center"/>
    </xf>
    <xf numFmtId="0" fontId="47" fillId="24" borderId="24" xfId="0" applyFont="1" applyFill="1" applyBorder="1" applyAlignment="1">
      <alignment horizontal="center" vertical="center"/>
    </xf>
    <xf numFmtId="9" fontId="48" fillId="14" borderId="16" xfId="22" applyFont="1" applyFill="1" applyBorder="1" applyAlignment="1">
      <alignment horizontal="left" vertical="center"/>
    </xf>
    <xf numFmtId="9" fontId="48" fillId="14" borderId="19" xfId="22" applyFont="1" applyFill="1" applyBorder="1" applyAlignment="1">
      <alignment horizontal="left" vertical="center"/>
    </xf>
    <xf numFmtId="9" fontId="48" fillId="14" borderId="17" xfId="22" applyFont="1" applyFill="1" applyBorder="1" applyAlignment="1">
      <alignment horizontal="left" vertical="center"/>
    </xf>
    <xf numFmtId="0" fontId="48" fillId="0" borderId="11" xfId="0" applyFont="1" applyBorder="1" applyAlignment="1">
      <alignment horizontal="left" vertical="center" textRotation="90" wrapText="1"/>
    </xf>
    <xf numFmtId="0" fontId="47" fillId="24" borderId="11" xfId="0" applyFont="1" applyFill="1" applyBorder="1" applyAlignment="1">
      <alignment horizontal="center" vertical="center"/>
    </xf>
    <xf numFmtId="0" fontId="48" fillId="24" borderId="11" xfId="0" applyFont="1" applyFill="1" applyBorder="1" applyAlignment="1">
      <alignment horizontal="center" vertical="center" textRotation="90" wrapText="1"/>
    </xf>
    <xf numFmtId="49" fontId="48" fillId="24" borderId="11" xfId="0" applyNumberFormat="1" applyFont="1" applyFill="1" applyBorder="1" applyAlignment="1">
      <alignment horizontal="center" vertical="center"/>
    </xf>
    <xf numFmtId="0" fontId="47" fillId="24" borderId="11" xfId="0" applyFont="1" applyFill="1" applyBorder="1" applyAlignment="1">
      <alignment horizontal="justify" vertical="center"/>
    </xf>
    <xf numFmtId="0" fontId="88" fillId="0" borderId="11" xfId="0" applyFont="1" applyBorder="1" applyAlignment="1">
      <alignment horizontal="left" vertical="center" textRotation="90" wrapText="1"/>
    </xf>
    <xf numFmtId="49" fontId="88" fillId="0" borderId="11" xfId="0" applyNumberFormat="1" applyFont="1" applyBorder="1" applyAlignment="1">
      <alignment horizontal="left" vertical="center"/>
    </xf>
    <xf numFmtId="9" fontId="47" fillId="14" borderId="11" xfId="22" applyFont="1" applyFill="1" applyBorder="1" applyAlignment="1">
      <alignment horizontal="left" vertical="center"/>
    </xf>
    <xf numFmtId="166" fontId="84" fillId="14" borderId="11" xfId="0" applyNumberFormat="1" applyFont="1" applyFill="1" applyBorder="1" applyAlignment="1">
      <alignment horizontal="left" vertical="center"/>
    </xf>
    <xf numFmtId="49" fontId="83" fillId="0" borderId="11" xfId="0" applyNumberFormat="1" applyFont="1" applyBorder="1" applyAlignment="1">
      <alignment horizontal="left" vertical="center" wrapText="1"/>
    </xf>
    <xf numFmtId="49" fontId="83" fillId="0" borderId="11" xfId="0" applyNumberFormat="1" applyFont="1" applyBorder="1" applyAlignment="1">
      <alignment horizontal="center" vertical="center" wrapText="1"/>
    </xf>
    <xf numFmtId="49" fontId="48" fillId="0" borderId="11" xfId="0" applyNumberFormat="1" applyFont="1" applyBorder="1" applyAlignment="1">
      <alignment horizontal="left" vertical="center" textRotation="90" wrapText="1"/>
    </xf>
    <xf numFmtId="0" fontId="48" fillId="0" borderId="16" xfId="0" applyFont="1" applyBorder="1" applyAlignment="1">
      <alignment horizontal="center" vertical="center" wrapText="1"/>
    </xf>
    <xf numFmtId="0" fontId="48" fillId="0" borderId="17" xfId="0" applyFont="1" applyBorder="1" applyAlignment="1">
      <alignment horizontal="center" vertical="center" wrapText="1"/>
    </xf>
    <xf numFmtId="0" fontId="84" fillId="16" borderId="11" xfId="0" applyFont="1" applyFill="1" applyBorder="1" applyAlignment="1">
      <alignment horizontal="center" vertical="center" wrapText="1"/>
    </xf>
    <xf numFmtId="0" fontId="47" fillId="4" borderId="11" xfId="0" applyFont="1" applyFill="1" applyBorder="1" applyAlignment="1">
      <alignment horizontal="center" vertical="center" wrapText="1"/>
    </xf>
    <xf numFmtId="0" fontId="33" fillId="0" borderId="0" xfId="0" applyFont="1" applyAlignment="1">
      <alignment horizontal="center" vertical="center"/>
    </xf>
    <xf numFmtId="0" fontId="62" fillId="0" borderId="0" xfId="0" applyFont="1" applyAlignment="1">
      <alignment horizontal="left" vertical="center"/>
    </xf>
    <xf numFmtId="0" fontId="96" fillId="24" borderId="11" xfId="0" applyFont="1" applyFill="1" applyBorder="1" applyAlignment="1">
      <alignment horizontal="left" vertical="center" textRotation="90" wrapText="1"/>
    </xf>
    <xf numFmtId="0" fontId="48" fillId="11" borderId="11" xfId="0" applyFont="1" applyFill="1" applyBorder="1" applyAlignment="1">
      <alignment horizontal="left" vertical="center"/>
    </xf>
    <xf numFmtId="0" fontId="96" fillId="24" borderId="11" xfId="0" applyFont="1" applyFill="1" applyBorder="1" applyAlignment="1">
      <alignment horizontal="justify" vertical="center" wrapText="1"/>
    </xf>
    <xf numFmtId="0" fontId="47" fillId="12" borderId="11" xfId="0" applyFont="1" applyFill="1" applyBorder="1" applyAlignment="1">
      <alignment horizontal="left" vertical="center" wrapText="1"/>
    </xf>
    <xf numFmtId="0" fontId="48" fillId="0" borderId="11" xfId="0" applyFont="1" applyBorder="1" applyAlignment="1">
      <alignment horizontal="left" vertical="center" wrapText="1"/>
    </xf>
    <xf numFmtId="0" fontId="47" fillId="0" borderId="11" xfId="0" applyFont="1" applyBorder="1" applyAlignment="1">
      <alignment horizontal="left" vertical="center" wrapText="1"/>
    </xf>
    <xf numFmtId="0" fontId="47" fillId="15" borderId="11" xfId="0" applyFont="1" applyFill="1" applyBorder="1" applyAlignment="1">
      <alignment horizontal="left" vertical="center" wrapText="1"/>
    </xf>
    <xf numFmtId="9" fontId="47" fillId="14" borderId="11" xfId="22" applyFont="1" applyFill="1" applyBorder="1" applyAlignment="1">
      <alignment horizontal="left" vertical="center" wrapText="1"/>
    </xf>
    <xf numFmtId="0" fontId="100" fillId="24" borderId="11" xfId="0" applyFont="1" applyFill="1" applyBorder="1" applyAlignment="1">
      <alignment horizontal="center" vertical="center" textRotation="90" wrapText="1"/>
    </xf>
    <xf numFmtId="0" fontId="96" fillId="51" borderId="11" xfId="0" applyFont="1" applyFill="1" applyBorder="1" applyAlignment="1">
      <alignment horizontal="center" vertical="center" textRotation="90" wrapText="1"/>
    </xf>
    <xf numFmtId="49" fontId="96" fillId="51" borderId="11" xfId="0" applyNumberFormat="1" applyFont="1" applyFill="1" applyBorder="1" applyAlignment="1">
      <alignment horizontal="left" vertical="center"/>
    </xf>
    <xf numFmtId="0" fontId="96" fillId="51" borderId="11" xfId="0" applyFont="1" applyFill="1" applyBorder="1" applyAlignment="1">
      <alignment horizontal="justify" vertical="center" wrapText="1"/>
    </xf>
    <xf numFmtId="166" fontId="94" fillId="0" borderId="11" xfId="0" applyNumberFormat="1" applyFont="1" applyBorder="1" applyAlignment="1">
      <alignment horizontal="justify" vertical="center"/>
    </xf>
    <xf numFmtId="49" fontId="146" fillId="24" borderId="11" xfId="0" applyNumberFormat="1" applyFont="1" applyFill="1" applyBorder="1" applyAlignment="1">
      <alignment horizontal="center" vertical="center" wrapText="1"/>
    </xf>
    <xf numFmtId="0" fontId="47" fillId="4" borderId="11" xfId="0" applyFont="1" applyFill="1" applyBorder="1" applyAlignment="1">
      <alignment horizontal="left" vertical="center" wrapText="1"/>
    </xf>
    <xf numFmtId="0" fontId="100" fillId="51" borderId="11" xfId="0" applyFont="1" applyFill="1" applyBorder="1" applyAlignment="1">
      <alignment horizontal="center" vertical="center" textRotation="90" wrapText="1"/>
    </xf>
    <xf numFmtId="49" fontId="48" fillId="0" borderId="11" xfId="0" applyNumberFormat="1" applyFont="1" applyBorder="1" applyAlignment="1">
      <alignment horizontal="center" vertical="center"/>
    </xf>
    <xf numFmtId="49" fontId="96" fillId="24" borderId="11" xfId="0" applyNumberFormat="1" applyFont="1" applyFill="1" applyBorder="1" applyAlignment="1">
      <alignment horizontal="center" vertical="center"/>
    </xf>
    <xf numFmtId="0" fontId="96" fillId="24" borderId="11" xfId="0" applyFont="1" applyFill="1" applyBorder="1" applyAlignment="1">
      <alignment horizontal="center" vertical="center" textRotation="90" wrapText="1"/>
    </xf>
    <xf numFmtId="0" fontId="96" fillId="24" borderId="11" xfId="0" applyFont="1" applyFill="1" applyBorder="1" applyAlignment="1">
      <alignment horizontal="left" vertical="center"/>
    </xf>
    <xf numFmtId="49" fontId="96" fillId="51" borderId="11" xfId="0" applyNumberFormat="1" applyFont="1" applyFill="1" applyBorder="1" applyAlignment="1">
      <alignment horizontal="left" vertical="center" wrapText="1"/>
    </xf>
    <xf numFmtId="49" fontId="94" fillId="0" borderId="11" xfId="0" applyNumberFormat="1" applyFont="1" applyBorder="1" applyAlignment="1">
      <alignment horizontal="left" vertical="center"/>
    </xf>
    <xf numFmtId="49" fontId="96" fillId="24" borderId="11" xfId="0" applyNumberFormat="1" applyFont="1" applyFill="1" applyBorder="1" applyAlignment="1">
      <alignment horizontal="left" vertical="center" wrapText="1"/>
    </xf>
    <xf numFmtId="49" fontId="96" fillId="24" borderId="11" xfId="0" applyNumberFormat="1" applyFont="1" applyFill="1" applyBorder="1" applyAlignment="1">
      <alignment horizontal="left" vertical="center" textRotation="90" wrapText="1"/>
    </xf>
    <xf numFmtId="0" fontId="47" fillId="0" borderId="17" xfId="0" applyFont="1" applyBorder="1" applyAlignment="1">
      <alignment horizontal="left" vertical="center" wrapText="1"/>
    </xf>
    <xf numFmtId="0" fontId="94" fillId="0" borderId="11" xfId="0" applyFont="1" applyBorder="1" applyAlignment="1">
      <alignment horizontal="left" vertical="center" textRotation="90" wrapText="1"/>
    </xf>
    <xf numFmtId="0" fontId="100" fillId="51" borderId="11" xfId="0" applyFont="1" applyFill="1" applyBorder="1" applyAlignment="1">
      <alignment horizontal="left" vertical="center" textRotation="90" wrapText="1"/>
    </xf>
    <xf numFmtId="0" fontId="48" fillId="4" borderId="11" xfId="0" applyFont="1" applyFill="1" applyBorder="1" applyAlignment="1">
      <alignment horizontal="left" vertical="center" textRotation="90" wrapText="1"/>
    </xf>
    <xf numFmtId="0" fontId="48" fillId="51" borderId="11" xfId="0" applyFont="1" applyFill="1" applyBorder="1" applyAlignment="1">
      <alignment horizontal="center" vertical="center"/>
    </xf>
    <xf numFmtId="49" fontId="48" fillId="51" borderId="11" xfId="0" applyNumberFormat="1" applyFont="1" applyFill="1" applyBorder="1" applyAlignment="1">
      <alignment horizontal="center" vertical="center" wrapText="1"/>
    </xf>
    <xf numFmtId="0" fontId="48" fillId="24" borderId="23" xfId="0" applyFont="1" applyFill="1" applyBorder="1" applyAlignment="1">
      <alignment horizontal="center" vertical="center"/>
    </xf>
    <xf numFmtId="0" fontId="48" fillId="24" borderId="32" xfId="0" applyFont="1" applyFill="1" applyBorder="1" applyAlignment="1">
      <alignment horizontal="center" vertical="center"/>
    </xf>
    <xf numFmtId="0" fontId="48" fillId="24" borderId="24" xfId="0" applyFont="1" applyFill="1" applyBorder="1" applyAlignment="1">
      <alignment horizontal="center" vertical="center"/>
    </xf>
    <xf numFmtId="0" fontId="33" fillId="0" borderId="0" xfId="0" applyFont="1" applyAlignment="1">
      <alignment horizontal="left" vertical="center" wrapText="1"/>
    </xf>
    <xf numFmtId="0" fontId="32" fillId="0" borderId="29" xfId="0" applyFont="1" applyBorder="1" applyAlignment="1">
      <alignment horizontal="left" vertical="center" wrapText="1"/>
    </xf>
    <xf numFmtId="166" fontId="94" fillId="0" borderId="11" xfId="0" applyNumberFormat="1" applyFont="1" applyBorder="1" applyAlignment="1">
      <alignment horizontal="left" vertical="center" wrapText="1"/>
    </xf>
    <xf numFmtId="166" fontId="94" fillId="0" borderId="11" xfId="0" applyNumberFormat="1" applyFont="1" applyBorder="1" applyAlignment="1">
      <alignment horizontal="left" vertical="center"/>
    </xf>
    <xf numFmtId="166" fontId="48" fillId="24" borderId="22" xfId="0" applyNumberFormat="1" applyFont="1" applyFill="1" applyBorder="1" applyAlignment="1">
      <alignment horizontal="center" vertical="center" wrapText="1"/>
    </xf>
    <xf numFmtId="166" fontId="48" fillId="24" borderId="23" xfId="0" applyNumberFormat="1" applyFont="1" applyFill="1" applyBorder="1" applyAlignment="1">
      <alignment horizontal="center" vertical="center" wrapText="1"/>
    </xf>
    <xf numFmtId="166" fontId="48" fillId="24" borderId="33" xfId="0" applyNumberFormat="1" applyFont="1" applyFill="1" applyBorder="1" applyAlignment="1">
      <alignment horizontal="center" vertical="center" wrapText="1"/>
    </xf>
    <xf numFmtId="166" fontId="48" fillId="24" borderId="32" xfId="0" applyNumberFormat="1" applyFont="1" applyFill="1" applyBorder="1" applyAlignment="1">
      <alignment horizontal="center" vertical="center" wrapText="1"/>
    </xf>
    <xf numFmtId="166" fontId="48" fillId="24" borderId="28" xfId="0" applyNumberFormat="1" applyFont="1" applyFill="1" applyBorder="1" applyAlignment="1">
      <alignment horizontal="center" vertical="center" wrapText="1"/>
    </xf>
    <xf numFmtId="166" fontId="48" fillId="24" borderId="24" xfId="0" applyNumberFormat="1" applyFont="1" applyFill="1" applyBorder="1" applyAlignment="1">
      <alignment horizontal="center" vertical="center" wrapText="1"/>
    </xf>
    <xf numFmtId="49" fontId="49" fillId="5" borderId="16" xfId="0" applyNumberFormat="1" applyFont="1" applyFill="1" applyBorder="1" applyAlignment="1">
      <alignment horizontal="center" vertical="center"/>
    </xf>
    <xf numFmtId="49" fontId="49" fillId="5" borderId="17" xfId="0" applyNumberFormat="1" applyFont="1" applyFill="1" applyBorder="1" applyAlignment="1">
      <alignment horizontal="center" vertical="center"/>
    </xf>
    <xf numFmtId="49" fontId="96" fillId="5" borderId="16" xfId="0" applyNumberFormat="1" applyFont="1" applyFill="1" applyBorder="1" applyAlignment="1">
      <alignment horizontal="left" vertical="center" wrapText="1"/>
    </xf>
    <xf numFmtId="49" fontId="96" fillId="5" borderId="17" xfId="0" applyNumberFormat="1" applyFont="1" applyFill="1" applyBorder="1" applyAlignment="1">
      <alignment horizontal="left" vertical="center" wrapText="1"/>
    </xf>
    <xf numFmtId="166" fontId="47" fillId="0" borderId="11" xfId="0" applyNumberFormat="1" applyFont="1" applyBorder="1" applyAlignment="1">
      <alignment horizontal="justify" vertical="center"/>
    </xf>
    <xf numFmtId="49" fontId="47" fillId="0" borderId="11" xfId="0" applyNumberFormat="1" applyFont="1" applyBorder="1" applyAlignment="1">
      <alignment horizontal="justify" vertical="center"/>
    </xf>
    <xf numFmtId="49" fontId="96" fillId="28" borderId="11" xfId="0" applyNumberFormat="1" applyFont="1" applyFill="1" applyBorder="1" applyAlignment="1">
      <alignment horizontal="justify" vertical="center"/>
    </xf>
    <xf numFmtId="49" fontId="96" fillId="24" borderId="11" xfId="0" applyNumberFormat="1" applyFont="1" applyFill="1" applyBorder="1" applyAlignment="1">
      <alignment horizontal="justify" vertical="center"/>
    </xf>
    <xf numFmtId="0" fontId="49" fillId="25" borderId="11" xfId="0" applyFont="1" applyFill="1" applyBorder="1" applyAlignment="1">
      <alignment horizontal="justify" vertical="center" wrapText="1"/>
    </xf>
    <xf numFmtId="49" fontId="96" fillId="24" borderId="11" xfId="0" applyNumberFormat="1" applyFont="1" applyFill="1" applyBorder="1" applyAlignment="1">
      <alignment horizontal="justify" vertical="center" wrapText="1"/>
    </xf>
    <xf numFmtId="49" fontId="92" fillId="0" borderId="11" xfId="0" applyNumberFormat="1" applyFont="1" applyBorder="1" applyAlignment="1">
      <alignment horizontal="justify" vertical="center" wrapText="1"/>
    </xf>
    <xf numFmtId="49" fontId="92" fillId="0" borderId="11" xfId="0" applyNumberFormat="1" applyFont="1" applyBorder="1" applyAlignment="1">
      <alignment horizontal="justify" vertical="center"/>
    </xf>
    <xf numFmtId="49" fontId="48" fillId="0" borderId="11" xfId="0" applyNumberFormat="1" applyFont="1" applyBorder="1" applyAlignment="1">
      <alignment horizontal="justify" vertical="center"/>
    </xf>
    <xf numFmtId="0" fontId="96" fillId="55" borderId="11" xfId="0" applyFont="1" applyFill="1" applyBorder="1" applyAlignment="1">
      <alignment horizontal="justify" vertical="center" textRotation="90" wrapText="1"/>
    </xf>
    <xf numFmtId="166" fontId="83" fillId="24" borderId="11" xfId="0" applyNumberFormat="1" applyFont="1" applyFill="1" applyBorder="1" applyAlignment="1">
      <alignment horizontal="justify" vertical="center" wrapText="1"/>
    </xf>
    <xf numFmtId="166" fontId="48" fillId="24" borderId="27" xfId="0" applyNumberFormat="1" applyFont="1" applyFill="1" applyBorder="1" applyAlignment="1">
      <alignment horizontal="center" vertical="center" wrapText="1"/>
    </xf>
    <xf numFmtId="166" fontId="48" fillId="24" borderId="0" xfId="0" applyNumberFormat="1" applyFont="1" applyFill="1" applyAlignment="1">
      <alignment horizontal="center" vertical="center" wrapText="1"/>
    </xf>
    <xf numFmtId="166" fontId="48" fillId="24" borderId="29" xfId="0" applyNumberFormat="1" applyFont="1" applyFill="1" applyBorder="1" applyAlignment="1">
      <alignment horizontal="center" vertical="center" wrapText="1"/>
    </xf>
    <xf numFmtId="0" fontId="87" fillId="0" borderId="0" xfId="0" applyFont="1" applyAlignment="1">
      <alignment horizontal="left" vertical="center" wrapText="1"/>
    </xf>
    <xf numFmtId="0" fontId="33" fillId="0" borderId="0" xfId="0" applyFont="1" applyAlignment="1">
      <alignment vertical="top" wrapText="1"/>
    </xf>
    <xf numFmtId="0" fontId="33" fillId="0" borderId="0" xfId="0" applyFont="1" applyAlignment="1">
      <alignment vertical="center" wrapText="1"/>
    </xf>
    <xf numFmtId="0" fontId="48" fillId="0" borderId="0" xfId="0" applyFont="1" applyAlignment="1">
      <alignment wrapText="1"/>
    </xf>
    <xf numFmtId="0" fontId="38" fillId="0" borderId="0" xfId="0" applyFont="1" applyAlignment="1">
      <alignment horizontal="left" vertical="center" wrapText="1"/>
    </xf>
    <xf numFmtId="0" fontId="43" fillId="0" borderId="0" xfId="0" applyFont="1" applyAlignment="1">
      <alignment horizontal="left" vertical="center"/>
    </xf>
    <xf numFmtId="49" fontId="83" fillId="0" borderId="11" xfId="0" applyNumberFormat="1" applyFont="1" applyBorder="1" applyAlignment="1">
      <alignment horizontal="justify" vertical="center" wrapText="1"/>
    </xf>
    <xf numFmtId="49" fontId="83" fillId="0" borderId="11" xfId="0" applyNumberFormat="1" applyFont="1" applyBorder="1" applyAlignment="1">
      <alignment horizontal="justify" vertical="center"/>
    </xf>
    <xf numFmtId="0" fontId="84" fillId="4" borderId="11" xfId="0" applyFont="1" applyFill="1" applyBorder="1" applyAlignment="1">
      <alignment horizontal="justify" vertical="center" wrapText="1"/>
    </xf>
    <xf numFmtId="0" fontId="96" fillId="55" borderId="11" xfId="0" applyFont="1" applyFill="1" applyBorder="1" applyAlignment="1">
      <alignment horizontal="justify" vertical="center" wrapText="1"/>
    </xf>
    <xf numFmtId="0" fontId="49" fillId="55" borderId="11" xfId="0" applyFont="1" applyFill="1" applyBorder="1" applyAlignment="1">
      <alignment horizontal="justify" vertical="center" wrapText="1"/>
    </xf>
    <xf numFmtId="0" fontId="83" fillId="4" borderId="11" xfId="0" applyFont="1" applyFill="1" applyBorder="1" applyAlignment="1">
      <alignment horizontal="justify" vertical="center" textRotation="90" wrapText="1"/>
    </xf>
    <xf numFmtId="49" fontId="49" fillId="24" borderId="16" xfId="0" applyNumberFormat="1" applyFont="1" applyFill="1" applyBorder="1" applyAlignment="1">
      <alignment horizontal="center" vertical="center"/>
    </xf>
    <xf numFmtId="49" fontId="49" fillId="24" borderId="17" xfId="0" applyNumberFormat="1" applyFont="1" applyFill="1" applyBorder="1" applyAlignment="1">
      <alignment horizontal="center" vertical="center"/>
    </xf>
    <xf numFmtId="49" fontId="96" fillId="24" borderId="16" xfId="0" applyNumberFormat="1" applyFont="1" applyFill="1" applyBorder="1" applyAlignment="1">
      <alignment horizontal="left" vertical="center" wrapText="1"/>
    </xf>
    <xf numFmtId="49" fontId="96" fillId="24" borderId="17" xfId="0" applyNumberFormat="1" applyFont="1" applyFill="1" applyBorder="1" applyAlignment="1">
      <alignment horizontal="left" vertical="center" wrapText="1"/>
    </xf>
    <xf numFmtId="166" fontId="48" fillId="24" borderId="11" xfId="0" applyNumberFormat="1" applyFont="1" applyFill="1" applyBorder="1" applyAlignment="1">
      <alignment horizontal="justify" vertical="center" wrapText="1"/>
    </xf>
    <xf numFmtId="166" fontId="48" fillId="28" borderId="11" xfId="0" applyNumberFormat="1" applyFont="1" applyFill="1" applyBorder="1" applyAlignment="1">
      <alignment horizontal="justify" vertical="center" wrapText="1"/>
    </xf>
    <xf numFmtId="49" fontId="48" fillId="0" borderId="16" xfId="0" applyNumberFormat="1" applyFont="1" applyBorder="1" applyAlignment="1">
      <alignment horizontal="center" vertical="center" wrapText="1"/>
    </xf>
    <xf numFmtId="49" fontId="48" fillId="0" borderId="19" xfId="0" applyNumberFormat="1" applyFont="1" applyBorder="1" applyAlignment="1">
      <alignment horizontal="center" vertical="center" wrapText="1"/>
    </xf>
    <xf numFmtId="49" fontId="48" fillId="0" borderId="17" xfId="0" applyNumberFormat="1" applyFont="1" applyBorder="1" applyAlignment="1">
      <alignment horizontal="center" vertical="center" wrapText="1"/>
    </xf>
    <xf numFmtId="49" fontId="146" fillId="0" borderId="11" xfId="0" applyNumberFormat="1" applyFont="1" applyBorder="1" applyAlignment="1">
      <alignment horizontal="justify" vertical="center" wrapText="1"/>
    </xf>
    <xf numFmtId="0" fontId="48" fillId="28" borderId="11" xfId="0" applyFont="1" applyFill="1" applyBorder="1" applyAlignment="1">
      <alignment horizontal="left" vertical="center" wrapText="1"/>
    </xf>
    <xf numFmtId="0" fontId="85" fillId="0" borderId="11" xfId="0" applyFont="1" applyBorder="1" applyAlignment="1">
      <alignment horizontal="left" vertical="center" wrapText="1"/>
    </xf>
    <xf numFmtId="0" fontId="48" fillId="0" borderId="16" xfId="0" applyFont="1" applyBorder="1" applyAlignment="1">
      <alignment horizontal="left" vertical="center" wrapText="1"/>
    </xf>
    <xf numFmtId="0" fontId="48" fillId="0" borderId="17" xfId="0" applyFont="1" applyBorder="1" applyAlignment="1">
      <alignment horizontal="left" vertical="center" wrapText="1"/>
    </xf>
    <xf numFmtId="0" fontId="91" fillId="0" borderId="16" xfId="0" applyFont="1" applyBorder="1" applyAlignment="1">
      <alignment horizontal="left" vertical="center" wrapText="1"/>
    </xf>
    <xf numFmtId="0" fontId="1" fillId="0" borderId="19" xfId="0" applyFont="1" applyBorder="1" applyAlignment="1">
      <alignment horizontal="left" vertical="center" wrapText="1"/>
    </xf>
    <xf numFmtId="0" fontId="1" fillId="0" borderId="17" xfId="0" applyFont="1" applyBorder="1" applyAlignment="1">
      <alignment horizontal="left" vertical="center" wrapText="1"/>
    </xf>
    <xf numFmtId="0" fontId="48" fillId="28" borderId="16" xfId="0" applyFont="1" applyFill="1" applyBorder="1" applyAlignment="1">
      <alignment horizontal="left" vertical="center" wrapText="1"/>
    </xf>
    <xf numFmtId="0" fontId="48" fillId="28" borderId="17" xfId="0" applyFont="1" applyFill="1" applyBorder="1" applyAlignment="1">
      <alignment horizontal="left" vertical="center" wrapText="1"/>
    </xf>
    <xf numFmtId="0" fontId="90" fillId="0" borderId="11" xfId="0" applyFont="1" applyBorder="1" applyAlignment="1">
      <alignment horizontal="left" vertical="center" wrapText="1"/>
    </xf>
    <xf numFmtId="0" fontId="79" fillId="0" borderId="0" xfId="0" applyFont="1" applyAlignment="1">
      <alignment horizontal="center" wrapText="1"/>
    </xf>
    <xf numFmtId="0" fontId="0" fillId="0" borderId="19" xfId="0" applyBorder="1" applyAlignment="1">
      <alignment horizontal="left" vertical="center" wrapText="1"/>
    </xf>
    <xf numFmtId="0" fontId="0" fillId="0" borderId="17" xfId="0" applyBorder="1" applyAlignment="1">
      <alignment horizontal="left" vertical="center" wrapText="1"/>
    </xf>
    <xf numFmtId="0" fontId="33" fillId="0" borderId="0" xfId="0" applyFont="1" applyAlignment="1">
      <alignment horizontal="left" vertical="top" wrapText="1"/>
    </xf>
    <xf numFmtId="49" fontId="48" fillId="28" borderId="11" xfId="0" applyNumberFormat="1" applyFont="1" applyFill="1" applyBorder="1" applyAlignment="1">
      <alignment horizontal="center" vertical="center" wrapText="1"/>
    </xf>
    <xf numFmtId="49" fontId="96" fillId="24" borderId="11" xfId="0" applyNumberFormat="1" applyFont="1" applyFill="1" applyBorder="1" applyAlignment="1">
      <alignment horizontal="justify" vertical="center" textRotation="90"/>
    </xf>
    <xf numFmtId="0" fontId="96" fillId="25" borderId="16" xfId="0" applyFont="1" applyFill="1" applyBorder="1" applyAlignment="1">
      <alignment horizontal="justify" vertical="center" wrapText="1"/>
    </xf>
    <xf numFmtId="0" fontId="96" fillId="25" borderId="17" xfId="0" applyFont="1" applyFill="1" applyBorder="1" applyAlignment="1">
      <alignment horizontal="justify" vertical="center" wrapText="1"/>
    </xf>
    <xf numFmtId="0" fontId="47" fillId="0" borderId="17" xfId="0" applyFont="1" applyBorder="1" applyAlignment="1">
      <alignment horizontal="justify" vertical="center" wrapText="1"/>
    </xf>
    <xf numFmtId="0" fontId="47" fillId="0" borderId="0" xfId="0" applyFont="1" applyAlignment="1">
      <alignment horizontal="left" vertical="top" wrapText="1"/>
    </xf>
    <xf numFmtId="0" fontId="87" fillId="0" borderId="0" xfId="0" applyFont="1" applyAlignment="1">
      <alignment horizontal="left" vertical="top" wrapText="1"/>
    </xf>
    <xf numFmtId="0" fontId="47" fillId="14" borderId="11" xfId="0" applyFont="1" applyFill="1" applyBorder="1" applyAlignment="1">
      <alignment horizontal="justify" vertical="center" wrapText="1"/>
    </xf>
    <xf numFmtId="0" fontId="48" fillId="24" borderId="12" xfId="0" applyFont="1" applyFill="1" applyBorder="1" applyAlignment="1">
      <alignment horizontal="justify" vertical="center" wrapText="1"/>
    </xf>
    <xf numFmtId="0" fontId="48" fillId="24" borderId="26" xfId="0" applyFont="1" applyFill="1" applyBorder="1" applyAlignment="1">
      <alignment horizontal="justify" vertical="center" wrapText="1"/>
    </xf>
    <xf numFmtId="0" fontId="48" fillId="24" borderId="14" xfId="0" applyFont="1" applyFill="1" applyBorder="1" applyAlignment="1">
      <alignment horizontal="justify" vertical="center" wrapText="1"/>
    </xf>
    <xf numFmtId="0" fontId="48" fillId="0" borderId="0" xfId="0" applyFont="1" applyAlignment="1">
      <alignment horizontal="justify" vertical="center"/>
    </xf>
    <xf numFmtId="0" fontId="47" fillId="0" borderId="23" xfId="0" applyFont="1" applyBorder="1" applyAlignment="1">
      <alignment horizontal="justify" vertical="center"/>
    </xf>
    <xf numFmtId="0" fontId="47" fillId="0" borderId="32" xfId="0" applyFont="1" applyBorder="1" applyAlignment="1">
      <alignment horizontal="justify" vertical="center"/>
    </xf>
    <xf numFmtId="49" fontId="48" fillId="28" borderId="11" xfId="0" applyNumberFormat="1" applyFont="1" applyFill="1" applyBorder="1" applyAlignment="1">
      <alignment horizontal="justify" vertical="center" wrapText="1"/>
    </xf>
    <xf numFmtId="166" fontId="96" fillId="24" borderId="11" xfId="0" applyNumberFormat="1" applyFont="1" applyFill="1" applyBorder="1" applyAlignment="1">
      <alignment horizontal="justify" vertical="center" wrapText="1"/>
    </xf>
    <xf numFmtId="166" fontId="83" fillId="0" borderId="11" xfId="0" applyNumberFormat="1" applyFont="1" applyBorder="1" applyAlignment="1">
      <alignment horizontal="justify" vertical="center"/>
    </xf>
    <xf numFmtId="0" fontId="90" fillId="0" borderId="11" xfId="0" applyFont="1" applyBorder="1" applyAlignment="1">
      <alignment horizontal="justify" vertical="center" wrapText="1"/>
    </xf>
    <xf numFmtId="166" fontId="96" fillId="24" borderId="16" xfId="0" applyNumberFormat="1" applyFont="1" applyFill="1" applyBorder="1" applyAlignment="1">
      <alignment horizontal="left" vertical="center" wrapText="1"/>
    </xf>
    <xf numFmtId="166" fontId="96" fillId="24" borderId="17" xfId="0" applyNumberFormat="1" applyFont="1" applyFill="1" applyBorder="1" applyAlignment="1">
      <alignment horizontal="left" vertical="center" wrapText="1"/>
    </xf>
    <xf numFmtId="0" fontId="33" fillId="0" borderId="0" xfId="0" applyFont="1" applyAlignment="1">
      <alignment horizontal="justify" vertical="top" wrapText="1"/>
    </xf>
    <xf numFmtId="49" fontId="48" fillId="0" borderId="16" xfId="0" applyNumberFormat="1" applyFont="1" applyBorder="1" applyAlignment="1">
      <alignment horizontal="justify" vertical="center" wrapText="1"/>
    </xf>
    <xf numFmtId="49" fontId="48" fillId="0" borderId="19" xfId="0" applyNumberFormat="1" applyFont="1" applyBorder="1" applyAlignment="1">
      <alignment horizontal="justify" vertical="center" wrapText="1"/>
    </xf>
    <xf numFmtId="49" fontId="48" fillId="0" borderId="17" xfId="0" applyNumberFormat="1" applyFont="1" applyBorder="1" applyAlignment="1">
      <alignment horizontal="justify" vertical="center" wrapText="1"/>
    </xf>
    <xf numFmtId="0" fontId="92" fillId="0" borderId="16" xfId="0" applyFont="1" applyBorder="1" applyAlignment="1">
      <alignment horizontal="left" vertical="center" wrapText="1"/>
    </xf>
    <xf numFmtId="0" fontId="92" fillId="0" borderId="19" xfId="0" applyFont="1" applyBorder="1" applyAlignment="1">
      <alignment horizontal="left" vertical="center" wrapText="1"/>
    </xf>
    <xf numFmtId="0" fontId="92" fillId="0" borderId="17" xfId="0" applyFont="1" applyBorder="1" applyAlignment="1">
      <alignment horizontal="left" vertical="center" wrapText="1"/>
    </xf>
    <xf numFmtId="0" fontId="47" fillId="0" borderId="16" xfId="0" applyFont="1" applyBorder="1" applyAlignment="1">
      <alignment horizontal="left" vertical="center" wrapText="1"/>
    </xf>
    <xf numFmtId="0" fontId="47" fillId="0" borderId="19" xfId="0" applyFont="1" applyBorder="1" applyAlignment="1">
      <alignment horizontal="left" vertical="center" wrapText="1"/>
    </xf>
    <xf numFmtId="166" fontId="84" fillId="0" borderId="11" xfId="0" applyNumberFormat="1" applyFont="1" applyBorder="1" applyAlignment="1">
      <alignment horizontal="justify" vertical="center"/>
    </xf>
    <xf numFmtId="49" fontId="94" fillId="0" borderId="11" xfId="0" applyNumberFormat="1" applyFont="1" applyBorder="1" applyAlignment="1">
      <alignment horizontal="justify" vertical="center" wrapText="1"/>
    </xf>
    <xf numFmtId="166" fontId="92" fillId="0" borderId="11" xfId="0" applyNumberFormat="1" applyFont="1" applyBorder="1" applyAlignment="1">
      <alignment horizontal="justify" vertical="center"/>
    </xf>
    <xf numFmtId="166" fontId="94" fillId="0" borderId="11" xfId="0" applyNumberFormat="1" applyFont="1" applyBorder="1" applyAlignment="1">
      <alignment vertical="center" wrapText="1"/>
    </xf>
    <xf numFmtId="166" fontId="94" fillId="0" borderId="11" xfId="0" applyNumberFormat="1" applyFont="1" applyBorder="1" applyAlignment="1">
      <alignment vertical="center"/>
    </xf>
    <xf numFmtId="49" fontId="48" fillId="49" borderId="11" xfId="0" applyNumberFormat="1" applyFont="1" applyFill="1" applyBorder="1" applyAlignment="1">
      <alignment horizontal="justify" vertical="center" wrapText="1"/>
    </xf>
    <xf numFmtId="166" fontId="47" fillId="0" borderId="16" xfId="0" applyNumberFormat="1" applyFont="1" applyBorder="1" applyAlignment="1">
      <alignment horizontal="left" vertical="center"/>
    </xf>
    <xf numFmtId="166" fontId="47" fillId="0" borderId="19" xfId="0" applyNumberFormat="1" applyFont="1" applyBorder="1" applyAlignment="1">
      <alignment horizontal="left" vertical="center"/>
    </xf>
    <xf numFmtId="166" fontId="47" fillId="0" borderId="17" xfId="0" applyNumberFormat="1" applyFont="1" applyBorder="1" applyAlignment="1">
      <alignment horizontal="left" vertical="center"/>
    </xf>
    <xf numFmtId="166" fontId="84" fillId="40" borderId="11" xfId="0" applyNumberFormat="1" applyFont="1" applyFill="1" applyBorder="1" applyAlignment="1">
      <alignment horizontal="justify" vertical="center"/>
    </xf>
    <xf numFmtId="49" fontId="94" fillId="0" borderId="11" xfId="0" applyNumberFormat="1" applyFont="1" applyBorder="1" applyAlignment="1">
      <alignment horizontal="justify" vertical="center"/>
    </xf>
    <xf numFmtId="0" fontId="94" fillId="4" borderId="11" xfId="0" applyFont="1" applyFill="1" applyBorder="1" applyAlignment="1">
      <alignment horizontal="justify" vertical="center" textRotation="90" wrapText="1"/>
    </xf>
    <xf numFmtId="9" fontId="84" fillId="40" borderId="11" xfId="22" applyFont="1" applyFill="1" applyBorder="1" applyAlignment="1">
      <alignment horizontal="justify" vertical="center"/>
    </xf>
    <xf numFmtId="166" fontId="47" fillId="40" borderId="11" xfId="0" applyNumberFormat="1" applyFont="1" applyFill="1" applyBorder="1" applyAlignment="1">
      <alignment horizontal="justify" vertical="center"/>
    </xf>
    <xf numFmtId="166" fontId="47" fillId="49" borderId="11" xfId="0" applyNumberFormat="1" applyFont="1" applyFill="1" applyBorder="1" applyAlignment="1">
      <alignment horizontal="justify" vertical="center"/>
    </xf>
    <xf numFmtId="49" fontId="48" fillId="40" borderId="11" xfId="0" applyNumberFormat="1" applyFont="1" applyFill="1" applyBorder="1" applyAlignment="1">
      <alignment horizontal="justify" vertical="center" wrapText="1"/>
    </xf>
    <xf numFmtId="0" fontId="47" fillId="0" borderId="33" xfId="0" applyFont="1" applyBorder="1" applyAlignment="1">
      <alignment horizontal="center" vertical="center" wrapText="1"/>
    </xf>
    <xf numFmtId="166" fontId="48" fillId="49" borderId="11" xfId="0" applyNumberFormat="1" applyFont="1" applyFill="1" applyBorder="1" applyAlignment="1">
      <alignment horizontal="justify" vertical="center" wrapText="1"/>
    </xf>
    <xf numFmtId="166" fontId="48" fillId="49" borderId="11" xfId="0" applyNumberFormat="1" applyFont="1" applyFill="1" applyBorder="1" applyAlignment="1">
      <alignment horizontal="justify" vertical="center"/>
    </xf>
    <xf numFmtId="166" fontId="48" fillId="40" borderId="11" xfId="0" applyNumberFormat="1" applyFont="1" applyFill="1" applyBorder="1" applyAlignment="1">
      <alignment horizontal="justify" vertical="center" wrapText="1"/>
    </xf>
    <xf numFmtId="0" fontId="49" fillId="0" borderId="0" xfId="0" applyFont="1" applyAlignment="1">
      <alignment horizontal="center" vertical="center" wrapText="1"/>
    </xf>
    <xf numFmtId="0" fontId="48" fillId="0" borderId="11" xfId="0" applyFont="1" applyBorder="1" applyAlignment="1">
      <alignment vertical="top" wrapText="1"/>
    </xf>
    <xf numFmtId="0" fontId="47" fillId="0" borderId="11" xfId="0" applyFont="1" applyBorder="1" applyAlignment="1">
      <alignment vertical="top" wrapText="1"/>
    </xf>
    <xf numFmtId="0" fontId="48" fillId="0" borderId="11" xfId="0" applyFont="1" applyBorder="1" applyAlignment="1">
      <alignment vertical="center" wrapText="1"/>
    </xf>
    <xf numFmtId="0" fontId="47" fillId="0" borderId="12" xfId="0" applyFont="1" applyBorder="1" applyAlignment="1">
      <alignment vertical="top" wrapText="1"/>
    </xf>
    <xf numFmtId="0" fontId="47" fillId="0" borderId="26" xfId="0" applyFont="1" applyBorder="1" applyAlignment="1">
      <alignment vertical="top" wrapText="1"/>
    </xf>
    <xf numFmtId="0" fontId="47" fillId="0" borderId="14" xfId="0" applyFont="1" applyBorder="1" applyAlignment="1">
      <alignment vertical="top" wrapText="1"/>
    </xf>
    <xf numFmtId="0" fontId="47" fillId="0" borderId="22" xfId="0" applyFont="1" applyBorder="1" applyAlignment="1">
      <alignment horizontal="center"/>
    </xf>
    <xf numFmtId="0" fontId="47" fillId="0" borderId="33" xfId="0" applyFont="1" applyBorder="1" applyAlignment="1">
      <alignment horizontal="center"/>
    </xf>
    <xf numFmtId="0" fontId="47" fillId="0" borderId="28" xfId="0" applyFont="1" applyBorder="1" applyAlignment="1">
      <alignment horizontal="center"/>
    </xf>
    <xf numFmtId="49" fontId="48" fillId="49" borderId="11" xfId="0" applyNumberFormat="1" applyFont="1" applyFill="1" applyBorder="1" applyAlignment="1">
      <alignment horizontal="justify" vertical="center"/>
    </xf>
    <xf numFmtId="0" fontId="47" fillId="49" borderId="11" xfId="0" applyFont="1" applyFill="1" applyBorder="1" applyAlignment="1">
      <alignment horizontal="justify" vertical="center" wrapText="1"/>
    </xf>
    <xf numFmtId="0" fontId="48" fillId="50" borderId="11" xfId="0" applyFont="1" applyFill="1" applyBorder="1" applyAlignment="1">
      <alignment horizontal="justify" vertical="center" textRotation="90" wrapText="1"/>
    </xf>
    <xf numFmtId="49" fontId="48" fillId="40" borderId="11" xfId="0" applyNumberFormat="1" applyFont="1" applyFill="1" applyBorder="1" applyAlignment="1">
      <alignment horizontal="justify" vertical="center"/>
    </xf>
    <xf numFmtId="0" fontId="48" fillId="11" borderId="28" xfId="0" applyFont="1" applyFill="1" applyBorder="1" applyAlignment="1">
      <alignment horizontal="center"/>
    </xf>
    <xf numFmtId="0" fontId="48" fillId="11" borderId="29" xfId="0" applyFont="1" applyFill="1" applyBorder="1" applyAlignment="1">
      <alignment horizontal="center"/>
    </xf>
    <xf numFmtId="0" fontId="48" fillId="11" borderId="24" xfId="0" applyFont="1" applyFill="1" applyBorder="1" applyAlignment="1">
      <alignment horizontal="center"/>
    </xf>
    <xf numFmtId="0" fontId="47" fillId="40" borderId="11" xfId="0" applyFont="1" applyFill="1" applyBorder="1" applyAlignment="1">
      <alignment horizontal="justify" vertical="center"/>
    </xf>
    <xf numFmtId="0" fontId="47" fillId="40" borderId="11" xfId="0" applyFont="1" applyFill="1" applyBorder="1" applyAlignment="1">
      <alignment horizontal="justify" vertical="center" wrapText="1"/>
    </xf>
    <xf numFmtId="0" fontId="48" fillId="41" borderId="11" xfId="0" applyFont="1" applyFill="1" applyBorder="1" applyAlignment="1">
      <alignment horizontal="justify" vertical="center" textRotation="90" wrapText="1"/>
    </xf>
    <xf numFmtId="0" fontId="29" fillId="0" borderId="0" xfId="0" applyFont="1" applyAlignment="1">
      <alignment horizontal="left" vertical="top" wrapText="1"/>
    </xf>
    <xf numFmtId="0" fontId="48" fillId="0" borderId="0" xfId="0" applyFont="1" applyAlignment="1">
      <alignment horizontal="left" vertical="top" wrapText="1"/>
    </xf>
    <xf numFmtId="0" fontId="29" fillId="0" borderId="32" xfId="0" applyFont="1" applyBorder="1" applyAlignment="1">
      <alignment horizontal="left" vertical="top" wrapText="1"/>
    </xf>
    <xf numFmtId="0" fontId="47" fillId="16" borderId="11" xfId="0" applyFont="1" applyFill="1" applyBorder="1" applyAlignment="1">
      <alignment horizontal="center" vertical="center" wrapText="1"/>
    </xf>
    <xf numFmtId="166" fontId="144" fillId="40" borderId="11" xfId="0" applyNumberFormat="1" applyFont="1" applyFill="1" applyBorder="1" applyAlignment="1">
      <alignment horizontal="justify" vertical="center"/>
    </xf>
    <xf numFmtId="0" fontId="48" fillId="5" borderId="16" xfId="0" applyFont="1" applyFill="1" applyBorder="1" applyAlignment="1">
      <alignment horizontal="center" vertical="center" textRotation="90" wrapText="1"/>
    </xf>
    <xf numFmtId="0" fontId="48" fillId="5" borderId="19" xfId="0" applyFont="1" applyFill="1" applyBorder="1" applyAlignment="1">
      <alignment horizontal="center" vertical="center" textRotation="90" wrapText="1"/>
    </xf>
    <xf numFmtId="0" fontId="48" fillId="5" borderId="17" xfId="0" applyFont="1" applyFill="1" applyBorder="1" applyAlignment="1">
      <alignment horizontal="center" vertical="center" textRotation="90" wrapText="1"/>
    </xf>
    <xf numFmtId="0" fontId="48" fillId="19" borderId="16" xfId="0" applyFont="1" applyFill="1" applyBorder="1" applyAlignment="1">
      <alignment horizontal="center" vertical="center" textRotation="90" wrapText="1"/>
    </xf>
    <xf numFmtId="0" fontId="48" fillId="19" borderId="17" xfId="0" applyFont="1" applyFill="1" applyBorder="1" applyAlignment="1">
      <alignment horizontal="center" vertical="center" textRotation="90" wrapText="1"/>
    </xf>
    <xf numFmtId="0" fontId="48" fillId="19" borderId="19" xfId="0" applyFont="1" applyFill="1" applyBorder="1" applyAlignment="1">
      <alignment horizontal="center" vertical="center" textRotation="90" wrapText="1"/>
    </xf>
    <xf numFmtId="0" fontId="48" fillId="23" borderId="16" xfId="0" applyFont="1" applyFill="1" applyBorder="1" applyAlignment="1">
      <alignment horizontal="center" vertical="center" wrapText="1"/>
    </xf>
    <xf numFmtId="0" fontId="48" fillId="23" borderId="17" xfId="0" applyFont="1" applyFill="1" applyBorder="1" applyAlignment="1">
      <alignment horizontal="center" vertical="center" wrapText="1"/>
    </xf>
    <xf numFmtId="166" fontId="47" fillId="23" borderId="11" xfId="0" applyNumberFormat="1" applyFont="1" applyFill="1" applyBorder="1" applyAlignment="1">
      <alignment horizontal="justify" vertical="center" wrapText="1"/>
    </xf>
    <xf numFmtId="0" fontId="83" fillId="23" borderId="11" xfId="0" applyFont="1" applyFill="1" applyBorder="1" applyAlignment="1">
      <alignment horizontal="justify" vertical="center" wrapText="1"/>
    </xf>
    <xf numFmtId="9" fontId="91" fillId="23" borderId="16" xfId="22" applyFont="1" applyFill="1" applyBorder="1" applyAlignment="1">
      <alignment horizontal="center" vertical="center" wrapText="1"/>
    </xf>
    <xf numFmtId="9" fontId="91" fillId="23" borderId="17" xfId="22" applyFont="1" applyFill="1" applyBorder="1" applyAlignment="1">
      <alignment horizontal="center" vertical="center" wrapText="1"/>
    </xf>
    <xf numFmtId="166" fontId="159" fillId="23" borderId="11" xfId="0" applyNumberFormat="1" applyFont="1" applyFill="1" applyBorder="1" applyAlignment="1">
      <alignment horizontal="justify" vertical="center" wrapText="1"/>
    </xf>
    <xf numFmtId="9" fontId="47" fillId="23" borderId="11" xfId="22" applyFont="1" applyFill="1" applyBorder="1" applyAlignment="1">
      <alignment horizontal="justify" vertical="center" wrapText="1"/>
    </xf>
    <xf numFmtId="166" fontId="97" fillId="23" borderId="11" xfId="0" applyNumberFormat="1" applyFont="1" applyFill="1" applyBorder="1" applyAlignment="1">
      <alignment horizontal="justify" vertical="center" wrapText="1"/>
    </xf>
    <xf numFmtId="0" fontId="96" fillId="37" borderId="11" xfId="0" applyFont="1" applyFill="1" applyBorder="1" applyAlignment="1">
      <alignment horizontal="justify" vertical="center" wrapText="1"/>
    </xf>
    <xf numFmtId="49" fontId="88" fillId="0" borderId="11" xfId="0" applyNumberFormat="1" applyFont="1" applyBorder="1" applyAlignment="1">
      <alignment horizontal="justify" vertical="center"/>
    </xf>
    <xf numFmtId="0" fontId="48" fillId="23" borderId="11" xfId="0" applyFont="1" applyFill="1" applyBorder="1" applyAlignment="1">
      <alignment horizontal="justify" vertical="center"/>
    </xf>
    <xf numFmtId="49" fontId="47" fillId="23" borderId="11" xfId="0" applyNumberFormat="1" applyFont="1" applyFill="1" applyBorder="1" applyAlignment="1">
      <alignment horizontal="justify" vertical="center" wrapText="1"/>
    </xf>
    <xf numFmtId="166" fontId="47" fillId="23" borderId="11" xfId="0" applyNumberFormat="1" applyFont="1" applyFill="1" applyBorder="1" applyAlignment="1">
      <alignment horizontal="center" vertical="center" wrapText="1"/>
    </xf>
    <xf numFmtId="0" fontId="88" fillId="0" borderId="11" xfId="0" applyFont="1" applyBorder="1" applyAlignment="1">
      <alignment horizontal="justify" vertical="center" textRotation="90" wrapText="1"/>
    </xf>
    <xf numFmtId="49" fontId="96" fillId="37" borderId="11" xfId="0" applyNumberFormat="1" applyFont="1" applyFill="1" applyBorder="1" applyAlignment="1">
      <alignment horizontal="justify" vertical="center" wrapText="1"/>
    </xf>
    <xf numFmtId="49" fontId="96" fillId="37" borderId="11" xfId="0" applyNumberFormat="1" applyFont="1" applyFill="1" applyBorder="1" applyAlignment="1">
      <alignment horizontal="justify" vertical="center"/>
    </xf>
    <xf numFmtId="49" fontId="49" fillId="24" borderId="11" xfId="0" applyNumberFormat="1" applyFont="1" applyFill="1" applyBorder="1" applyAlignment="1">
      <alignment horizontal="justify" vertical="center"/>
    </xf>
    <xf numFmtId="0" fontId="96" fillId="24" borderId="11" xfId="0" applyFont="1" applyFill="1" applyBorder="1" applyAlignment="1">
      <alignment horizontal="justify" vertical="center" textRotation="90" wrapText="1"/>
    </xf>
    <xf numFmtId="49" fontId="96" fillId="24" borderId="17" xfId="0" applyNumberFormat="1" applyFont="1" applyFill="1" applyBorder="1" applyAlignment="1">
      <alignment horizontal="center" vertical="center" wrapText="1"/>
    </xf>
    <xf numFmtId="49" fontId="96" fillId="24" borderId="11" xfId="0" applyNumberFormat="1" applyFont="1" applyFill="1" applyBorder="1" applyAlignment="1">
      <alignment horizontal="center" vertical="center" wrapText="1"/>
    </xf>
    <xf numFmtId="49" fontId="96" fillId="19" borderId="11" xfId="0" applyNumberFormat="1" applyFont="1" applyFill="1" applyBorder="1" applyAlignment="1">
      <alignment horizontal="justify" vertical="center"/>
    </xf>
    <xf numFmtId="49" fontId="96" fillId="19" borderId="11" xfId="0" applyNumberFormat="1" applyFont="1" applyFill="1" applyBorder="1" applyAlignment="1">
      <alignment horizontal="justify" vertical="center" wrapText="1"/>
    </xf>
    <xf numFmtId="49" fontId="96" fillId="20" borderId="11" xfId="0" applyNumberFormat="1" applyFont="1" applyFill="1" applyBorder="1" applyAlignment="1">
      <alignment horizontal="justify" vertical="center" wrapText="1"/>
    </xf>
    <xf numFmtId="49" fontId="96" fillId="20" borderId="11" xfId="0" applyNumberFormat="1" applyFont="1" applyFill="1" applyBorder="1" applyAlignment="1">
      <alignment horizontal="justify" vertical="center"/>
    </xf>
    <xf numFmtId="0" fontId="96" fillId="20" borderId="11" xfId="0" applyFont="1" applyFill="1" applyBorder="1" applyAlignment="1">
      <alignment horizontal="justify" vertical="center" wrapText="1"/>
    </xf>
    <xf numFmtId="166" fontId="91" fillId="0" borderId="11" xfId="0" applyNumberFormat="1" applyFont="1" applyBorder="1" applyAlignment="1">
      <alignment horizontal="justify" vertical="center" wrapText="1"/>
    </xf>
    <xf numFmtId="49" fontId="91" fillId="0" borderId="11" xfId="0" applyNumberFormat="1" applyFont="1" applyBorder="1" applyAlignment="1">
      <alignment horizontal="justify" vertical="center" wrapText="1"/>
    </xf>
    <xf numFmtId="166" fontId="100" fillId="24" borderId="11" xfId="0" applyNumberFormat="1" applyFont="1" applyFill="1" applyBorder="1" applyAlignment="1">
      <alignment horizontal="justify" vertical="center" wrapText="1"/>
    </xf>
    <xf numFmtId="166" fontId="125" fillId="24" borderId="11" xfId="0" applyNumberFormat="1" applyFont="1" applyFill="1" applyBorder="1" applyAlignment="1">
      <alignment horizontal="justify" vertical="center" wrapText="1"/>
    </xf>
    <xf numFmtId="166" fontId="123" fillId="26" borderId="11" xfId="0" applyNumberFormat="1" applyFont="1" applyFill="1" applyBorder="1" applyAlignment="1">
      <alignment horizontal="justify" vertical="center" wrapText="1"/>
    </xf>
    <xf numFmtId="0" fontId="48" fillId="23" borderId="11" xfId="0" applyFont="1" applyFill="1" applyBorder="1" applyAlignment="1">
      <alignment horizontal="justify" vertical="center" wrapText="1"/>
    </xf>
    <xf numFmtId="0" fontId="47" fillId="23" borderId="11" xfId="0" applyFont="1" applyFill="1" applyBorder="1" applyAlignment="1">
      <alignment horizontal="justify" vertical="center"/>
    </xf>
    <xf numFmtId="0" fontId="97" fillId="5" borderId="11" xfId="0" applyFont="1" applyFill="1" applyBorder="1" applyAlignment="1">
      <alignment horizontal="center" vertical="center" wrapText="1"/>
    </xf>
    <xf numFmtId="0" fontId="97" fillId="16" borderId="11" xfId="0" applyFont="1" applyFill="1" applyBorder="1" applyAlignment="1">
      <alignment horizontal="center" vertical="center" wrapText="1"/>
    </xf>
    <xf numFmtId="0" fontId="159" fillId="0" borderId="11" xfId="0" applyFont="1" applyBorder="1" applyAlignment="1">
      <alignment horizontal="center" vertical="center" wrapText="1"/>
    </xf>
    <xf numFmtId="49" fontId="48" fillId="5" borderId="16" xfId="0" applyNumberFormat="1" applyFont="1" applyFill="1" applyBorder="1" applyAlignment="1">
      <alignment horizontal="center" vertical="center" textRotation="90"/>
    </xf>
    <xf numFmtId="49" fontId="48" fillId="5" borderId="19" xfId="0" applyNumberFormat="1" applyFont="1" applyFill="1" applyBorder="1" applyAlignment="1">
      <alignment horizontal="center" vertical="center" textRotation="90"/>
    </xf>
    <xf numFmtId="49" fontId="48" fillId="5" borderId="17" xfId="0" applyNumberFormat="1" applyFont="1" applyFill="1" applyBorder="1" applyAlignment="1">
      <alignment horizontal="center" vertical="center" textRotation="90"/>
    </xf>
    <xf numFmtId="0" fontId="48" fillId="0" borderId="16" xfId="0" applyFont="1" applyBorder="1" applyAlignment="1">
      <alignment horizontal="center" vertical="center" textRotation="90" wrapText="1"/>
    </xf>
    <xf numFmtId="0" fontId="48" fillId="0" borderId="19" xfId="0" applyFont="1" applyBorder="1" applyAlignment="1">
      <alignment horizontal="center" vertical="center" textRotation="90" wrapText="1"/>
    </xf>
    <xf numFmtId="0" fontId="48" fillId="0" borderId="17" xfId="0" applyFont="1" applyBorder="1" applyAlignment="1">
      <alignment horizontal="center" vertical="center" textRotation="90" wrapText="1"/>
    </xf>
    <xf numFmtId="0" fontId="83" fillId="0" borderId="11" xfId="0" applyFont="1" applyBorder="1" applyAlignment="1">
      <alignment horizontal="justify" vertical="center" textRotation="90" wrapText="1"/>
    </xf>
    <xf numFmtId="0" fontId="47" fillId="23" borderId="11" xfId="0" applyFont="1" applyFill="1" applyBorder="1" applyAlignment="1">
      <alignment horizontal="justify" vertical="center" wrapText="1"/>
    </xf>
    <xf numFmtId="0" fontId="123" fillId="24" borderId="11" xfId="0" applyFont="1" applyFill="1" applyBorder="1" applyAlignment="1">
      <alignment horizontal="justify" vertical="center" wrapText="1"/>
    </xf>
    <xf numFmtId="0" fontId="47" fillId="23" borderId="11" xfId="0" applyFont="1" applyFill="1" applyBorder="1" applyAlignment="1">
      <alignment horizontal="center" vertical="center" wrapText="1"/>
    </xf>
    <xf numFmtId="0" fontId="86" fillId="0" borderId="11" xfId="0" applyFont="1" applyBorder="1" applyAlignment="1">
      <alignment horizontal="justify" vertical="center" wrapText="1"/>
    </xf>
    <xf numFmtId="0" fontId="48" fillId="11" borderId="11" xfId="0" applyFont="1" applyFill="1" applyBorder="1" applyAlignment="1">
      <alignment vertical="center"/>
    </xf>
    <xf numFmtId="0" fontId="47" fillId="4" borderId="11" xfId="0" applyFont="1" applyFill="1" applyBorder="1" applyAlignment="1">
      <alignment vertical="center" wrapText="1"/>
    </xf>
    <xf numFmtId="0" fontId="47" fillId="0" borderId="11" xfId="0" applyFont="1" applyBorder="1" applyAlignment="1">
      <alignment vertical="center" wrapText="1"/>
    </xf>
    <xf numFmtId="0" fontId="96" fillId="24" borderId="12" xfId="0" applyFont="1" applyFill="1" applyBorder="1" applyAlignment="1">
      <alignment vertical="center" wrapText="1"/>
    </xf>
    <xf numFmtId="0" fontId="96" fillId="24" borderId="26" xfId="0" applyFont="1" applyFill="1" applyBorder="1" applyAlignment="1">
      <alignment vertical="center" wrapText="1"/>
    </xf>
    <xf numFmtId="0" fontId="96" fillId="24" borderId="14" xfId="0" applyFont="1" applyFill="1" applyBorder="1" applyAlignment="1">
      <alignment vertical="center" wrapText="1"/>
    </xf>
    <xf numFmtId="0" fontId="84" fillId="0" borderId="11" xfId="0" applyFont="1" applyBorder="1" applyAlignment="1">
      <alignment horizontal="justify" vertical="center" wrapText="1"/>
    </xf>
    <xf numFmtId="49" fontId="96" fillId="24" borderId="18" xfId="0" applyNumberFormat="1" applyFont="1" applyFill="1" applyBorder="1" applyAlignment="1">
      <alignment horizontal="center" vertical="center" wrapText="1"/>
    </xf>
    <xf numFmtId="49" fontId="96" fillId="24" borderId="18" xfId="0" applyNumberFormat="1" applyFont="1" applyFill="1" applyBorder="1" applyAlignment="1">
      <alignment horizontal="center" vertical="center"/>
    </xf>
    <xf numFmtId="49" fontId="96" fillId="24" borderId="13" xfId="0" applyNumberFormat="1" applyFont="1" applyFill="1" applyBorder="1" applyAlignment="1">
      <alignment horizontal="center" vertical="center"/>
    </xf>
    <xf numFmtId="49" fontId="86" fillId="0" borderId="11" xfId="0" applyNumberFormat="1" applyFont="1" applyBorder="1" applyAlignment="1">
      <alignment horizontal="justify" vertical="center"/>
    </xf>
    <xf numFmtId="166" fontId="111" fillId="24" borderId="22" xfId="0" applyNumberFormat="1" applyFont="1" applyFill="1" applyBorder="1" applyAlignment="1">
      <alignment horizontal="center" vertical="center" wrapText="1"/>
    </xf>
    <xf numFmtId="166" fontId="111" fillId="24" borderId="23" xfId="0" applyNumberFormat="1" applyFont="1" applyFill="1" applyBorder="1" applyAlignment="1">
      <alignment horizontal="center" vertical="center" wrapText="1"/>
    </xf>
    <xf numFmtId="166" fontId="111" fillId="24" borderId="33" xfId="0" applyNumberFormat="1" applyFont="1" applyFill="1" applyBorder="1" applyAlignment="1">
      <alignment horizontal="center" vertical="center" wrapText="1"/>
    </xf>
    <xf numFmtId="166" fontId="111" fillId="24" borderId="32" xfId="0" applyNumberFormat="1" applyFont="1" applyFill="1" applyBorder="1" applyAlignment="1">
      <alignment horizontal="center" vertical="center" wrapText="1"/>
    </xf>
    <xf numFmtId="166" fontId="111" fillId="24" borderId="28" xfId="0" applyNumberFormat="1" applyFont="1" applyFill="1" applyBorder="1" applyAlignment="1">
      <alignment horizontal="center" vertical="center" wrapText="1"/>
    </xf>
    <xf numFmtId="166" fontId="111" fillId="24" borderId="24" xfId="0" applyNumberFormat="1" applyFont="1" applyFill="1" applyBorder="1" applyAlignment="1">
      <alignment horizontal="center" vertical="center" wrapText="1"/>
    </xf>
    <xf numFmtId="166" fontId="48" fillId="24" borderId="22" xfId="0" applyNumberFormat="1" applyFont="1" applyFill="1" applyBorder="1" applyAlignment="1">
      <alignment horizontal="center" vertical="center"/>
    </xf>
    <xf numFmtId="166" fontId="48" fillId="24" borderId="27" xfId="0" applyNumberFormat="1" applyFont="1" applyFill="1" applyBorder="1" applyAlignment="1">
      <alignment horizontal="center" vertical="center"/>
    </xf>
    <xf numFmtId="166" fontId="48" fillId="24" borderId="23" xfId="0" applyNumberFormat="1" applyFont="1" applyFill="1" applyBorder="1" applyAlignment="1">
      <alignment horizontal="center" vertical="center"/>
    </xf>
    <xf numFmtId="166" fontId="48" fillId="24" borderId="28" xfId="0" applyNumberFormat="1" applyFont="1" applyFill="1" applyBorder="1" applyAlignment="1">
      <alignment horizontal="center" vertical="center"/>
    </xf>
    <xf numFmtId="166" fontId="48" fillId="24" borderId="29" xfId="0" applyNumberFormat="1" applyFont="1" applyFill="1" applyBorder="1" applyAlignment="1">
      <alignment horizontal="center" vertical="center"/>
    </xf>
    <xf numFmtId="166" fontId="48" fillId="24" borderId="24" xfId="0" applyNumberFormat="1" applyFont="1" applyFill="1" applyBorder="1" applyAlignment="1">
      <alignment horizontal="center" vertical="center"/>
    </xf>
    <xf numFmtId="49" fontId="48" fillId="0" borderId="16" xfId="0" applyNumberFormat="1" applyFont="1" applyBorder="1" applyAlignment="1">
      <alignment horizontal="left" vertical="center" wrapText="1"/>
    </xf>
    <xf numFmtId="49" fontId="48" fillId="0" borderId="17" xfId="0" applyNumberFormat="1" applyFont="1" applyBorder="1" applyAlignment="1">
      <alignment horizontal="left" vertical="center" wrapText="1"/>
    </xf>
    <xf numFmtId="49" fontId="91" fillId="0" borderId="16" xfId="0" applyNumberFormat="1" applyFont="1" applyBorder="1" applyAlignment="1">
      <alignment horizontal="center" vertical="center" wrapText="1"/>
    </xf>
    <xf numFmtId="49" fontId="91" fillId="0" borderId="17" xfId="0" applyNumberFormat="1" applyFont="1" applyBorder="1" applyAlignment="1">
      <alignment horizontal="center" vertical="center" wrapText="1"/>
    </xf>
    <xf numFmtId="49" fontId="48" fillId="0" borderId="19" xfId="0" applyNumberFormat="1" applyFont="1" applyBorder="1" applyAlignment="1">
      <alignment horizontal="left" vertical="center" wrapText="1"/>
    </xf>
    <xf numFmtId="49" fontId="96" fillId="11" borderId="11" xfId="0" applyNumberFormat="1" applyFont="1" applyFill="1" applyBorder="1" applyAlignment="1">
      <alignment horizontal="justify" vertical="center" wrapText="1"/>
    </xf>
    <xf numFmtId="49" fontId="96" fillId="0" borderId="33" xfId="0" applyNumberFormat="1" applyFont="1" applyBorder="1" applyAlignment="1">
      <alignment horizontal="center" vertical="center" wrapText="1"/>
    </xf>
    <xf numFmtId="49" fontId="96" fillId="0" borderId="0" xfId="0" applyNumberFormat="1" applyFont="1" applyAlignment="1">
      <alignment horizontal="center" vertical="center" wrapText="1"/>
    </xf>
    <xf numFmtId="49" fontId="96" fillId="0" borderId="23" xfId="0" applyNumberFormat="1" applyFont="1" applyBorder="1" applyAlignment="1">
      <alignment horizontal="center" vertical="center" wrapText="1"/>
    </xf>
    <xf numFmtId="49" fontId="96" fillId="0" borderId="32" xfId="0" applyNumberFormat="1" applyFont="1" applyBorder="1" applyAlignment="1">
      <alignment horizontal="center" vertical="center" wrapText="1"/>
    </xf>
    <xf numFmtId="49" fontId="96" fillId="0" borderId="28" xfId="0" applyNumberFormat="1" applyFont="1" applyBorder="1" applyAlignment="1">
      <alignment horizontal="center" vertical="center" wrapText="1"/>
    </xf>
    <xf numFmtId="49" fontId="96" fillId="0" borderId="29" xfId="0" applyNumberFormat="1" applyFont="1" applyBorder="1" applyAlignment="1">
      <alignment horizontal="center" vertical="center" wrapText="1"/>
    </xf>
    <xf numFmtId="49" fontId="96" fillId="0" borderId="24" xfId="0" applyNumberFormat="1" applyFont="1" applyBorder="1" applyAlignment="1">
      <alignment horizontal="center" vertical="center" wrapText="1"/>
    </xf>
    <xf numFmtId="49" fontId="48" fillId="0" borderId="23" xfId="0" applyNumberFormat="1" applyFont="1" applyBorder="1" applyAlignment="1">
      <alignment horizontal="justify" vertical="center" wrapText="1"/>
    </xf>
    <xf numFmtId="49" fontId="48" fillId="0" borderId="32" xfId="0" applyNumberFormat="1" applyFont="1" applyBorder="1" applyAlignment="1">
      <alignment horizontal="justify" vertical="center" wrapText="1"/>
    </xf>
    <xf numFmtId="49" fontId="48" fillId="0" borderId="24" xfId="0" applyNumberFormat="1" applyFont="1" applyBorder="1" applyAlignment="1">
      <alignment horizontal="justify" vertical="center" wrapText="1"/>
    </xf>
    <xf numFmtId="49" fontId="48" fillId="18" borderId="11" xfId="0" applyNumberFormat="1" applyFont="1" applyFill="1" applyBorder="1" applyAlignment="1">
      <alignment horizontal="justify" vertical="center"/>
    </xf>
    <xf numFmtId="49" fontId="96" fillId="18" borderId="11" xfId="0" applyNumberFormat="1" applyFont="1" applyFill="1" applyBorder="1" applyAlignment="1">
      <alignment horizontal="justify" vertical="center" wrapText="1"/>
    </xf>
    <xf numFmtId="166" fontId="49" fillId="24" borderId="11" xfId="0" applyNumberFormat="1" applyFont="1" applyFill="1" applyBorder="1" applyAlignment="1">
      <alignment horizontal="justify" vertical="center"/>
    </xf>
    <xf numFmtId="49" fontId="48" fillId="43" borderId="11" xfId="0" applyNumberFormat="1" applyFont="1" applyFill="1" applyBorder="1" applyAlignment="1">
      <alignment horizontal="justify" vertical="center"/>
    </xf>
    <xf numFmtId="166" fontId="93" fillId="0" borderId="11" xfId="0" applyNumberFormat="1" applyFont="1" applyBorder="1" applyAlignment="1">
      <alignment horizontal="justify" vertical="center"/>
    </xf>
    <xf numFmtId="49" fontId="96" fillId="43" borderId="11" xfId="0" applyNumberFormat="1" applyFont="1" applyFill="1" applyBorder="1" applyAlignment="1">
      <alignment horizontal="justify" vertical="center" wrapText="1"/>
    </xf>
    <xf numFmtId="49" fontId="96" fillId="43" borderId="11" xfId="0" applyNumberFormat="1" applyFont="1" applyFill="1" applyBorder="1" applyAlignment="1">
      <alignment horizontal="justify" vertical="center" textRotation="90"/>
    </xf>
    <xf numFmtId="166" fontId="49" fillId="43" borderId="11" xfId="0" applyNumberFormat="1" applyFont="1" applyFill="1" applyBorder="1" applyAlignment="1">
      <alignment horizontal="justify" vertical="center"/>
    </xf>
    <xf numFmtId="166" fontId="96" fillId="43" borderId="11" xfId="0" applyNumberFormat="1" applyFont="1" applyFill="1" applyBorder="1" applyAlignment="1">
      <alignment horizontal="justify" vertical="center" wrapText="1"/>
    </xf>
    <xf numFmtId="166" fontId="96" fillId="43" borderId="11" xfId="0" applyNumberFormat="1" applyFont="1" applyFill="1" applyBorder="1" applyAlignment="1">
      <alignment horizontal="justify" vertical="center"/>
    </xf>
    <xf numFmtId="49" fontId="48" fillId="11" borderId="11" xfId="0" applyNumberFormat="1" applyFont="1" applyFill="1" applyBorder="1" applyAlignment="1">
      <alignment horizontal="justify" vertical="center"/>
    </xf>
    <xf numFmtId="49" fontId="96" fillId="11" borderId="11" xfId="0" applyNumberFormat="1" applyFont="1" applyFill="1" applyBorder="1" applyAlignment="1">
      <alignment horizontal="justify" vertical="center" textRotation="90"/>
    </xf>
    <xf numFmtId="166" fontId="49" fillId="11" borderId="11" xfId="0" applyNumberFormat="1" applyFont="1" applyFill="1" applyBorder="1" applyAlignment="1">
      <alignment horizontal="justify" vertical="center"/>
    </xf>
    <xf numFmtId="166" fontId="96" fillId="11" borderId="11" xfId="0" applyNumberFormat="1" applyFont="1" applyFill="1" applyBorder="1" applyAlignment="1">
      <alignment horizontal="justify" vertical="center" wrapText="1"/>
    </xf>
    <xf numFmtId="9" fontId="48" fillId="14" borderId="16" xfId="22" applyFont="1" applyFill="1" applyBorder="1" applyAlignment="1">
      <alignment horizontal="center" vertical="center"/>
    </xf>
    <xf numFmtId="9" fontId="48" fillId="14" borderId="19" xfId="22" applyFont="1" applyFill="1" applyBorder="1" applyAlignment="1">
      <alignment horizontal="center" vertical="center"/>
    </xf>
    <xf numFmtId="9" fontId="48" fillId="14" borderId="17" xfId="22" applyFont="1" applyFill="1" applyBorder="1" applyAlignment="1">
      <alignment horizontal="center" vertical="center"/>
    </xf>
    <xf numFmtId="49" fontId="48" fillId="24" borderId="11" xfId="0" applyNumberFormat="1" applyFont="1" applyFill="1" applyBorder="1" applyAlignment="1">
      <alignment horizontal="justify" vertical="center"/>
    </xf>
    <xf numFmtId="166" fontId="49" fillId="18" borderId="11" xfId="0" applyNumberFormat="1" applyFont="1" applyFill="1" applyBorder="1" applyAlignment="1">
      <alignment horizontal="justify" vertical="center"/>
    </xf>
    <xf numFmtId="166" fontId="96" fillId="11" borderId="11" xfId="0" applyNumberFormat="1" applyFont="1" applyFill="1" applyBorder="1" applyAlignment="1">
      <alignment horizontal="justify" vertical="center"/>
    </xf>
    <xf numFmtId="49" fontId="96" fillId="18" borderId="11" xfId="0" applyNumberFormat="1" applyFont="1" applyFill="1" applyBorder="1" applyAlignment="1">
      <alignment horizontal="justify" vertical="center" textRotation="90"/>
    </xf>
    <xf numFmtId="166" fontId="96" fillId="18" borderId="11" xfId="0" applyNumberFormat="1" applyFont="1" applyFill="1" applyBorder="1" applyAlignment="1">
      <alignment horizontal="justify" vertical="center" wrapText="1"/>
    </xf>
    <xf numFmtId="166" fontId="96" fillId="18" borderId="11" xfId="0" applyNumberFormat="1" applyFont="1" applyFill="1" applyBorder="1" applyAlignment="1">
      <alignment horizontal="justify" vertical="center"/>
    </xf>
    <xf numFmtId="166" fontId="144" fillId="0" borderId="11" xfId="0" applyNumberFormat="1" applyFont="1" applyBorder="1" applyAlignment="1">
      <alignment horizontal="justify" vertical="center"/>
    </xf>
    <xf numFmtId="166" fontId="144" fillId="14" borderId="11" xfId="0" applyNumberFormat="1" applyFont="1" applyFill="1" applyBorder="1" applyAlignment="1">
      <alignment horizontal="justify" vertical="center"/>
    </xf>
    <xf numFmtId="166" fontId="47" fillId="14" borderId="11" xfId="0" applyNumberFormat="1" applyFont="1" applyFill="1" applyBorder="1" applyAlignment="1">
      <alignment horizontal="justify" vertical="center"/>
    </xf>
    <xf numFmtId="166" fontId="96" fillId="24" borderId="11" xfId="0" applyNumberFormat="1" applyFont="1" applyFill="1" applyBorder="1" applyAlignment="1">
      <alignment horizontal="justify" vertical="center"/>
    </xf>
    <xf numFmtId="49" fontId="48" fillId="18" borderId="9" xfId="0" applyNumberFormat="1" applyFont="1" applyFill="1" applyBorder="1" applyAlignment="1">
      <alignment horizontal="left" vertical="center"/>
    </xf>
    <xf numFmtId="49" fontId="48" fillId="18" borderId="7" xfId="0" applyNumberFormat="1" applyFont="1" applyFill="1" applyBorder="1" applyAlignment="1">
      <alignment horizontal="left" vertical="center"/>
    </xf>
    <xf numFmtId="49" fontId="96" fillId="18" borderId="17" xfId="0" applyNumberFormat="1" applyFont="1" applyFill="1" applyBorder="1" applyAlignment="1">
      <alignment horizontal="left" vertical="center" wrapText="1"/>
    </xf>
    <xf numFmtId="49" fontId="96" fillId="18" borderId="16" xfId="0" applyNumberFormat="1" applyFont="1" applyFill="1" applyBorder="1" applyAlignment="1">
      <alignment horizontal="left" vertical="center" wrapText="1"/>
    </xf>
    <xf numFmtId="49" fontId="96" fillId="18" borderId="17" xfId="0" applyNumberFormat="1" applyFont="1" applyFill="1" applyBorder="1" applyAlignment="1">
      <alignment horizontal="left" vertical="center" textRotation="90"/>
    </xf>
    <xf numFmtId="49" fontId="96" fillId="18" borderId="16" xfId="0" applyNumberFormat="1" applyFont="1" applyFill="1" applyBorder="1" applyAlignment="1">
      <alignment horizontal="left" vertical="center" textRotation="90"/>
    </xf>
    <xf numFmtId="166" fontId="49" fillId="18" borderId="23" xfId="0" applyNumberFormat="1" applyFont="1" applyFill="1" applyBorder="1" applyAlignment="1">
      <alignment horizontal="left" vertical="center"/>
    </xf>
    <xf numFmtId="166" fontId="49" fillId="18" borderId="32" xfId="0" applyNumberFormat="1" applyFont="1" applyFill="1" applyBorder="1" applyAlignment="1">
      <alignment horizontal="left" vertical="center"/>
    </xf>
    <xf numFmtId="166" fontId="49" fillId="18" borderId="24" xfId="0" applyNumberFormat="1" applyFont="1" applyFill="1" applyBorder="1" applyAlignment="1">
      <alignment horizontal="left" vertical="center"/>
    </xf>
    <xf numFmtId="166" fontId="96" fillId="18" borderId="11" xfId="0" applyNumberFormat="1" applyFont="1" applyFill="1" applyBorder="1" applyAlignment="1">
      <alignment horizontal="left" vertical="center" wrapText="1"/>
    </xf>
    <xf numFmtId="166" fontId="96" fillId="18" borderId="11" xfId="0" applyNumberFormat="1" applyFont="1" applyFill="1" applyBorder="1" applyAlignment="1">
      <alignment horizontal="left" vertical="center"/>
    </xf>
    <xf numFmtId="49" fontId="48" fillId="43" borderId="7" xfId="0" applyNumberFormat="1" applyFont="1" applyFill="1" applyBorder="1" applyAlignment="1">
      <alignment horizontal="center" vertical="center"/>
    </xf>
    <xf numFmtId="49" fontId="48" fillId="43" borderId="15" xfId="0" applyNumberFormat="1" applyFont="1" applyFill="1" applyBorder="1" applyAlignment="1">
      <alignment horizontal="center" vertical="center"/>
    </xf>
    <xf numFmtId="49" fontId="48" fillId="43" borderId="9" xfId="0" applyNumberFormat="1" applyFont="1" applyFill="1" applyBorder="1" applyAlignment="1">
      <alignment horizontal="center" vertical="center"/>
    </xf>
    <xf numFmtId="166" fontId="49" fillId="43" borderId="16" xfId="0" applyNumberFormat="1" applyFont="1" applyFill="1" applyBorder="1" applyAlignment="1">
      <alignment horizontal="left" vertical="center"/>
    </xf>
    <xf numFmtId="166" fontId="49" fillId="43" borderId="19" xfId="0" applyNumberFormat="1" applyFont="1" applyFill="1" applyBorder="1" applyAlignment="1">
      <alignment horizontal="left" vertical="center"/>
    </xf>
    <xf numFmtId="166" fontId="49" fillId="43" borderId="17" xfId="0" applyNumberFormat="1" applyFont="1" applyFill="1" applyBorder="1" applyAlignment="1">
      <alignment horizontal="left" vertical="center"/>
    </xf>
    <xf numFmtId="166" fontId="96" fillId="43" borderId="16" xfId="0" applyNumberFormat="1" applyFont="1" applyFill="1" applyBorder="1" applyAlignment="1">
      <alignment horizontal="left" vertical="center" wrapText="1"/>
    </xf>
    <xf numFmtId="166" fontId="96" fillId="43" borderId="19" xfId="0" applyNumberFormat="1" applyFont="1" applyFill="1" applyBorder="1" applyAlignment="1">
      <alignment horizontal="left" vertical="center" wrapText="1"/>
    </xf>
    <xf numFmtId="166" fontId="96" fillId="43" borderId="17" xfId="0" applyNumberFormat="1" applyFont="1" applyFill="1" applyBorder="1" applyAlignment="1">
      <alignment horizontal="left" vertical="center" wrapText="1"/>
    </xf>
    <xf numFmtId="49" fontId="48" fillId="24" borderId="9" xfId="0" applyNumberFormat="1" applyFont="1" applyFill="1" applyBorder="1" applyAlignment="1">
      <alignment horizontal="left" vertical="center"/>
    </xf>
    <xf numFmtId="49" fontId="48" fillId="24" borderId="6" xfId="0" applyNumberFormat="1" applyFont="1" applyFill="1" applyBorder="1" applyAlignment="1">
      <alignment horizontal="left" vertical="center"/>
    </xf>
    <xf numFmtId="49" fontId="96" fillId="24" borderId="17" xfId="0" applyNumberFormat="1" applyFont="1" applyFill="1" applyBorder="1" applyAlignment="1">
      <alignment horizontal="left" vertical="center" textRotation="90"/>
    </xf>
    <xf numFmtId="49" fontId="96" fillId="24" borderId="11" xfId="0" applyNumberFormat="1" applyFont="1" applyFill="1" applyBorder="1" applyAlignment="1">
      <alignment horizontal="left" vertical="center" textRotation="90"/>
    </xf>
    <xf numFmtId="166" fontId="49" fillId="24" borderId="32" xfId="0" applyNumberFormat="1" applyFont="1" applyFill="1" applyBorder="1" applyAlignment="1">
      <alignment horizontal="left" vertical="center"/>
    </xf>
    <xf numFmtId="166" fontId="49" fillId="24" borderId="24" xfId="0" applyNumberFormat="1" applyFont="1" applyFill="1" applyBorder="1" applyAlignment="1">
      <alignment horizontal="left" vertical="center"/>
    </xf>
    <xf numFmtId="166" fontId="96" fillId="24" borderId="11" xfId="0" applyNumberFormat="1" applyFont="1" applyFill="1" applyBorder="1" applyAlignment="1">
      <alignment horizontal="left" vertical="center" wrapText="1"/>
    </xf>
    <xf numFmtId="166" fontId="96" fillId="24" borderId="11" xfId="0" applyNumberFormat="1" applyFont="1" applyFill="1" applyBorder="1" applyAlignment="1">
      <alignment horizontal="left" vertical="center"/>
    </xf>
    <xf numFmtId="49" fontId="96" fillId="43" borderId="59" xfId="0" applyNumberFormat="1" applyFont="1" applyFill="1" applyBorder="1" applyAlignment="1">
      <alignment horizontal="left" vertical="center" wrapText="1"/>
    </xf>
    <xf numFmtId="49" fontId="96" fillId="43" borderId="60" xfId="0" applyNumberFormat="1" applyFont="1" applyFill="1" applyBorder="1" applyAlignment="1">
      <alignment horizontal="left" vertical="center" wrapText="1"/>
    </xf>
    <xf numFmtId="49" fontId="96" fillId="43" borderId="61" xfId="0" applyNumberFormat="1" applyFont="1" applyFill="1" applyBorder="1" applyAlignment="1">
      <alignment horizontal="left" vertical="center" wrapText="1"/>
    </xf>
    <xf numFmtId="49" fontId="96" fillId="24" borderId="23" xfId="0" applyNumberFormat="1" applyFont="1" applyFill="1" applyBorder="1" applyAlignment="1">
      <alignment horizontal="justify" vertical="center" wrapText="1"/>
    </xf>
    <xf numFmtId="49" fontId="96" fillId="24" borderId="32" xfId="0" applyNumberFormat="1" applyFont="1" applyFill="1" applyBorder="1" applyAlignment="1">
      <alignment horizontal="justify" vertical="center" wrapText="1"/>
    </xf>
    <xf numFmtId="49" fontId="96" fillId="24" borderId="24" xfId="0" applyNumberFormat="1" applyFont="1" applyFill="1" applyBorder="1" applyAlignment="1">
      <alignment horizontal="justify" vertical="center" wrapText="1"/>
    </xf>
    <xf numFmtId="49" fontId="96" fillId="11" borderId="23" xfId="0" applyNumberFormat="1" applyFont="1" applyFill="1" applyBorder="1" applyAlignment="1">
      <alignment horizontal="justify" vertical="center" wrapText="1"/>
    </xf>
    <xf numFmtId="49" fontId="96" fillId="11" borderId="32" xfId="0" applyNumberFormat="1" applyFont="1" applyFill="1" applyBorder="1" applyAlignment="1">
      <alignment horizontal="justify" vertical="center" wrapText="1"/>
    </xf>
    <xf numFmtId="49" fontId="96" fillId="11" borderId="24" xfId="0" applyNumberFormat="1" applyFont="1" applyFill="1" applyBorder="1" applyAlignment="1">
      <alignment horizontal="justify" vertical="center" wrapText="1"/>
    </xf>
    <xf numFmtId="49" fontId="96" fillId="18" borderId="23" xfId="0" applyNumberFormat="1" applyFont="1" applyFill="1" applyBorder="1" applyAlignment="1">
      <alignment horizontal="justify" vertical="center" wrapText="1"/>
    </xf>
    <xf numFmtId="49" fontId="96" fillId="18" borderId="32" xfId="0" applyNumberFormat="1" applyFont="1" applyFill="1" applyBorder="1" applyAlignment="1">
      <alignment horizontal="justify" vertical="center" wrapText="1"/>
    </xf>
    <xf numFmtId="49" fontId="96" fillId="18" borderId="24" xfId="0" applyNumberFormat="1" applyFont="1" applyFill="1" applyBorder="1" applyAlignment="1">
      <alignment horizontal="justify" vertical="center" wrapText="1"/>
    </xf>
    <xf numFmtId="9" fontId="47" fillId="14" borderId="11" xfId="22" applyFont="1" applyFill="1" applyBorder="1" applyAlignment="1">
      <alignment horizontal="justify" vertical="center"/>
    </xf>
    <xf numFmtId="166" fontId="83" fillId="14" borderId="11" xfId="0" applyNumberFormat="1" applyFont="1" applyFill="1" applyBorder="1" applyAlignment="1">
      <alignment horizontal="justify" vertical="center"/>
    </xf>
    <xf numFmtId="9" fontId="48" fillId="0" borderId="16" xfId="22" applyFont="1" applyFill="1" applyBorder="1" applyAlignment="1">
      <alignment horizontal="center" vertical="center" wrapText="1"/>
    </xf>
    <xf numFmtId="9" fontId="48" fillId="0" borderId="17" xfId="22" applyFont="1" applyFill="1" applyBorder="1" applyAlignment="1">
      <alignment horizontal="center" vertical="center" wrapText="1"/>
    </xf>
    <xf numFmtId="0" fontId="47" fillId="14" borderId="11" xfId="0" applyFont="1" applyFill="1" applyBorder="1" applyAlignment="1">
      <alignment horizontal="justify" vertical="center"/>
    </xf>
    <xf numFmtId="166" fontId="84" fillId="14" borderId="11" xfId="0" applyNumberFormat="1" applyFont="1" applyFill="1" applyBorder="1" applyAlignment="1">
      <alignment horizontal="justify" vertical="center"/>
    </xf>
    <xf numFmtId="9" fontId="84" fillId="14" borderId="11" xfId="22" applyFont="1" applyFill="1" applyBorder="1" applyAlignment="1">
      <alignment horizontal="justify" vertical="center"/>
    </xf>
    <xf numFmtId="166" fontId="48" fillId="40" borderId="11" xfId="0" applyNumberFormat="1" applyFont="1" applyFill="1" applyBorder="1" applyAlignment="1">
      <alignment horizontal="justify" vertical="center"/>
    </xf>
    <xf numFmtId="9" fontId="48" fillId="0" borderId="16" xfId="22" applyFont="1" applyFill="1" applyBorder="1" applyAlignment="1">
      <alignment horizontal="center" vertical="center"/>
    </xf>
    <xf numFmtId="9" fontId="48" fillId="0" borderId="19" xfId="22" applyFont="1" applyFill="1" applyBorder="1" applyAlignment="1">
      <alignment horizontal="center" vertical="center"/>
    </xf>
    <xf numFmtId="9" fontId="48" fillId="0" borderId="17" xfId="22" applyFont="1" applyFill="1" applyBorder="1" applyAlignment="1">
      <alignment horizontal="center" vertical="center"/>
    </xf>
    <xf numFmtId="0" fontId="48" fillId="40" borderId="11" xfId="0" applyFont="1" applyFill="1" applyBorder="1" applyAlignment="1">
      <alignment horizontal="justify" vertical="center" textRotation="90" wrapText="1"/>
    </xf>
    <xf numFmtId="0" fontId="47" fillId="41" borderId="11" xfId="0" applyFont="1" applyFill="1" applyBorder="1" applyAlignment="1">
      <alignment horizontal="justify" vertical="center" wrapText="1"/>
    </xf>
    <xf numFmtId="0" fontId="85" fillId="0" borderId="16" xfId="0" applyFont="1" applyBorder="1" applyAlignment="1">
      <alignment horizontal="center" vertical="center" wrapText="1"/>
    </xf>
    <xf numFmtId="0" fontId="85" fillId="0" borderId="19" xfId="0" applyFont="1" applyBorder="1" applyAlignment="1">
      <alignment horizontal="center" vertical="center" wrapText="1"/>
    </xf>
    <xf numFmtId="0" fontId="49" fillId="0" borderId="0" xfId="0" applyFont="1" applyAlignment="1">
      <alignment horizontal="left" vertical="center"/>
    </xf>
    <xf numFmtId="49" fontId="91" fillId="0" borderId="16" xfId="0" applyNumberFormat="1" applyFont="1" applyBorder="1" applyAlignment="1">
      <alignment horizontal="left" vertical="center" wrapText="1"/>
    </xf>
    <xf numFmtId="49" fontId="91" fillId="0" borderId="17" xfId="0" applyNumberFormat="1" applyFont="1" applyBorder="1" applyAlignment="1">
      <alignment horizontal="left" vertical="center" wrapText="1"/>
    </xf>
    <xf numFmtId="0" fontId="96" fillId="24" borderId="16" xfId="0" applyFont="1" applyFill="1" applyBorder="1" applyAlignment="1">
      <alignment horizontal="left" vertical="center" wrapText="1"/>
    </xf>
    <xf numFmtId="0" fontId="96" fillId="24" borderId="17" xfId="0" applyFont="1" applyFill="1" applyBorder="1" applyAlignment="1">
      <alignment horizontal="left" vertical="center" wrapText="1"/>
    </xf>
    <xf numFmtId="49" fontId="91" fillId="0" borderId="11" xfId="0" applyNumberFormat="1" applyFont="1" applyBorder="1" applyAlignment="1">
      <alignment horizontal="justify" vertical="center"/>
    </xf>
    <xf numFmtId="0" fontId="101" fillId="0" borderId="11" xfId="0" applyFont="1" applyBorder="1" applyAlignment="1">
      <alignment horizontal="justify" vertical="center" wrapText="1"/>
    </xf>
    <xf numFmtId="0" fontId="91" fillId="4" borderId="11" xfId="0" applyFont="1" applyFill="1" applyBorder="1" applyAlignment="1">
      <alignment horizontal="justify" vertical="center" textRotation="90" wrapText="1"/>
    </xf>
    <xf numFmtId="0" fontId="91" fillId="25" borderId="11" xfId="0" applyFont="1" applyFill="1" applyBorder="1" applyAlignment="1">
      <alignment horizontal="justify" vertical="center" textRotation="90" wrapText="1"/>
    </xf>
    <xf numFmtId="0" fontId="101" fillId="4" borderId="11" xfId="0" applyFont="1" applyFill="1" applyBorder="1" applyAlignment="1">
      <alignment horizontal="justify" vertical="center" wrapText="1"/>
    </xf>
    <xf numFmtId="49" fontId="91" fillId="24" borderId="11" xfId="0" applyNumberFormat="1" applyFont="1" applyFill="1" applyBorder="1" applyAlignment="1">
      <alignment horizontal="justify" vertical="center"/>
    </xf>
    <xf numFmtId="49" fontId="49" fillId="20" borderId="11" xfId="0" applyNumberFormat="1" applyFont="1" applyFill="1" applyBorder="1" applyAlignment="1">
      <alignment horizontal="justify" vertical="center"/>
    </xf>
    <xf numFmtId="0" fontId="104" fillId="24" borderId="11" xfId="0" applyFont="1" applyFill="1" applyBorder="1" applyAlignment="1">
      <alignment horizontal="justify" vertical="center" wrapText="1"/>
    </xf>
    <xf numFmtId="0" fontId="96" fillId="24" borderId="11" xfId="0" applyFont="1" applyFill="1" applyBorder="1" applyAlignment="1">
      <alignment horizontal="justify" vertical="center"/>
    </xf>
    <xf numFmtId="0" fontId="101" fillId="0" borderId="12" xfId="0" applyFont="1" applyBorder="1" applyAlignment="1">
      <alignment horizontal="center" vertical="center" wrapText="1"/>
    </xf>
    <xf numFmtId="0" fontId="101" fillId="0" borderId="26" xfId="0" applyFont="1" applyBorder="1" applyAlignment="1">
      <alignment horizontal="center" vertical="center" wrapText="1"/>
    </xf>
    <xf numFmtId="0" fontId="101" fillId="0" borderId="14" xfId="0" applyFont="1" applyBorder="1" applyAlignment="1">
      <alignment horizontal="center" vertical="center" wrapText="1"/>
    </xf>
    <xf numFmtId="0" fontId="91" fillId="0" borderId="11" xfId="0" applyFont="1" applyBorder="1" applyAlignment="1">
      <alignment horizontal="justify" vertical="center" textRotation="90" wrapText="1"/>
    </xf>
    <xf numFmtId="49" fontId="101" fillId="0" borderId="11" xfId="0" applyNumberFormat="1" applyFont="1" applyBorder="1" applyAlignment="1">
      <alignment horizontal="justify" vertical="center" wrapText="1"/>
    </xf>
    <xf numFmtId="0" fontId="101" fillId="0" borderId="11" xfId="0" applyFont="1" applyBorder="1" applyAlignment="1">
      <alignment horizontal="center" vertical="center" wrapText="1"/>
    </xf>
    <xf numFmtId="0" fontId="101" fillId="0" borderId="11" xfId="0" applyFont="1" applyBorder="1" applyAlignment="1">
      <alignment horizontal="center" vertical="center" textRotation="90" wrapText="1"/>
    </xf>
    <xf numFmtId="0" fontId="101" fillId="5" borderId="11" xfId="0" applyFont="1" applyFill="1" applyBorder="1" applyAlignment="1">
      <alignment horizontal="center" vertical="center" wrapText="1"/>
    </xf>
    <xf numFmtId="0" fontId="101" fillId="16" borderId="11" xfId="0" applyFont="1" applyFill="1" applyBorder="1" applyAlignment="1">
      <alignment horizontal="center" vertical="center" wrapText="1"/>
    </xf>
    <xf numFmtId="166" fontId="91" fillId="0" borderId="11" xfId="0" applyNumberFormat="1" applyFont="1" applyBorder="1" applyAlignment="1">
      <alignment horizontal="justify" vertical="center"/>
    </xf>
    <xf numFmtId="0" fontId="0" fillId="0" borderId="0" xfId="0" applyAlignment="1">
      <alignment horizontal="left" vertical="center" wrapText="1"/>
    </xf>
    <xf numFmtId="0" fontId="91" fillId="0" borderId="0" xfId="0" applyFont="1" applyAlignment="1">
      <alignment horizontal="left" vertical="center" wrapText="1"/>
    </xf>
    <xf numFmtId="166" fontId="101" fillId="0" borderId="11" xfId="0" applyNumberFormat="1" applyFont="1" applyBorder="1" applyAlignment="1">
      <alignment horizontal="center" vertical="center"/>
    </xf>
    <xf numFmtId="49" fontId="91" fillId="0" borderId="11" xfId="0" applyNumberFormat="1" applyFont="1" applyBorder="1" applyAlignment="1">
      <alignment horizontal="justify" vertical="center" textRotation="90"/>
    </xf>
    <xf numFmtId="49" fontId="91" fillId="28" borderId="11" xfId="0" applyNumberFormat="1" applyFont="1" applyFill="1" applyBorder="1" applyAlignment="1">
      <alignment horizontal="justify" vertical="center" wrapText="1"/>
    </xf>
    <xf numFmtId="0" fontId="102" fillId="0" borderId="11" xfId="0" applyFont="1" applyBorder="1" applyAlignment="1">
      <alignment horizontal="center" vertical="center" wrapText="1"/>
    </xf>
    <xf numFmtId="49" fontId="95" fillId="0" borderId="11" xfId="0" applyNumberFormat="1" applyFont="1" applyBorder="1" applyAlignment="1">
      <alignment horizontal="justify" vertical="center" wrapText="1"/>
    </xf>
    <xf numFmtId="49" fontId="91" fillId="28" borderId="19" xfId="0" applyNumberFormat="1" applyFont="1" applyFill="1" applyBorder="1" applyAlignment="1">
      <alignment horizontal="left" vertical="center" wrapText="1"/>
    </xf>
    <xf numFmtId="0" fontId="101" fillId="0" borderId="11" xfId="0" applyFont="1" applyBorder="1" applyAlignment="1">
      <alignment horizontal="left" vertical="center" wrapText="1"/>
    </xf>
    <xf numFmtId="0" fontId="91" fillId="4" borderId="9" xfId="0" applyFont="1" applyFill="1" applyBorder="1" applyAlignment="1">
      <alignment horizontal="left" vertical="center" textRotation="90" wrapText="1"/>
    </xf>
    <xf numFmtId="0" fontId="91" fillId="4" borderId="6" xfId="0" applyFont="1" applyFill="1" applyBorder="1" applyAlignment="1">
      <alignment horizontal="left" vertical="center" textRotation="90" wrapText="1"/>
    </xf>
    <xf numFmtId="0" fontId="91" fillId="0" borderId="11" xfId="0" applyFont="1" applyBorder="1" applyAlignment="1">
      <alignment horizontal="left" vertical="center" wrapText="1"/>
    </xf>
    <xf numFmtId="0" fontId="91" fillId="11" borderId="11" xfId="0" applyFont="1" applyFill="1" applyBorder="1" applyAlignment="1">
      <alignment horizontal="left" vertical="center"/>
    </xf>
    <xf numFmtId="0" fontId="101" fillId="0" borderId="16" xfId="0" applyFont="1" applyBorder="1" applyAlignment="1">
      <alignment horizontal="left" vertical="center"/>
    </xf>
    <xf numFmtId="0" fontId="101" fillId="0" borderId="19" xfId="0" applyFont="1" applyBorder="1" applyAlignment="1">
      <alignment horizontal="left" vertical="center"/>
    </xf>
    <xf numFmtId="0" fontId="101" fillId="0" borderId="17" xfId="0" applyFont="1" applyBorder="1" applyAlignment="1">
      <alignment horizontal="left" vertical="center"/>
    </xf>
    <xf numFmtId="166" fontId="101" fillId="0" borderId="23" xfId="0" applyNumberFormat="1" applyFont="1" applyBorder="1" applyAlignment="1">
      <alignment horizontal="center" vertical="center"/>
    </xf>
    <xf numFmtId="166" fontId="101" fillId="0" borderId="32" xfId="0" applyNumberFormat="1" applyFont="1" applyBorder="1" applyAlignment="1">
      <alignment horizontal="center" vertical="center"/>
    </xf>
    <xf numFmtId="166" fontId="91" fillId="0" borderId="19" xfId="0" applyNumberFormat="1" applyFont="1" applyBorder="1" applyAlignment="1">
      <alignment horizontal="left" vertical="center" wrapText="1"/>
    </xf>
    <xf numFmtId="166" fontId="91" fillId="0" borderId="19" xfId="0" applyNumberFormat="1" applyFont="1" applyBorder="1" applyAlignment="1">
      <alignment horizontal="left" vertical="center"/>
    </xf>
    <xf numFmtId="49" fontId="101" fillId="0" borderId="9" xfId="0" applyNumberFormat="1" applyFont="1" applyBorder="1" applyAlignment="1">
      <alignment horizontal="left" vertical="center"/>
    </xf>
    <xf numFmtId="49" fontId="101" fillId="0" borderId="6" xfId="0" applyNumberFormat="1" applyFont="1" applyBorder="1" applyAlignment="1">
      <alignment horizontal="left" vertical="center"/>
    </xf>
    <xf numFmtId="0" fontId="101" fillId="0" borderId="9" xfId="0" applyFont="1" applyBorder="1" applyAlignment="1">
      <alignment horizontal="left" vertical="center" wrapText="1"/>
    </xf>
    <xf numFmtId="0" fontId="101" fillId="0" borderId="6" xfId="0" applyFont="1" applyBorder="1" applyAlignment="1">
      <alignment horizontal="left" vertical="center" wrapText="1"/>
    </xf>
    <xf numFmtId="0" fontId="35" fillId="0" borderId="0" xfId="0" applyFont="1" applyAlignment="1">
      <alignment horizontal="left" vertical="center" wrapText="1"/>
    </xf>
    <xf numFmtId="166" fontId="177" fillId="0" borderId="11" xfId="0" applyNumberFormat="1" applyFont="1" applyBorder="1" applyAlignment="1">
      <alignment horizontal="justify" vertical="center" wrapText="1"/>
    </xf>
    <xf numFmtId="166" fontId="177" fillId="0" borderId="11" xfId="0" applyNumberFormat="1" applyFont="1" applyBorder="1" applyAlignment="1">
      <alignment horizontal="justify" vertical="center"/>
    </xf>
    <xf numFmtId="49" fontId="91" fillId="24" borderId="16" xfId="0" applyNumberFormat="1" applyFont="1" applyFill="1" applyBorder="1" applyAlignment="1">
      <alignment horizontal="center" vertical="center" wrapText="1"/>
    </xf>
    <xf numFmtId="49" fontId="91" fillId="24" borderId="19" xfId="0" applyNumberFormat="1" applyFont="1" applyFill="1" applyBorder="1" applyAlignment="1">
      <alignment horizontal="center" vertical="center" wrapText="1"/>
    </xf>
    <xf numFmtId="49" fontId="91" fillId="24" borderId="17" xfId="0" applyNumberFormat="1" applyFont="1" applyFill="1" applyBorder="1" applyAlignment="1">
      <alignment horizontal="center" vertical="center" wrapText="1"/>
    </xf>
    <xf numFmtId="166" fontId="95" fillId="0" borderId="11" xfId="0" applyNumberFormat="1" applyFont="1" applyBorder="1" applyAlignment="1">
      <alignment horizontal="justify" vertical="center" wrapText="1"/>
    </xf>
    <xf numFmtId="166" fontId="95" fillId="0" borderId="11" xfId="0" applyNumberFormat="1" applyFont="1" applyBorder="1" applyAlignment="1">
      <alignment horizontal="justify" vertical="center"/>
    </xf>
    <xf numFmtId="49" fontId="177" fillId="0" borderId="11" xfId="0" applyNumberFormat="1" applyFont="1" applyBorder="1" applyAlignment="1">
      <alignment horizontal="justify" vertical="center" wrapText="1"/>
    </xf>
    <xf numFmtId="0" fontId="101" fillId="0" borderId="0" xfId="0" applyFont="1" applyAlignment="1">
      <alignment horizontal="center" vertical="center" wrapText="1"/>
    </xf>
    <xf numFmtId="49" fontId="91" fillId="28" borderId="11" xfId="0" applyNumberFormat="1" applyFont="1" applyFill="1" applyBorder="1" applyAlignment="1">
      <alignment horizontal="center" vertical="center" wrapText="1"/>
    </xf>
    <xf numFmtId="166" fontId="91" fillId="24" borderId="11" xfId="0" applyNumberFormat="1" applyFont="1" applyFill="1" applyBorder="1" applyAlignment="1">
      <alignment horizontal="justify" vertical="center" wrapText="1"/>
    </xf>
    <xf numFmtId="0" fontId="60" fillId="0" borderId="32" xfId="0" applyFont="1" applyBorder="1" applyAlignment="1">
      <alignment horizontal="center" vertical="center" wrapText="1"/>
    </xf>
    <xf numFmtId="166" fontId="146" fillId="24" borderId="11" xfId="0" applyNumberFormat="1" applyFont="1" applyFill="1" applyBorder="1" applyAlignment="1">
      <alignment horizontal="justify" vertical="center"/>
    </xf>
    <xf numFmtId="166" fontId="145" fillId="24" borderId="11" xfId="0" applyNumberFormat="1" applyFont="1" applyFill="1" applyBorder="1" applyAlignment="1">
      <alignment horizontal="justify" vertical="center"/>
    </xf>
    <xf numFmtId="0" fontId="48" fillId="25" borderId="11" xfId="0" applyFont="1" applyFill="1" applyBorder="1" applyAlignment="1">
      <alignment horizontal="justify" vertical="center" wrapText="1"/>
    </xf>
    <xf numFmtId="0" fontId="48" fillId="25" borderId="11" xfId="0" applyFont="1" applyFill="1" applyBorder="1" applyAlignment="1">
      <alignment horizontal="justify" vertical="center" textRotation="90" wrapText="1"/>
    </xf>
    <xf numFmtId="166" fontId="48" fillId="24" borderId="11" xfId="0" applyNumberFormat="1" applyFont="1" applyFill="1" applyBorder="1" applyAlignment="1">
      <alignment horizontal="justify" vertical="center"/>
    </xf>
    <xf numFmtId="49" fontId="48" fillId="24" borderId="11" xfId="0" applyNumberFormat="1" applyFont="1" applyFill="1" applyBorder="1" applyAlignment="1">
      <alignment horizontal="justify" vertical="center" wrapText="1"/>
    </xf>
    <xf numFmtId="49" fontId="48" fillId="19" borderId="11" xfId="0" applyNumberFormat="1" applyFont="1" applyFill="1" applyBorder="1" applyAlignment="1">
      <alignment horizontal="justify" vertical="center" wrapText="1"/>
    </xf>
    <xf numFmtId="49" fontId="48" fillId="0" borderId="33" xfId="0" applyNumberFormat="1" applyFont="1" applyBorder="1" applyAlignment="1">
      <alignment horizontal="center" vertical="top" wrapText="1"/>
    </xf>
    <xf numFmtId="49" fontId="48" fillId="0" borderId="32" xfId="0" applyNumberFormat="1" applyFont="1" applyBorder="1" applyAlignment="1">
      <alignment horizontal="center" vertical="top" wrapText="1"/>
    </xf>
    <xf numFmtId="49" fontId="48" fillId="0" borderId="28" xfId="0" applyNumberFormat="1" applyFont="1" applyBorder="1" applyAlignment="1">
      <alignment horizontal="center" vertical="top" wrapText="1"/>
    </xf>
    <xf numFmtId="49" fontId="48" fillId="0" borderId="24" xfId="0" applyNumberFormat="1" applyFont="1" applyBorder="1" applyAlignment="1">
      <alignment horizontal="center" vertical="top" wrapText="1"/>
    </xf>
    <xf numFmtId="0" fontId="47" fillId="23" borderId="12" xfId="0" applyFont="1" applyFill="1" applyBorder="1" applyAlignment="1">
      <alignment vertical="top" wrapText="1"/>
    </xf>
    <xf numFmtId="0" fontId="47" fillId="23" borderId="14" xfId="0" applyFont="1" applyFill="1" applyBorder="1" applyAlignment="1">
      <alignment vertical="top"/>
    </xf>
    <xf numFmtId="49" fontId="48" fillId="0" borderId="22" xfId="0" applyNumberFormat="1" applyFont="1" applyBorder="1" applyAlignment="1">
      <alignment horizontal="left" vertical="top" wrapText="1"/>
    </xf>
    <xf numFmtId="49" fontId="48" fillId="0" borderId="23" xfId="0" applyNumberFormat="1" applyFont="1" applyBorder="1" applyAlignment="1">
      <alignment horizontal="left" vertical="top" wrapText="1"/>
    </xf>
    <xf numFmtId="49" fontId="48" fillId="0" borderId="33" xfId="0" applyNumberFormat="1" applyFont="1" applyBorder="1" applyAlignment="1">
      <alignment horizontal="left" vertical="top" wrapText="1"/>
    </xf>
    <xf numFmtId="49" fontId="48" fillId="0" borderId="32" xfId="0" applyNumberFormat="1" applyFont="1" applyBorder="1" applyAlignment="1">
      <alignment horizontal="left" vertical="top" wrapText="1"/>
    </xf>
    <xf numFmtId="49" fontId="48" fillId="0" borderId="28" xfId="0" applyNumberFormat="1" applyFont="1" applyBorder="1" applyAlignment="1">
      <alignment horizontal="left" vertical="top" wrapText="1"/>
    </xf>
    <xf numFmtId="49" fontId="48" fillId="0" borderId="24" xfId="0" applyNumberFormat="1" applyFont="1" applyBorder="1" applyAlignment="1">
      <alignment horizontal="left" vertical="top" wrapText="1"/>
    </xf>
    <xf numFmtId="0" fontId="43" fillId="0" borderId="0" xfId="0" applyFont="1" applyAlignment="1">
      <alignment horizontal="center" vertical="center"/>
    </xf>
    <xf numFmtId="2" fontId="48" fillId="0" borderId="11" xfId="0" applyNumberFormat="1" applyFont="1" applyBorder="1" applyAlignment="1">
      <alignment horizontal="justify" vertical="center" wrapText="1"/>
    </xf>
    <xf numFmtId="0" fontId="48" fillId="11" borderId="11" xfId="0" applyFont="1" applyFill="1" applyBorder="1" applyAlignment="1">
      <alignment horizontal="center"/>
    </xf>
    <xf numFmtId="0" fontId="48" fillId="38" borderId="11" xfId="0" applyFont="1" applyFill="1" applyBorder="1" applyAlignment="1">
      <alignment horizontal="justify" vertical="center" textRotation="90" wrapText="1"/>
    </xf>
    <xf numFmtId="166" fontId="49" fillId="24" borderId="11" xfId="0" applyNumberFormat="1" applyFont="1" applyFill="1" applyBorder="1" applyAlignment="1">
      <alignment horizontal="center" vertical="center"/>
    </xf>
    <xf numFmtId="49" fontId="47" fillId="24" borderId="19" xfId="0" applyNumberFormat="1" applyFont="1" applyFill="1" applyBorder="1" applyAlignment="1">
      <alignment horizontal="center" vertical="center" wrapText="1"/>
    </xf>
    <xf numFmtId="49" fontId="47" fillId="24" borderId="17" xfId="0" applyNumberFormat="1" applyFont="1" applyFill="1" applyBorder="1" applyAlignment="1">
      <alignment horizontal="center" vertical="center" wrapText="1"/>
    </xf>
    <xf numFmtId="49" fontId="108" fillId="0" borderId="11" xfId="0" applyNumberFormat="1" applyFont="1" applyBorder="1" applyAlignment="1">
      <alignment horizontal="justify" vertical="center" wrapText="1"/>
    </xf>
    <xf numFmtId="49" fontId="47" fillId="23" borderId="11" xfId="0" applyNumberFormat="1" applyFont="1" applyFill="1" applyBorder="1" applyAlignment="1">
      <alignment vertical="top" wrapText="1"/>
    </xf>
    <xf numFmtId="49" fontId="48" fillId="0" borderId="11" xfId="0" applyNumberFormat="1" applyFont="1" applyBorder="1" applyAlignment="1">
      <alignment vertical="center" wrapText="1"/>
    </xf>
    <xf numFmtId="0" fontId="96" fillId="24" borderId="12" xfId="0" applyFont="1" applyFill="1" applyBorder="1" applyAlignment="1">
      <alignment horizontal="left" vertical="top" wrapText="1"/>
    </xf>
    <xf numFmtId="0" fontId="96" fillId="24" borderId="26" xfId="0" applyFont="1" applyFill="1" applyBorder="1" applyAlignment="1">
      <alignment horizontal="left" vertical="top" wrapText="1"/>
    </xf>
    <xf numFmtId="0" fontId="96" fillId="24" borderId="14" xfId="0" applyFont="1" applyFill="1" applyBorder="1" applyAlignment="1">
      <alignment horizontal="left" vertical="top" wrapText="1"/>
    </xf>
    <xf numFmtId="49" fontId="47" fillId="0" borderId="22" xfId="0" applyNumberFormat="1" applyFont="1" applyBorder="1" applyAlignment="1">
      <alignment horizontal="center" vertical="center" wrapText="1"/>
    </xf>
    <xf numFmtId="49" fontId="47" fillId="0" borderId="23" xfId="0" applyNumberFormat="1" applyFont="1" applyBorder="1" applyAlignment="1">
      <alignment horizontal="center" vertical="center" wrapText="1"/>
    </xf>
    <xf numFmtId="49" fontId="47" fillId="0" borderId="33" xfId="0" applyNumberFormat="1" applyFont="1" applyBorder="1" applyAlignment="1">
      <alignment horizontal="center" vertical="center" wrapText="1"/>
    </xf>
    <xf numFmtId="49" fontId="47" fillId="0" borderId="32" xfId="0" applyNumberFormat="1" applyFont="1" applyBorder="1" applyAlignment="1">
      <alignment horizontal="center" vertical="center" wrapText="1"/>
    </xf>
    <xf numFmtId="49" fontId="47" fillId="0" borderId="28" xfId="0" applyNumberFormat="1" applyFont="1" applyBorder="1" applyAlignment="1">
      <alignment horizontal="center" vertical="center" wrapText="1"/>
    </xf>
    <xf numFmtId="49" fontId="47" fillId="0" borderId="24" xfId="0" applyNumberFormat="1" applyFont="1" applyBorder="1" applyAlignment="1">
      <alignment horizontal="center" vertical="center" wrapText="1"/>
    </xf>
    <xf numFmtId="49" fontId="48" fillId="19" borderId="11" xfId="0" applyNumberFormat="1" applyFont="1" applyFill="1" applyBorder="1" applyAlignment="1">
      <alignment horizontal="justify" vertical="center"/>
    </xf>
    <xf numFmtId="0" fontId="47" fillId="32" borderId="11" xfId="0" applyFont="1" applyFill="1" applyBorder="1" applyAlignment="1">
      <alignment horizontal="justify" vertical="center" wrapText="1"/>
    </xf>
    <xf numFmtId="0" fontId="48" fillId="32" borderId="11" xfId="0" applyFont="1" applyFill="1" applyBorder="1" applyAlignment="1">
      <alignment horizontal="justify" vertical="center" textRotation="90" wrapText="1"/>
    </xf>
    <xf numFmtId="166" fontId="48" fillId="19" borderId="11" xfId="0" applyNumberFormat="1" applyFont="1" applyFill="1" applyBorder="1" applyAlignment="1">
      <alignment horizontal="justify" vertical="center" wrapText="1"/>
    </xf>
    <xf numFmtId="166" fontId="48" fillId="19" borderId="11" xfId="0" applyNumberFormat="1" applyFont="1" applyFill="1" applyBorder="1" applyAlignment="1">
      <alignment horizontal="justify" vertical="center"/>
    </xf>
    <xf numFmtId="49" fontId="48" fillId="24" borderId="11" xfId="0" applyNumberFormat="1" applyFont="1" applyFill="1" applyBorder="1" applyAlignment="1">
      <alignment horizontal="justify" vertical="center" textRotation="90"/>
    </xf>
    <xf numFmtId="49" fontId="48" fillId="0" borderId="11" xfId="0" applyNumberFormat="1" applyFont="1" applyBorder="1" applyAlignment="1">
      <alignment horizontal="center" vertical="top" wrapText="1"/>
    </xf>
    <xf numFmtId="0" fontId="47" fillId="19" borderId="11" xfId="0" applyFont="1" applyFill="1" applyBorder="1" applyAlignment="1">
      <alignment horizontal="justify" vertical="center" wrapText="1"/>
    </xf>
    <xf numFmtId="0" fontId="48" fillId="19" borderId="11" xfId="0" applyFont="1" applyFill="1" applyBorder="1" applyAlignment="1">
      <alignment horizontal="justify" vertical="center" textRotation="90" wrapText="1"/>
    </xf>
    <xf numFmtId="166" fontId="47" fillId="19" borderId="11" xfId="0" applyNumberFormat="1" applyFont="1" applyFill="1" applyBorder="1" applyAlignment="1">
      <alignment horizontal="center" vertical="center"/>
    </xf>
    <xf numFmtId="49" fontId="47" fillId="19" borderId="11" xfId="0" applyNumberFormat="1" applyFont="1" applyFill="1" applyBorder="1" applyAlignment="1">
      <alignment horizontal="justify" vertical="center" wrapText="1"/>
    </xf>
    <xf numFmtId="49" fontId="47" fillId="19" borderId="22" xfId="0" applyNumberFormat="1" applyFont="1" applyFill="1" applyBorder="1" applyAlignment="1">
      <alignment horizontal="center" vertical="top" wrapText="1"/>
    </xf>
    <xf numFmtId="49" fontId="47" fillId="19" borderId="23" xfId="0" applyNumberFormat="1" applyFont="1" applyFill="1" applyBorder="1" applyAlignment="1">
      <alignment horizontal="center" vertical="top" wrapText="1"/>
    </xf>
    <xf numFmtId="49" fontId="47" fillId="19" borderId="33" xfId="0" applyNumberFormat="1" applyFont="1" applyFill="1" applyBorder="1" applyAlignment="1">
      <alignment horizontal="center" vertical="top" wrapText="1"/>
    </xf>
    <xf numFmtId="49" fontId="47" fillId="19" borderId="32" xfId="0" applyNumberFormat="1" applyFont="1" applyFill="1" applyBorder="1" applyAlignment="1">
      <alignment horizontal="center" vertical="top" wrapText="1"/>
    </xf>
    <xf numFmtId="49" fontId="47" fillId="19" borderId="11" xfId="0" applyNumberFormat="1" applyFont="1" applyFill="1" applyBorder="1" applyAlignment="1">
      <alignment horizontal="center" vertical="top" wrapText="1"/>
    </xf>
    <xf numFmtId="0" fontId="48" fillId="28" borderId="11" xfId="0" applyFont="1" applyFill="1" applyBorder="1" applyAlignment="1">
      <alignment horizontal="justify" vertical="center" wrapText="1"/>
    </xf>
    <xf numFmtId="2" fontId="48" fillId="28" borderId="11" xfId="0" applyNumberFormat="1" applyFont="1" applyFill="1" applyBorder="1" applyAlignment="1">
      <alignment horizontal="justify" vertical="center" wrapText="1"/>
    </xf>
    <xf numFmtId="49" fontId="48" fillId="0" borderId="22" xfId="0" applyNumberFormat="1" applyFont="1" applyBorder="1" applyAlignment="1">
      <alignment horizontal="center" vertical="top" wrapText="1"/>
    </xf>
    <xf numFmtId="49" fontId="48" fillId="0" borderId="23" xfId="0" applyNumberFormat="1" applyFont="1" applyBorder="1" applyAlignment="1">
      <alignment horizontal="center" vertical="top" wrapText="1"/>
    </xf>
    <xf numFmtId="49" fontId="48" fillId="0" borderId="22" xfId="0" applyNumberFormat="1" applyFont="1" applyBorder="1" applyAlignment="1">
      <alignment horizontal="center" vertical="center" wrapText="1"/>
    </xf>
    <xf numFmtId="49" fontId="48" fillId="0" borderId="23" xfId="0" applyNumberFormat="1" applyFont="1" applyBorder="1" applyAlignment="1">
      <alignment horizontal="center" vertical="center" wrapText="1"/>
    </xf>
    <xf numFmtId="49" fontId="48" fillId="0" borderId="33" xfId="0" applyNumberFormat="1" applyFont="1" applyBorder="1" applyAlignment="1">
      <alignment horizontal="center" vertical="center" wrapText="1"/>
    </xf>
    <xf numFmtId="49" fontId="48" fillId="0" borderId="32" xfId="0" applyNumberFormat="1" applyFont="1" applyBorder="1" applyAlignment="1">
      <alignment horizontal="center" vertical="center" wrapText="1"/>
    </xf>
    <xf numFmtId="49" fontId="48" fillId="0" borderId="28" xfId="0" applyNumberFormat="1" applyFont="1" applyBorder="1" applyAlignment="1">
      <alignment horizontal="center" vertical="center" wrapText="1"/>
    </xf>
    <xf numFmtId="49" fontId="48" fillId="0" borderId="24" xfId="0" applyNumberFormat="1" applyFont="1" applyBorder="1" applyAlignment="1">
      <alignment horizontal="center" vertical="center" wrapText="1"/>
    </xf>
    <xf numFmtId="0" fontId="47" fillId="23" borderId="12" xfId="0" applyFont="1" applyFill="1" applyBorder="1" applyAlignment="1">
      <alignment horizontal="left" vertical="top" wrapText="1"/>
    </xf>
    <xf numFmtId="0" fontId="47" fillId="23" borderId="14" xfId="0" applyFont="1" applyFill="1" applyBorder="1" applyAlignment="1">
      <alignment horizontal="left" vertical="top"/>
    </xf>
    <xf numFmtId="49" fontId="48" fillId="37" borderId="11" xfId="0" applyNumberFormat="1" applyFont="1" applyFill="1" applyBorder="1" applyAlignment="1">
      <alignment horizontal="justify" vertical="center"/>
    </xf>
    <xf numFmtId="0" fontId="49" fillId="38" borderId="11" xfId="0" applyFont="1" applyFill="1" applyBorder="1" applyAlignment="1">
      <alignment horizontal="justify" vertical="center" wrapText="1"/>
    </xf>
    <xf numFmtId="0" fontId="48" fillId="38" borderId="11" xfId="0" applyFont="1" applyFill="1" applyBorder="1" applyAlignment="1">
      <alignment horizontal="justify" vertical="center" wrapText="1"/>
    </xf>
    <xf numFmtId="166" fontId="48" fillId="37" borderId="11" xfId="0" applyNumberFormat="1" applyFont="1" applyFill="1" applyBorder="1" applyAlignment="1">
      <alignment horizontal="justify" vertical="center" wrapText="1"/>
    </xf>
    <xf numFmtId="166" fontId="48" fillId="37" borderId="11" xfId="0" applyNumberFormat="1" applyFont="1" applyFill="1" applyBorder="1" applyAlignment="1">
      <alignment horizontal="justify" vertical="center"/>
    </xf>
    <xf numFmtId="49" fontId="48" fillId="37" borderId="11" xfId="0" applyNumberFormat="1" applyFont="1" applyFill="1" applyBorder="1" applyAlignment="1">
      <alignment horizontal="justify" vertical="center" wrapText="1"/>
    </xf>
    <xf numFmtId="49" fontId="47" fillId="37" borderId="11" xfId="0" applyNumberFormat="1" applyFont="1" applyFill="1" applyBorder="1" applyAlignment="1">
      <alignment horizontal="justify" vertical="center" wrapText="1"/>
    </xf>
    <xf numFmtId="49" fontId="83" fillId="20" borderId="11" xfId="0" applyNumberFormat="1" applyFont="1" applyFill="1" applyBorder="1" applyAlignment="1">
      <alignment horizontal="justify" vertical="center"/>
    </xf>
    <xf numFmtId="0" fontId="83" fillId="21" borderId="11" xfId="0" applyFont="1" applyFill="1" applyBorder="1" applyAlignment="1">
      <alignment horizontal="justify" vertical="center" wrapText="1"/>
    </xf>
    <xf numFmtId="0" fontId="83" fillId="21" borderId="11" xfId="0" applyFont="1" applyFill="1" applyBorder="1" applyAlignment="1">
      <alignment horizontal="justify" vertical="center" textRotation="90" wrapText="1"/>
    </xf>
    <xf numFmtId="166" fontId="83" fillId="20" borderId="11" xfId="0" applyNumberFormat="1" applyFont="1" applyFill="1" applyBorder="1" applyAlignment="1">
      <alignment horizontal="justify" vertical="center" wrapText="1"/>
    </xf>
    <xf numFmtId="166" fontId="83" fillId="20" borderId="11" xfId="0" applyNumberFormat="1" applyFont="1" applyFill="1" applyBorder="1" applyAlignment="1">
      <alignment horizontal="justify" vertical="center"/>
    </xf>
    <xf numFmtId="49" fontId="83" fillId="20" borderId="11" xfId="0" applyNumberFormat="1" applyFont="1" applyFill="1" applyBorder="1" applyAlignment="1">
      <alignment horizontal="justify" vertical="center" wrapText="1"/>
    </xf>
    <xf numFmtId="0" fontId="48" fillId="0" borderId="22" xfId="0" applyFont="1" applyBorder="1" applyAlignment="1">
      <alignment horizontal="center" vertical="center" wrapText="1"/>
    </xf>
    <xf numFmtId="0" fontId="48" fillId="0" borderId="23" xfId="0" applyFont="1" applyBorder="1" applyAlignment="1">
      <alignment horizontal="center" vertical="center" wrapText="1"/>
    </xf>
    <xf numFmtId="0" fontId="48" fillId="0" borderId="33" xfId="0" applyFont="1" applyBorder="1" applyAlignment="1">
      <alignment horizontal="center" vertical="center" wrapText="1"/>
    </xf>
    <xf numFmtId="0" fontId="48" fillId="0" borderId="32" xfId="0" applyFont="1" applyBorder="1" applyAlignment="1">
      <alignment horizontal="center" vertical="center" wrapText="1"/>
    </xf>
    <xf numFmtId="0" fontId="48" fillId="0" borderId="28" xfId="0" applyFont="1" applyBorder="1" applyAlignment="1">
      <alignment horizontal="center" vertical="center" wrapText="1"/>
    </xf>
    <xf numFmtId="0" fontId="48" fillId="0" borderId="24" xfId="0" applyFont="1" applyBorder="1" applyAlignment="1">
      <alignment horizontal="center" vertical="center" wrapText="1"/>
    </xf>
    <xf numFmtId="0" fontId="47" fillId="23" borderId="12" xfId="0" applyFont="1" applyFill="1" applyBorder="1" applyAlignment="1">
      <alignment horizontal="center" vertical="top"/>
    </xf>
    <xf numFmtId="0" fontId="47" fillId="23" borderId="14" xfId="0" applyFont="1" applyFill="1" applyBorder="1" applyAlignment="1">
      <alignment horizontal="center" vertical="top"/>
    </xf>
    <xf numFmtId="49" fontId="48" fillId="19" borderId="11" xfId="0" applyNumberFormat="1" applyFont="1" applyFill="1" applyBorder="1" applyAlignment="1">
      <alignment horizontal="justify" vertical="center" textRotation="90"/>
    </xf>
    <xf numFmtId="166" fontId="84" fillId="19" borderId="11" xfId="0" applyNumberFormat="1" applyFont="1" applyFill="1" applyBorder="1" applyAlignment="1">
      <alignment horizontal="justify" vertical="center" wrapText="1"/>
    </xf>
    <xf numFmtId="166" fontId="47" fillId="19" borderId="11" xfId="0" applyNumberFormat="1" applyFont="1" applyFill="1" applyBorder="1" applyAlignment="1">
      <alignment horizontal="justify" vertical="center"/>
    </xf>
    <xf numFmtId="49" fontId="48" fillId="19" borderId="22" xfId="0" applyNumberFormat="1" applyFont="1" applyFill="1" applyBorder="1" applyAlignment="1">
      <alignment horizontal="center" vertical="top" wrapText="1"/>
    </xf>
    <xf numFmtId="49" fontId="48" fillId="19" borderId="23" xfId="0" applyNumberFormat="1" applyFont="1" applyFill="1" applyBorder="1" applyAlignment="1">
      <alignment horizontal="center" vertical="top" wrapText="1"/>
    </xf>
    <xf numFmtId="49" fontId="48" fillId="19" borderId="28" xfId="0" applyNumberFormat="1" applyFont="1" applyFill="1" applyBorder="1" applyAlignment="1">
      <alignment horizontal="center" vertical="top" wrapText="1"/>
    </xf>
    <xf numFmtId="49" fontId="48" fillId="19" borderId="24" xfId="0" applyNumberFormat="1" applyFont="1" applyFill="1" applyBorder="1" applyAlignment="1">
      <alignment horizontal="center" vertical="top" wrapText="1"/>
    </xf>
    <xf numFmtId="49" fontId="48" fillId="23" borderId="11" xfId="0" applyNumberFormat="1" applyFont="1" applyFill="1" applyBorder="1" applyAlignment="1">
      <alignment horizontal="justify" vertical="center"/>
    </xf>
    <xf numFmtId="49" fontId="48" fillId="23" borderId="11" xfId="0" applyNumberFormat="1" applyFont="1" applyFill="1" applyBorder="1" applyAlignment="1">
      <alignment horizontal="justify" vertical="center" textRotation="90"/>
    </xf>
    <xf numFmtId="166" fontId="47" fillId="23" borderId="11" xfId="0" applyNumberFormat="1" applyFont="1" applyFill="1" applyBorder="1" applyAlignment="1">
      <alignment horizontal="center" vertical="center"/>
    </xf>
    <xf numFmtId="166" fontId="48" fillId="23" borderId="11" xfId="0" applyNumberFormat="1" applyFont="1" applyFill="1" applyBorder="1" applyAlignment="1">
      <alignment horizontal="justify" vertical="center" wrapText="1"/>
    </xf>
    <xf numFmtId="166" fontId="48" fillId="23" borderId="11" xfId="0" applyNumberFormat="1" applyFont="1" applyFill="1" applyBorder="1" applyAlignment="1">
      <alignment horizontal="justify" vertical="center"/>
    </xf>
    <xf numFmtId="49" fontId="48" fillId="23" borderId="11" xfId="0" applyNumberFormat="1" applyFont="1" applyFill="1" applyBorder="1" applyAlignment="1">
      <alignment horizontal="justify" vertical="center" wrapText="1"/>
    </xf>
    <xf numFmtId="0" fontId="84" fillId="32" borderId="11" xfId="0" applyFont="1" applyFill="1" applyBorder="1" applyAlignment="1">
      <alignment horizontal="justify" vertical="center" wrapText="1"/>
    </xf>
    <xf numFmtId="166" fontId="83" fillId="19" borderId="11" xfId="0" applyNumberFormat="1" applyFont="1" applyFill="1" applyBorder="1" applyAlignment="1">
      <alignment horizontal="justify" vertical="center" wrapText="1"/>
    </xf>
    <xf numFmtId="166" fontId="83" fillId="19" borderId="11" xfId="0" applyNumberFormat="1" applyFont="1" applyFill="1" applyBorder="1" applyAlignment="1">
      <alignment horizontal="justify" vertical="center"/>
    </xf>
    <xf numFmtId="0" fontId="38" fillId="0" borderId="0" xfId="0" applyFont="1" applyAlignment="1">
      <alignment horizontal="left" vertical="top" wrapText="1"/>
    </xf>
    <xf numFmtId="0" fontId="47" fillId="0" borderId="22" xfId="0" applyFont="1" applyBorder="1" applyAlignment="1">
      <alignment horizontal="center" vertical="center" wrapText="1"/>
    </xf>
    <xf numFmtId="0" fontId="47" fillId="0" borderId="23" xfId="0" applyFont="1" applyBorder="1" applyAlignment="1">
      <alignment horizontal="center" vertical="center" wrapText="1"/>
    </xf>
    <xf numFmtId="0" fontId="47" fillId="0" borderId="28" xfId="0" applyFont="1" applyBorder="1" applyAlignment="1">
      <alignment horizontal="center" vertical="center" wrapText="1"/>
    </xf>
    <xf numFmtId="0" fontId="47" fillId="0" borderId="24" xfId="0" applyFont="1" applyBorder="1" applyAlignment="1">
      <alignment horizontal="center" vertical="center" wrapText="1"/>
    </xf>
    <xf numFmtId="49" fontId="48" fillId="0" borderId="22" xfId="0" applyNumberFormat="1" applyFont="1" applyBorder="1" applyAlignment="1">
      <alignment horizontal="left" vertical="center" wrapText="1"/>
    </xf>
    <xf numFmtId="49" fontId="48" fillId="0" borderId="23" xfId="0" applyNumberFormat="1" applyFont="1" applyBorder="1" applyAlignment="1">
      <alignment horizontal="left" vertical="center" wrapText="1"/>
    </xf>
    <xf numFmtId="49" fontId="48" fillId="0" borderId="28" xfId="0" applyNumberFormat="1" applyFont="1" applyBorder="1" applyAlignment="1">
      <alignment horizontal="left" vertical="center" wrapText="1"/>
    </xf>
    <xf numFmtId="49" fontId="48" fillId="0" borderId="24" xfId="0" applyNumberFormat="1" applyFont="1" applyBorder="1" applyAlignment="1">
      <alignment horizontal="left" vertical="center" wrapText="1"/>
    </xf>
    <xf numFmtId="1" fontId="48" fillId="0" borderId="11" xfId="0" applyNumberFormat="1" applyFont="1" applyBorder="1" applyAlignment="1">
      <alignment horizontal="justify" vertical="center" wrapText="1"/>
    </xf>
    <xf numFmtId="2" fontId="47" fillId="0" borderId="11" xfId="0" applyNumberFormat="1" applyFont="1" applyBorder="1" applyAlignment="1">
      <alignment horizontal="justify" vertical="center" wrapText="1"/>
    </xf>
    <xf numFmtId="1" fontId="48" fillId="0" borderId="11" xfId="0" applyNumberFormat="1" applyFont="1" applyBorder="1" applyAlignment="1">
      <alignment horizontal="justify" vertical="center" textRotation="90"/>
    </xf>
    <xf numFmtId="49" fontId="47" fillId="23" borderId="12" xfId="0" applyNumberFormat="1" applyFont="1" applyFill="1" applyBorder="1" applyAlignment="1">
      <alignment vertical="top" wrapText="1"/>
    </xf>
    <xf numFmtId="49" fontId="47" fillId="23" borderId="14" xfId="0" applyNumberFormat="1" applyFont="1" applyFill="1" applyBorder="1" applyAlignment="1">
      <alignment vertical="top" wrapText="1"/>
    </xf>
    <xf numFmtId="2" fontId="48" fillId="0" borderId="22" xfId="0" applyNumberFormat="1" applyFont="1" applyBorder="1" applyAlignment="1">
      <alignment horizontal="left" vertical="center" wrapText="1"/>
    </xf>
    <xf numFmtId="2" fontId="48" fillId="0" borderId="23" xfId="0" applyNumberFormat="1" applyFont="1" applyBorder="1" applyAlignment="1">
      <alignment horizontal="left" vertical="center" wrapText="1"/>
    </xf>
    <xf numFmtId="2" fontId="48" fillId="0" borderId="33" xfId="0" applyNumberFormat="1" applyFont="1" applyBorder="1" applyAlignment="1">
      <alignment horizontal="left" vertical="center" wrapText="1"/>
    </xf>
    <xf numFmtId="2" fontId="48" fillId="0" borderId="32" xfId="0" applyNumberFormat="1" applyFont="1" applyBorder="1" applyAlignment="1">
      <alignment horizontal="left" vertical="center" wrapText="1"/>
    </xf>
    <xf numFmtId="2" fontId="48" fillId="0" borderId="28" xfId="0" applyNumberFormat="1" applyFont="1" applyBorder="1" applyAlignment="1">
      <alignment horizontal="left" vertical="center" wrapText="1"/>
    </xf>
    <xf numFmtId="2" fontId="48" fillId="0" borderId="24" xfId="0" applyNumberFormat="1" applyFont="1" applyBorder="1" applyAlignment="1">
      <alignment horizontal="left" vertical="center" wrapText="1"/>
    </xf>
    <xf numFmtId="2" fontId="47" fillId="0" borderId="11" xfId="0" applyNumberFormat="1" applyFont="1" applyBorder="1" applyAlignment="1">
      <alignment horizontal="center" vertical="center"/>
    </xf>
    <xf numFmtId="0" fontId="177" fillId="0" borderId="16" xfId="0" applyFont="1" applyBorder="1" applyAlignment="1">
      <alignment horizontal="center" vertical="center" wrapText="1"/>
    </xf>
    <xf numFmtId="0" fontId="177" fillId="0" borderId="17" xfId="0" applyFont="1" applyBorder="1" applyAlignment="1">
      <alignment horizontal="center" vertical="center" wrapText="1"/>
    </xf>
    <xf numFmtId="49" fontId="48" fillId="23" borderId="22" xfId="0" applyNumberFormat="1" applyFont="1" applyFill="1" applyBorder="1" applyAlignment="1">
      <alignment horizontal="center" vertical="top" wrapText="1"/>
    </xf>
    <xf numFmtId="49" fontId="48" fillId="23" borderId="23" xfId="0" applyNumberFormat="1" applyFont="1" applyFill="1" applyBorder="1" applyAlignment="1">
      <alignment horizontal="center" vertical="top" wrapText="1"/>
    </xf>
    <xf numFmtId="49" fontId="48" fillId="23" borderId="33" xfId="0" applyNumberFormat="1" applyFont="1" applyFill="1" applyBorder="1" applyAlignment="1">
      <alignment horizontal="center" vertical="top" wrapText="1"/>
    </xf>
    <xf numFmtId="49" fontId="48" fillId="23" borderId="32" xfId="0" applyNumberFormat="1" applyFont="1" applyFill="1" applyBorder="1" applyAlignment="1">
      <alignment horizontal="center" vertical="top" wrapText="1"/>
    </xf>
    <xf numFmtId="49" fontId="48" fillId="23" borderId="28" xfId="0" applyNumberFormat="1" applyFont="1" applyFill="1" applyBorder="1" applyAlignment="1">
      <alignment horizontal="center" vertical="top" wrapText="1"/>
    </xf>
    <xf numFmtId="49" fontId="48" fillId="23" borderId="24" xfId="0" applyNumberFormat="1" applyFont="1" applyFill="1" applyBorder="1" applyAlignment="1">
      <alignment horizontal="center" vertical="top" wrapText="1"/>
    </xf>
    <xf numFmtId="49" fontId="48" fillId="19" borderId="11" xfId="0" applyNumberFormat="1" applyFont="1" applyFill="1" applyBorder="1" applyAlignment="1">
      <alignment horizontal="center" vertical="top" wrapText="1"/>
    </xf>
    <xf numFmtId="49" fontId="48" fillId="19" borderId="16" xfId="0" applyNumberFormat="1" applyFont="1" applyFill="1" applyBorder="1" applyAlignment="1">
      <alignment horizontal="center" vertical="top" wrapText="1"/>
    </xf>
    <xf numFmtId="0" fontId="48" fillId="0" borderId="22" xfId="0" applyFont="1" applyBorder="1" applyAlignment="1">
      <alignment horizontal="center" vertical="center"/>
    </xf>
    <xf numFmtId="0" fontId="48" fillId="0" borderId="23" xfId="0" applyFont="1" applyBorder="1" applyAlignment="1">
      <alignment horizontal="center" vertical="center"/>
    </xf>
    <xf numFmtId="0" fontId="48" fillId="0" borderId="33" xfId="0" applyFont="1" applyBorder="1" applyAlignment="1">
      <alignment horizontal="center" vertical="center"/>
    </xf>
    <xf numFmtId="0" fontId="48" fillId="0" borderId="32" xfId="0" applyFont="1" applyBorder="1" applyAlignment="1">
      <alignment horizontal="center" vertical="center"/>
    </xf>
    <xf numFmtId="0" fontId="48" fillId="0" borderId="28" xfId="0" applyFont="1" applyBorder="1" applyAlignment="1">
      <alignment horizontal="center" vertical="center"/>
    </xf>
    <xf numFmtId="0" fontId="48" fillId="0" borderId="24" xfId="0" applyFont="1" applyBorder="1" applyAlignment="1">
      <alignment horizontal="center" vertical="center"/>
    </xf>
    <xf numFmtId="0" fontId="198" fillId="0" borderId="32" xfId="0" applyFont="1" applyBorder="1" applyAlignment="1">
      <alignment horizontal="center" vertical="center" wrapText="1"/>
    </xf>
    <xf numFmtId="0" fontId="47" fillId="0" borderId="12" xfId="0" applyFont="1" applyBorder="1" applyAlignment="1">
      <alignment horizontal="center" vertical="center" wrapText="1"/>
    </xf>
    <xf numFmtId="0" fontId="47" fillId="0" borderId="26" xfId="0" applyFont="1" applyBorder="1" applyAlignment="1">
      <alignment horizontal="center" vertical="center" wrapText="1"/>
    </xf>
    <xf numFmtId="0" fontId="47" fillId="0" borderId="14" xfId="0" applyFont="1" applyBorder="1" applyAlignment="1">
      <alignment horizontal="center" vertical="center" wrapText="1"/>
    </xf>
    <xf numFmtId="49" fontId="47" fillId="20" borderId="11" xfId="0" applyNumberFormat="1" applyFont="1" applyFill="1" applyBorder="1" applyAlignment="1">
      <alignment horizontal="justify" vertical="center" wrapText="1"/>
    </xf>
    <xf numFmtId="49" fontId="84" fillId="20" borderId="11" xfId="0" applyNumberFormat="1" applyFont="1" applyFill="1" applyBorder="1" applyAlignment="1">
      <alignment horizontal="justify" vertical="center" wrapText="1"/>
    </xf>
    <xf numFmtId="166" fontId="48" fillId="0" borderId="19" xfId="0" applyNumberFormat="1" applyFont="1" applyBorder="1" applyAlignment="1">
      <alignment horizontal="justify" vertical="center" wrapText="1"/>
    </xf>
    <xf numFmtId="166" fontId="48" fillId="0" borderId="19" xfId="0" applyNumberFormat="1" applyFont="1" applyBorder="1" applyAlignment="1">
      <alignment horizontal="justify" vertical="center"/>
    </xf>
    <xf numFmtId="49" fontId="48" fillId="0" borderId="9" xfId="0" applyNumberFormat="1" applyFont="1" applyBorder="1" applyAlignment="1">
      <alignment horizontal="justify" vertical="center"/>
    </xf>
    <xf numFmtId="49" fontId="48" fillId="0" borderId="6" xfId="0" applyNumberFormat="1" applyFont="1" applyBorder="1" applyAlignment="1">
      <alignment horizontal="justify" vertical="center"/>
    </xf>
    <xf numFmtId="0" fontId="47" fillId="0" borderId="9" xfId="0" applyFont="1" applyBorder="1" applyAlignment="1">
      <alignment horizontal="justify" vertical="center" wrapText="1"/>
    </xf>
    <xf numFmtId="0" fontId="47" fillId="0" borderId="6" xfId="0" applyFont="1" applyBorder="1" applyAlignment="1">
      <alignment horizontal="justify" vertical="center" wrapText="1"/>
    </xf>
    <xf numFmtId="1" fontId="94" fillId="0" borderId="16" xfId="0" applyNumberFormat="1" applyFont="1" applyBorder="1" applyAlignment="1">
      <alignment horizontal="justify" vertical="center"/>
    </xf>
    <xf numFmtId="1" fontId="94" fillId="0" borderId="17" xfId="0" applyNumberFormat="1" applyFont="1" applyBorder="1" applyAlignment="1">
      <alignment horizontal="justify" vertical="center"/>
    </xf>
    <xf numFmtId="49" fontId="83" fillId="0" borderId="16" xfId="0" applyNumberFormat="1" applyFont="1" applyBorder="1" applyAlignment="1">
      <alignment horizontal="justify" vertical="center" wrapText="1"/>
    </xf>
    <xf numFmtId="49" fontId="83" fillId="0" borderId="17" xfId="0" applyNumberFormat="1" applyFont="1" applyBorder="1" applyAlignment="1">
      <alignment horizontal="justify" vertical="center" wrapText="1"/>
    </xf>
    <xf numFmtId="166" fontId="47" fillId="0" borderId="23" xfId="0" applyNumberFormat="1" applyFont="1" applyBorder="1" applyAlignment="1">
      <alignment horizontal="justify" vertical="center"/>
    </xf>
    <xf numFmtId="166" fontId="47" fillId="0" borderId="32" xfId="0" applyNumberFormat="1" applyFont="1" applyBorder="1" applyAlignment="1">
      <alignment horizontal="justify" vertical="center"/>
    </xf>
    <xf numFmtId="49" fontId="48" fillId="0" borderId="8" xfId="0" applyNumberFormat="1" applyFont="1" applyBorder="1" applyAlignment="1">
      <alignment horizontal="justify" vertical="center"/>
    </xf>
    <xf numFmtId="166" fontId="48" fillId="0" borderId="17" xfId="0" applyNumberFormat="1" applyFont="1" applyBorder="1" applyAlignment="1">
      <alignment horizontal="justify" vertical="center"/>
    </xf>
    <xf numFmtId="0" fontId="48" fillId="29" borderId="6" xfId="0" applyFont="1" applyFill="1" applyBorder="1" applyAlignment="1">
      <alignment horizontal="justify" vertical="center" textRotation="90" wrapText="1"/>
    </xf>
    <xf numFmtId="0" fontId="48" fillId="0" borderId="9" xfId="0" applyFont="1" applyBorder="1" applyAlignment="1">
      <alignment horizontal="justify" vertical="center" textRotation="90" wrapText="1"/>
    </xf>
    <xf numFmtId="0" fontId="48" fillId="0" borderId="6" xfId="0" applyFont="1" applyBorder="1" applyAlignment="1">
      <alignment horizontal="justify" vertical="center" textRotation="90" wrapText="1"/>
    </xf>
    <xf numFmtId="49" fontId="88" fillId="0" borderId="6" xfId="0" applyNumberFormat="1" applyFont="1" applyBorder="1" applyAlignment="1">
      <alignment horizontal="justify" vertical="center"/>
    </xf>
    <xf numFmtId="49" fontId="48" fillId="0" borderId="9" xfId="0" applyNumberFormat="1" applyFont="1" applyBorder="1" applyAlignment="1">
      <alignment horizontal="justify" vertical="center" wrapText="1"/>
    </xf>
    <xf numFmtId="0" fontId="47" fillId="0" borderId="16" xfId="0" applyFont="1" applyBorder="1" applyAlignment="1">
      <alignment horizontal="center"/>
    </xf>
    <xf numFmtId="0" fontId="47" fillId="0" borderId="19" xfId="0" applyFont="1" applyBorder="1" applyAlignment="1">
      <alignment horizontal="center"/>
    </xf>
    <xf numFmtId="0" fontId="47" fillId="0" borderId="17" xfId="0" applyFont="1" applyBorder="1" applyAlignment="1">
      <alignment horizontal="center"/>
    </xf>
    <xf numFmtId="166" fontId="47" fillId="0" borderId="24" xfId="0" applyNumberFormat="1" applyFont="1" applyBorder="1" applyAlignment="1">
      <alignment horizontal="justify" vertical="center"/>
    </xf>
    <xf numFmtId="166" fontId="47" fillId="0" borderId="14" xfId="0" applyNumberFormat="1" applyFont="1" applyBorder="1" applyAlignment="1">
      <alignment horizontal="justify" vertical="center"/>
    </xf>
    <xf numFmtId="0" fontId="48" fillId="0" borderId="15" xfId="0" applyFont="1" applyBorder="1" applyAlignment="1">
      <alignment horizontal="justify" vertical="center" textRotation="90" wrapText="1"/>
    </xf>
    <xf numFmtId="0" fontId="48" fillId="0" borderId="7" xfId="0" applyFont="1" applyBorder="1" applyAlignment="1">
      <alignment horizontal="justify" vertical="center" textRotation="90" wrapText="1"/>
    </xf>
    <xf numFmtId="0" fontId="47" fillId="0" borderId="15" xfId="0" applyFont="1" applyBorder="1" applyAlignment="1">
      <alignment horizontal="justify" vertical="center" wrapText="1"/>
    </xf>
    <xf numFmtId="0" fontId="47" fillId="0" borderId="7" xfId="0" applyFont="1" applyBorder="1" applyAlignment="1">
      <alignment horizontal="justify" vertical="center" wrapText="1"/>
    </xf>
    <xf numFmtId="1" fontId="47" fillId="29" borderId="16" xfId="0" applyNumberFormat="1" applyFont="1" applyFill="1" applyBorder="1" applyAlignment="1">
      <alignment horizontal="justify" vertical="center"/>
    </xf>
    <xf numFmtId="1" fontId="47" fillId="29" borderId="19" xfId="0" applyNumberFormat="1" applyFont="1" applyFill="1" applyBorder="1" applyAlignment="1">
      <alignment horizontal="justify" vertical="center"/>
    </xf>
    <xf numFmtId="1" fontId="48" fillId="0" borderId="16" xfId="0" applyNumberFormat="1" applyFont="1" applyBorder="1" applyAlignment="1">
      <alignment horizontal="justify" vertical="center"/>
    </xf>
    <xf numFmtId="1" fontId="48" fillId="0" borderId="17" xfId="0" applyNumberFormat="1" applyFont="1" applyBorder="1" applyAlignment="1">
      <alignment horizontal="justify" vertical="center"/>
    </xf>
    <xf numFmtId="49" fontId="48" fillId="40" borderId="16" xfId="0" applyNumberFormat="1" applyFont="1" applyFill="1" applyBorder="1" applyAlignment="1">
      <alignment horizontal="justify" vertical="center" wrapText="1"/>
    </xf>
    <xf numFmtId="49" fontId="48" fillId="40" borderId="19" xfId="0" applyNumberFormat="1" applyFont="1" applyFill="1" applyBorder="1" applyAlignment="1">
      <alignment horizontal="justify" vertical="center" wrapText="1"/>
    </xf>
    <xf numFmtId="49" fontId="48" fillId="29" borderId="16" xfId="0" applyNumberFormat="1" applyFont="1" applyFill="1" applyBorder="1" applyAlignment="1">
      <alignment horizontal="justify" vertical="center" wrapText="1"/>
    </xf>
    <xf numFmtId="49" fontId="48" fillId="29" borderId="19" xfId="0" applyNumberFormat="1" applyFont="1" applyFill="1" applyBorder="1" applyAlignment="1">
      <alignment horizontal="justify" vertical="center" wrapText="1"/>
    </xf>
    <xf numFmtId="49" fontId="94" fillId="0" borderId="19" xfId="0" applyNumberFormat="1" applyFont="1" applyBorder="1" applyAlignment="1">
      <alignment horizontal="justify" vertical="center" wrapText="1"/>
    </xf>
    <xf numFmtId="0" fontId="48" fillId="0" borderId="16" xfId="0" applyFont="1" applyBorder="1" applyAlignment="1">
      <alignment horizontal="justify" vertical="center"/>
    </xf>
    <xf numFmtId="0" fontId="48" fillId="0" borderId="19" xfId="0" applyFont="1" applyBorder="1" applyAlignment="1">
      <alignment horizontal="justify" vertical="center"/>
    </xf>
    <xf numFmtId="166" fontId="47" fillId="29" borderId="23" xfId="0" applyNumberFormat="1" applyFont="1" applyFill="1" applyBorder="1" applyAlignment="1">
      <alignment horizontal="justify" vertical="center"/>
    </xf>
    <xf numFmtId="166" fontId="47" fillId="29" borderId="32" xfId="0" applyNumberFormat="1" applyFont="1" applyFill="1" applyBorder="1" applyAlignment="1">
      <alignment horizontal="justify" vertical="center"/>
    </xf>
    <xf numFmtId="166" fontId="146" fillId="0" borderId="11" xfId="0" applyNumberFormat="1" applyFont="1" applyBorder="1" applyAlignment="1">
      <alignment horizontal="justify" vertical="center" wrapText="1"/>
    </xf>
    <xf numFmtId="166" fontId="146" fillId="0" borderId="11" xfId="0" applyNumberFormat="1" applyFont="1" applyBorder="1" applyAlignment="1">
      <alignment horizontal="justify" vertical="center"/>
    </xf>
    <xf numFmtId="0" fontId="48" fillId="0" borderId="10" xfId="0" applyFont="1" applyBorder="1" applyAlignment="1">
      <alignment horizontal="justify" vertical="center" textRotation="90" wrapText="1"/>
    </xf>
    <xf numFmtId="0" fontId="94" fillId="0" borderId="16" xfId="0" applyFont="1" applyBorder="1" applyAlignment="1">
      <alignment horizontal="justify" vertical="center" textRotation="90" wrapText="1"/>
    </xf>
    <xf numFmtId="0" fontId="94" fillId="0" borderId="17" xfId="0" applyFont="1" applyBorder="1" applyAlignment="1">
      <alignment horizontal="justify" vertical="center" textRotation="90" wrapText="1"/>
    </xf>
    <xf numFmtId="0" fontId="86" fillId="0" borderId="6" xfId="0" applyFont="1" applyBorder="1" applyAlignment="1">
      <alignment horizontal="justify" vertical="center" wrapText="1"/>
    </xf>
    <xf numFmtId="0" fontId="47" fillId="40" borderId="6" xfId="0" applyFont="1" applyFill="1" applyBorder="1" applyAlignment="1">
      <alignment horizontal="justify" vertical="center" wrapText="1"/>
    </xf>
    <xf numFmtId="0" fontId="88" fillId="0" borderId="6" xfId="0" applyFont="1" applyBorder="1" applyAlignment="1">
      <alignment horizontal="justify" vertical="center" textRotation="90" wrapText="1"/>
    </xf>
    <xf numFmtId="49" fontId="96" fillId="24" borderId="16" xfId="0" applyNumberFormat="1" applyFont="1" applyFill="1" applyBorder="1" applyAlignment="1">
      <alignment horizontal="justify" vertical="center" wrapText="1"/>
    </xf>
    <xf numFmtId="49" fontId="96" fillId="24" borderId="19" xfId="0" applyNumberFormat="1" applyFont="1" applyFill="1" applyBorder="1" applyAlignment="1">
      <alignment horizontal="justify" vertical="center" wrapText="1"/>
    </xf>
    <xf numFmtId="166" fontId="48" fillId="0" borderId="16" xfId="0" applyNumberFormat="1" applyFont="1" applyBorder="1" applyAlignment="1">
      <alignment horizontal="justify" vertical="center" wrapText="1"/>
    </xf>
    <xf numFmtId="166" fontId="47" fillId="40" borderId="23" xfId="0" applyNumberFormat="1" applyFont="1" applyFill="1" applyBorder="1" applyAlignment="1">
      <alignment horizontal="justify" vertical="center"/>
    </xf>
    <xf numFmtId="166" fontId="47" fillId="40" borderId="32" xfId="0" applyNumberFormat="1" applyFont="1" applyFill="1" applyBorder="1" applyAlignment="1">
      <alignment horizontal="justify" vertical="center"/>
    </xf>
    <xf numFmtId="166" fontId="47" fillId="40" borderId="24" xfId="0" applyNumberFormat="1" applyFont="1" applyFill="1" applyBorder="1" applyAlignment="1">
      <alignment horizontal="justify" vertical="center"/>
    </xf>
    <xf numFmtId="0" fontId="48" fillId="31" borderId="6" xfId="0" applyFont="1" applyFill="1" applyBorder="1" applyAlignment="1">
      <alignment horizontal="justify" vertical="center" textRotation="90" wrapText="1"/>
    </xf>
    <xf numFmtId="0" fontId="48" fillId="31" borderId="7" xfId="0" applyFont="1" applyFill="1" applyBorder="1" applyAlignment="1">
      <alignment horizontal="justify" vertical="center" textRotation="90" wrapText="1"/>
    </xf>
    <xf numFmtId="166" fontId="83" fillId="31" borderId="16" xfId="0" applyNumberFormat="1" applyFont="1" applyFill="1" applyBorder="1" applyAlignment="1">
      <alignment horizontal="justify" vertical="center" wrapText="1"/>
    </xf>
    <xf numFmtId="166" fontId="83" fillId="31" borderId="19" xfId="0" applyNumberFormat="1" applyFont="1" applyFill="1" applyBorder="1" applyAlignment="1">
      <alignment horizontal="justify" vertical="center"/>
    </xf>
    <xf numFmtId="166" fontId="48" fillId="24" borderId="16" xfId="0" applyNumberFormat="1" applyFont="1" applyFill="1" applyBorder="1" applyAlignment="1">
      <alignment horizontal="justify" vertical="center" wrapText="1"/>
    </xf>
    <xf numFmtId="166" fontId="48" fillId="24" borderId="19" xfId="0" applyNumberFormat="1" applyFont="1" applyFill="1" applyBorder="1" applyAlignment="1">
      <alignment horizontal="justify" vertical="center" wrapText="1"/>
    </xf>
    <xf numFmtId="166" fontId="48" fillId="24" borderId="17" xfId="0" applyNumberFormat="1" applyFont="1" applyFill="1" applyBorder="1" applyAlignment="1">
      <alignment horizontal="justify" vertical="center"/>
    </xf>
    <xf numFmtId="49" fontId="48" fillId="42" borderId="6" xfId="0" applyNumberFormat="1" applyFont="1" applyFill="1" applyBorder="1" applyAlignment="1">
      <alignment horizontal="justify" vertical="center"/>
    </xf>
    <xf numFmtId="49" fontId="48" fillId="0" borderId="6" xfId="0" applyNumberFormat="1" applyFont="1" applyBorder="1" applyAlignment="1">
      <alignment horizontal="justify" vertical="center" wrapText="1"/>
    </xf>
    <xf numFmtId="49" fontId="48" fillId="40" borderId="6" xfId="0" applyNumberFormat="1" applyFont="1" applyFill="1" applyBorder="1" applyAlignment="1">
      <alignment horizontal="justify" vertical="center"/>
    </xf>
    <xf numFmtId="49" fontId="88" fillId="40" borderId="6" xfId="0" applyNumberFormat="1" applyFont="1" applyFill="1" applyBorder="1" applyAlignment="1">
      <alignment horizontal="justify" vertical="center"/>
    </xf>
    <xf numFmtId="49" fontId="47" fillId="24" borderId="11" xfId="0" applyNumberFormat="1" applyFont="1" applyFill="1" applyBorder="1" applyAlignment="1">
      <alignment horizontal="justify" vertical="center"/>
    </xf>
    <xf numFmtId="166" fontId="47" fillId="24" borderId="23" xfId="0" applyNumberFormat="1" applyFont="1" applyFill="1" applyBorder="1" applyAlignment="1">
      <alignment horizontal="justify" vertical="center"/>
    </xf>
    <xf numFmtId="166" fontId="47" fillId="24" borderId="32" xfId="0" applyNumberFormat="1" applyFont="1" applyFill="1" applyBorder="1" applyAlignment="1">
      <alignment horizontal="justify" vertical="center"/>
    </xf>
    <xf numFmtId="166" fontId="47" fillId="24" borderId="24" xfId="0" applyNumberFormat="1" applyFont="1" applyFill="1" applyBorder="1" applyAlignment="1">
      <alignment horizontal="justify" vertical="center"/>
    </xf>
    <xf numFmtId="49" fontId="96" fillId="24" borderId="6" xfId="0" applyNumberFormat="1" applyFont="1" applyFill="1" applyBorder="1" applyAlignment="1">
      <alignment horizontal="justify" vertical="center"/>
    </xf>
    <xf numFmtId="0" fontId="96" fillId="24" borderId="6" xfId="0" applyFont="1" applyFill="1" applyBorder="1" applyAlignment="1">
      <alignment horizontal="justify" vertical="center" wrapText="1"/>
    </xf>
    <xf numFmtId="166" fontId="142" fillId="24" borderId="16" xfId="0" applyNumberFormat="1" applyFont="1" applyFill="1" applyBorder="1" applyAlignment="1">
      <alignment horizontal="justify" vertical="center" wrapText="1"/>
    </xf>
    <xf numFmtId="166" fontId="142" fillId="24" borderId="19" xfId="0" applyNumberFormat="1" applyFont="1" applyFill="1" applyBorder="1" applyAlignment="1">
      <alignment horizontal="justify" vertical="center" wrapText="1"/>
    </xf>
    <xf numFmtId="166" fontId="142" fillId="24" borderId="17" xfId="0" applyNumberFormat="1" applyFont="1" applyFill="1" applyBorder="1" applyAlignment="1">
      <alignment horizontal="justify" vertical="center"/>
    </xf>
    <xf numFmtId="166" fontId="48" fillId="40" borderId="16" xfId="0" applyNumberFormat="1" applyFont="1" applyFill="1" applyBorder="1" applyAlignment="1">
      <alignment horizontal="justify" vertical="center" wrapText="1"/>
    </xf>
    <xf numFmtId="166" fontId="48" fillId="40" borderId="19" xfId="0" applyNumberFormat="1" applyFont="1" applyFill="1" applyBorder="1" applyAlignment="1">
      <alignment horizontal="justify" vertical="center" wrapText="1"/>
    </xf>
    <xf numFmtId="166" fontId="48" fillId="40" borderId="17" xfId="0" applyNumberFormat="1" applyFont="1" applyFill="1" applyBorder="1" applyAlignment="1">
      <alignment horizontal="justify" vertical="center"/>
    </xf>
    <xf numFmtId="0" fontId="96" fillId="24" borderId="6" xfId="0" applyFont="1" applyFill="1" applyBorder="1" applyAlignment="1">
      <alignment horizontal="justify" vertical="center" textRotation="90" wrapText="1"/>
    </xf>
    <xf numFmtId="166" fontId="49" fillId="24" borderId="23" xfId="0" applyNumberFormat="1" applyFont="1" applyFill="1" applyBorder="1" applyAlignment="1">
      <alignment horizontal="justify" vertical="center"/>
    </xf>
    <xf numFmtId="166" fontId="49" fillId="24" borderId="32" xfId="0" applyNumberFormat="1" applyFont="1" applyFill="1" applyBorder="1" applyAlignment="1">
      <alignment horizontal="justify" vertical="center"/>
    </xf>
    <xf numFmtId="166" fontId="49" fillId="24" borderId="24" xfId="0" applyNumberFormat="1" applyFont="1" applyFill="1" applyBorder="1" applyAlignment="1">
      <alignment horizontal="justify" vertical="center"/>
    </xf>
    <xf numFmtId="0" fontId="48" fillId="40" borderId="6" xfId="0" applyFont="1" applyFill="1" applyBorder="1" applyAlignment="1">
      <alignment horizontal="justify" vertical="center" textRotation="90" wrapText="1"/>
    </xf>
    <xf numFmtId="0" fontId="47" fillId="41" borderId="9" xfId="0" applyFont="1" applyFill="1" applyBorder="1" applyAlignment="1">
      <alignment horizontal="justify" vertical="center" wrapText="1"/>
    </xf>
    <xf numFmtId="0" fontId="47" fillId="41" borderId="7" xfId="0" applyFont="1" applyFill="1" applyBorder="1" applyAlignment="1">
      <alignment horizontal="justify" vertical="center" wrapText="1"/>
    </xf>
    <xf numFmtId="0" fontId="48" fillId="40" borderId="7" xfId="0" applyFont="1" applyFill="1" applyBorder="1" applyAlignment="1">
      <alignment horizontal="justify" vertical="center" textRotation="90" wrapText="1"/>
    </xf>
    <xf numFmtId="0" fontId="88" fillId="40" borderId="7" xfId="0" applyFont="1" applyFill="1" applyBorder="1" applyAlignment="1">
      <alignment horizontal="justify" vertical="center" textRotation="90" wrapText="1"/>
    </xf>
    <xf numFmtId="49" fontId="104" fillId="24" borderId="33" xfId="0" applyNumberFormat="1" applyFont="1" applyFill="1" applyBorder="1" applyAlignment="1">
      <alignment horizontal="justify" vertical="center" wrapText="1"/>
    </xf>
    <xf numFmtId="49" fontId="104" fillId="24" borderId="0" xfId="0" applyNumberFormat="1" applyFont="1" applyFill="1" applyAlignment="1">
      <alignment horizontal="justify" vertical="center" wrapText="1"/>
    </xf>
    <xf numFmtId="49" fontId="104" fillId="24" borderId="32" xfId="0" applyNumberFormat="1" applyFont="1" applyFill="1" applyBorder="1" applyAlignment="1">
      <alignment horizontal="justify" vertical="center" wrapText="1"/>
    </xf>
    <xf numFmtId="49" fontId="104" fillId="24" borderId="28" xfId="0" applyNumberFormat="1" applyFont="1" applyFill="1" applyBorder="1" applyAlignment="1">
      <alignment horizontal="justify" vertical="center" wrapText="1"/>
    </xf>
    <xf numFmtId="49" fontId="104" fillId="24" borderId="29" xfId="0" applyNumberFormat="1" applyFont="1" applyFill="1" applyBorder="1" applyAlignment="1">
      <alignment horizontal="justify" vertical="center" wrapText="1"/>
    </xf>
    <xf numFmtId="49" fontId="104" fillId="24" borderId="24" xfId="0" applyNumberFormat="1" applyFont="1" applyFill="1" applyBorder="1" applyAlignment="1">
      <alignment horizontal="justify" vertical="center" wrapText="1"/>
    </xf>
    <xf numFmtId="49" fontId="48" fillId="0" borderId="17" xfId="0" applyNumberFormat="1" applyFont="1" applyBorder="1" applyAlignment="1">
      <alignment horizontal="justify" vertical="center"/>
    </xf>
    <xf numFmtId="49" fontId="47" fillId="0" borderId="16" xfId="0" applyNumberFormat="1" applyFont="1" applyBorder="1" applyAlignment="1">
      <alignment horizontal="justify" vertical="center" wrapText="1"/>
    </xf>
    <xf numFmtId="49" fontId="47" fillId="0" borderId="19" xfId="0" applyNumberFormat="1" applyFont="1" applyBorder="1" applyAlignment="1">
      <alignment horizontal="justify" vertical="center" wrapText="1"/>
    </xf>
    <xf numFmtId="49" fontId="47" fillId="0" borderId="17" xfId="0" applyNumberFormat="1" applyFont="1" applyBorder="1" applyAlignment="1">
      <alignment horizontal="justify" vertical="center" wrapText="1"/>
    </xf>
    <xf numFmtId="0" fontId="48" fillId="0" borderId="16" xfId="0" applyFont="1" applyBorder="1" applyAlignment="1">
      <alignment horizontal="justify" vertical="center" textRotation="90" wrapText="1"/>
    </xf>
    <xf numFmtId="0" fontId="48" fillId="0" borderId="19" xfId="0" applyFont="1" applyBorder="1" applyAlignment="1">
      <alignment horizontal="justify" vertical="center" textRotation="90" wrapText="1"/>
    </xf>
    <xf numFmtId="0" fontId="48" fillId="0" borderId="17" xfId="0" applyFont="1" applyBorder="1" applyAlignment="1">
      <alignment horizontal="justify" vertical="center" textRotation="90" wrapText="1"/>
    </xf>
    <xf numFmtId="49" fontId="48" fillId="0" borderId="15" xfId="0" applyNumberFormat="1" applyFont="1" applyBorder="1" applyAlignment="1">
      <alignment horizontal="justify" vertical="center"/>
    </xf>
    <xf numFmtId="49" fontId="48" fillId="0" borderId="7" xfId="0" applyNumberFormat="1" applyFont="1" applyBorder="1" applyAlignment="1">
      <alignment horizontal="justify" vertical="center"/>
    </xf>
    <xf numFmtId="49" fontId="48" fillId="0" borderId="16" xfId="0" applyNumberFormat="1" applyFont="1" applyBorder="1" applyAlignment="1">
      <alignment horizontal="justify" vertical="center"/>
    </xf>
    <xf numFmtId="49" fontId="47" fillId="24" borderId="9" xfId="0" applyNumberFormat="1" applyFont="1" applyFill="1" applyBorder="1" applyAlignment="1">
      <alignment horizontal="justify" vertical="center"/>
    </xf>
    <xf numFmtId="49" fontId="47" fillId="24" borderId="6" xfId="0" applyNumberFormat="1" applyFont="1" applyFill="1" applyBorder="1" applyAlignment="1">
      <alignment horizontal="justify" vertical="center"/>
    </xf>
    <xf numFmtId="49" fontId="47" fillId="24" borderId="7" xfId="0" applyNumberFormat="1" applyFont="1" applyFill="1" applyBorder="1" applyAlignment="1">
      <alignment horizontal="justify" vertical="center"/>
    </xf>
    <xf numFmtId="0" fontId="48" fillId="24" borderId="17" xfId="0" applyFont="1" applyFill="1" applyBorder="1" applyAlignment="1">
      <alignment horizontal="justify" vertical="center" textRotation="90" wrapText="1"/>
    </xf>
    <xf numFmtId="49" fontId="48" fillId="42" borderId="16" xfId="0" applyNumberFormat="1" applyFont="1" applyFill="1" applyBorder="1" applyAlignment="1">
      <alignment horizontal="justify" vertical="center" wrapText="1"/>
    </xf>
    <xf numFmtId="49" fontId="48" fillId="42" borderId="19" xfId="0" applyNumberFormat="1" applyFont="1" applyFill="1" applyBorder="1" applyAlignment="1">
      <alignment horizontal="justify" vertical="center" wrapText="1"/>
    </xf>
    <xf numFmtId="166" fontId="48" fillId="0" borderId="16" xfId="0" applyNumberFormat="1" applyFont="1" applyBorder="1" applyAlignment="1">
      <alignment horizontal="justify" vertical="center"/>
    </xf>
    <xf numFmtId="166" fontId="48" fillId="42" borderId="16" xfId="0" applyNumberFormat="1" applyFont="1" applyFill="1" applyBorder="1" applyAlignment="1">
      <alignment horizontal="justify" vertical="center" wrapText="1"/>
    </xf>
    <xf numFmtId="166" fontId="48" fillId="42" borderId="19" xfId="0" applyNumberFormat="1" applyFont="1" applyFill="1" applyBorder="1" applyAlignment="1">
      <alignment horizontal="justify" vertical="center" wrapText="1"/>
    </xf>
    <xf numFmtId="166" fontId="48" fillId="42" borderId="17" xfId="0" applyNumberFormat="1" applyFont="1" applyFill="1" applyBorder="1" applyAlignment="1">
      <alignment horizontal="justify" vertical="center"/>
    </xf>
    <xf numFmtId="166" fontId="47" fillId="42" borderId="23" xfId="0" applyNumberFormat="1" applyFont="1" applyFill="1" applyBorder="1" applyAlignment="1">
      <alignment horizontal="justify" vertical="center"/>
    </xf>
    <xf numFmtId="166" fontId="47" fillId="42" borderId="32" xfId="0" applyNumberFormat="1" applyFont="1" applyFill="1" applyBorder="1" applyAlignment="1">
      <alignment horizontal="justify" vertical="center"/>
    </xf>
    <xf numFmtId="166" fontId="47" fillId="42" borderId="24" xfId="0" applyNumberFormat="1" applyFont="1" applyFill="1" applyBorder="1" applyAlignment="1">
      <alignment horizontal="justify" vertical="center"/>
    </xf>
    <xf numFmtId="0" fontId="47" fillId="42" borderId="6" xfId="0" applyFont="1" applyFill="1" applyBorder="1" applyAlignment="1">
      <alignment horizontal="justify" vertical="center" wrapText="1"/>
    </xf>
    <xf numFmtId="0" fontId="48" fillId="42" borderId="6" xfId="0" applyFont="1" applyFill="1" applyBorder="1" applyAlignment="1">
      <alignment horizontal="justify" vertical="center" textRotation="90" wrapText="1"/>
    </xf>
    <xf numFmtId="49" fontId="47" fillId="0" borderId="9" xfId="0" applyNumberFormat="1" applyFont="1" applyBorder="1" applyAlignment="1">
      <alignment horizontal="justify" vertical="center" wrapText="1"/>
    </xf>
    <xf numFmtId="49" fontId="47" fillId="0" borderId="15" xfId="0" applyNumberFormat="1" applyFont="1" applyBorder="1" applyAlignment="1">
      <alignment horizontal="justify" vertical="center" wrapText="1"/>
    </xf>
    <xf numFmtId="49" fontId="47" fillId="0" borderId="7" xfId="0" applyNumberFormat="1" applyFont="1" applyBorder="1" applyAlignment="1">
      <alignment horizontal="justify" vertical="center" wrapText="1"/>
    </xf>
    <xf numFmtId="0" fontId="48" fillId="24" borderId="9" xfId="0" applyFont="1" applyFill="1" applyBorder="1" applyAlignment="1">
      <alignment horizontal="justify" vertical="center" wrapText="1"/>
    </xf>
    <xf numFmtId="0" fontId="48" fillId="24" borderId="6" xfId="0" applyFont="1" applyFill="1" applyBorder="1" applyAlignment="1">
      <alignment horizontal="justify" vertical="center" wrapText="1"/>
    </xf>
    <xf numFmtId="0" fontId="48" fillId="24" borderId="7" xfId="0" applyFont="1" applyFill="1" applyBorder="1" applyAlignment="1">
      <alignment horizontal="justify" vertical="center" wrapText="1"/>
    </xf>
    <xf numFmtId="0" fontId="47" fillId="29" borderId="6" xfId="0" applyFont="1" applyFill="1" applyBorder="1" applyAlignment="1">
      <alignment horizontal="justify" vertical="center" wrapText="1"/>
    </xf>
    <xf numFmtId="49" fontId="47" fillId="30" borderId="11" xfId="0" applyNumberFormat="1" applyFont="1" applyFill="1" applyBorder="1" applyAlignment="1">
      <alignment horizontal="justify" vertical="center" wrapText="1"/>
    </xf>
    <xf numFmtId="49" fontId="47" fillId="30" borderId="16" xfId="0" applyNumberFormat="1" applyFont="1" applyFill="1" applyBorder="1" applyAlignment="1">
      <alignment horizontal="justify" vertical="center" wrapText="1"/>
    </xf>
    <xf numFmtId="0" fontId="48" fillId="0" borderId="13" xfId="0" applyFont="1" applyBorder="1" applyAlignment="1">
      <alignment horizontal="justify" vertical="center" textRotation="90" wrapText="1"/>
    </xf>
    <xf numFmtId="0" fontId="48" fillId="0" borderId="18" xfId="0" applyFont="1" applyBorder="1" applyAlignment="1">
      <alignment horizontal="justify" vertical="center" textRotation="90" wrapText="1"/>
    </xf>
    <xf numFmtId="49" fontId="94" fillId="0" borderId="16" xfId="0" applyNumberFormat="1" applyFont="1" applyBorder="1" applyAlignment="1">
      <alignment horizontal="justify" vertical="center" wrapText="1"/>
    </xf>
    <xf numFmtId="49" fontId="94" fillId="0" borderId="17" xfId="0" applyNumberFormat="1" applyFont="1" applyBorder="1" applyAlignment="1">
      <alignment horizontal="justify" vertical="center"/>
    </xf>
    <xf numFmtId="49" fontId="92" fillId="0" borderId="16" xfId="0" applyNumberFormat="1" applyFont="1" applyBorder="1" applyAlignment="1">
      <alignment horizontal="justify" vertical="center" wrapText="1"/>
    </xf>
    <xf numFmtId="49" fontId="92" fillId="0" borderId="17" xfId="0" applyNumberFormat="1" applyFont="1" applyBorder="1" applyAlignment="1">
      <alignment horizontal="justify" vertical="center" wrapText="1"/>
    </xf>
    <xf numFmtId="49" fontId="47" fillId="31" borderId="16" xfId="0" applyNumberFormat="1" applyFont="1" applyFill="1" applyBorder="1" applyAlignment="1">
      <alignment horizontal="justify" vertical="center" wrapText="1"/>
    </xf>
    <xf numFmtId="49" fontId="47" fillId="31" borderId="19" xfId="0" applyNumberFormat="1" applyFont="1" applyFill="1" applyBorder="1" applyAlignment="1">
      <alignment horizontal="justify" vertical="center" wrapText="1"/>
    </xf>
    <xf numFmtId="49" fontId="47" fillId="31" borderId="17" xfId="0" applyNumberFormat="1" applyFont="1" applyFill="1" applyBorder="1" applyAlignment="1">
      <alignment horizontal="justify" vertical="center" wrapText="1"/>
    </xf>
    <xf numFmtId="166" fontId="48" fillId="0" borderId="17" xfId="0" applyNumberFormat="1" applyFont="1" applyBorder="1" applyAlignment="1">
      <alignment horizontal="justify" vertical="center" wrapText="1"/>
    </xf>
    <xf numFmtId="166" fontId="48" fillId="29" borderId="23" xfId="0" applyNumberFormat="1" applyFont="1" applyFill="1" applyBorder="1" applyAlignment="1">
      <alignment horizontal="justify" vertical="center" wrapText="1"/>
    </xf>
    <xf numFmtId="166" fontId="48" fillId="29" borderId="32" xfId="0" applyNumberFormat="1" applyFont="1" applyFill="1" applyBorder="1" applyAlignment="1">
      <alignment horizontal="justify" vertical="center"/>
    </xf>
    <xf numFmtId="49" fontId="48" fillId="24" borderId="16" xfId="0" applyNumberFormat="1" applyFont="1" applyFill="1" applyBorder="1" applyAlignment="1">
      <alignment horizontal="justify" vertical="center" wrapText="1"/>
    </xf>
    <xf numFmtId="49" fontId="48" fillId="24" borderId="19" xfId="0" applyNumberFormat="1" applyFont="1" applyFill="1" applyBorder="1" applyAlignment="1">
      <alignment horizontal="justify" vertical="center" wrapText="1"/>
    </xf>
    <xf numFmtId="166" fontId="48" fillId="28" borderId="11" xfId="0" applyNumberFormat="1" applyFont="1" applyFill="1" applyBorder="1" applyAlignment="1">
      <alignment horizontal="justify" vertical="center"/>
    </xf>
    <xf numFmtId="166" fontId="48" fillId="31" borderId="11" xfId="0" applyNumberFormat="1" applyFont="1" applyFill="1" applyBorder="1" applyAlignment="1">
      <alignment horizontal="justify" vertical="center" wrapText="1"/>
    </xf>
    <xf numFmtId="166" fontId="48" fillId="31" borderId="11" xfId="0" applyNumberFormat="1" applyFont="1" applyFill="1" applyBorder="1" applyAlignment="1">
      <alignment horizontal="justify" vertical="center"/>
    </xf>
    <xf numFmtId="49" fontId="47" fillId="31" borderId="11" xfId="0" applyNumberFormat="1" applyFont="1" applyFill="1" applyBorder="1" applyAlignment="1">
      <alignment horizontal="justify" vertical="center" wrapText="1"/>
    </xf>
    <xf numFmtId="1" fontId="48" fillId="0" borderId="19" xfId="0" applyNumberFormat="1" applyFont="1" applyBorder="1" applyAlignment="1">
      <alignment horizontal="justify" vertical="center"/>
    </xf>
    <xf numFmtId="0" fontId="85" fillId="0" borderId="17" xfId="0" applyFont="1" applyBorder="1" applyAlignment="1">
      <alignment horizontal="center" vertical="center" wrapText="1"/>
    </xf>
    <xf numFmtId="0" fontId="84" fillId="5" borderId="16" xfId="0" applyFont="1" applyFill="1" applyBorder="1" applyAlignment="1">
      <alignment horizontal="center" vertical="center" wrapText="1"/>
    </xf>
    <xf numFmtId="0" fontId="84" fillId="5" borderId="17" xfId="0" applyFont="1" applyFill="1" applyBorder="1" applyAlignment="1">
      <alignment horizontal="center" vertical="center" wrapText="1"/>
    </xf>
    <xf numFmtId="166" fontId="96" fillId="24" borderId="16" xfId="0" applyNumberFormat="1" applyFont="1" applyFill="1" applyBorder="1" applyAlignment="1">
      <alignment horizontal="center" vertical="center"/>
    </xf>
    <xf numFmtId="166" fontId="96" fillId="24" borderId="19" xfId="0" applyNumberFormat="1" applyFont="1" applyFill="1" applyBorder="1" applyAlignment="1">
      <alignment horizontal="center" vertical="center"/>
    </xf>
    <xf numFmtId="166" fontId="96" fillId="24" borderId="17" xfId="0" applyNumberFormat="1" applyFont="1" applyFill="1" applyBorder="1" applyAlignment="1">
      <alignment horizontal="center" vertical="center"/>
    </xf>
    <xf numFmtId="9" fontId="94" fillId="0" borderId="16" xfId="22" applyFont="1" applyFill="1" applyBorder="1" applyAlignment="1">
      <alignment horizontal="center" vertical="center" wrapText="1"/>
    </xf>
    <xf numFmtId="9" fontId="94" fillId="0" borderId="17" xfId="22" applyFont="1" applyFill="1" applyBorder="1" applyAlignment="1">
      <alignment horizontal="center" vertical="center" wrapText="1"/>
    </xf>
    <xf numFmtId="49" fontId="48" fillId="24" borderId="16" xfId="0" applyNumberFormat="1" applyFont="1" applyFill="1" applyBorder="1" applyAlignment="1">
      <alignment horizontal="center" vertical="center"/>
    </xf>
    <xf numFmtId="49" fontId="48" fillId="24" borderId="17" xfId="0" applyNumberFormat="1" applyFont="1" applyFill="1" applyBorder="1" applyAlignment="1">
      <alignment horizontal="center" vertical="center"/>
    </xf>
    <xf numFmtId="0" fontId="47" fillId="0" borderId="27" xfId="0" applyFont="1" applyBorder="1" applyAlignment="1">
      <alignment horizontal="center" vertical="center" wrapText="1"/>
    </xf>
    <xf numFmtId="0" fontId="48" fillId="0" borderId="25" xfId="0" applyFont="1" applyBorder="1" applyAlignment="1">
      <alignment horizontal="center" vertical="center" textRotation="90" wrapText="1"/>
    </xf>
    <xf numFmtId="0" fontId="48" fillId="0" borderId="30" xfId="0" applyFont="1" applyBorder="1" applyAlignment="1">
      <alignment horizontal="center" vertical="center" textRotation="90" wrapText="1"/>
    </xf>
    <xf numFmtId="0" fontId="48" fillId="0" borderId="7" xfId="0" applyFont="1" applyBorder="1" applyAlignment="1">
      <alignment horizontal="center" vertical="center" textRotation="90" wrapText="1"/>
    </xf>
    <xf numFmtId="0" fontId="48" fillId="0" borderId="18" xfId="0" applyFont="1" applyBorder="1" applyAlignment="1">
      <alignment horizontal="center" vertical="center" textRotation="90" wrapText="1"/>
    </xf>
    <xf numFmtId="0" fontId="84" fillId="5" borderId="19" xfId="0" applyFont="1" applyFill="1" applyBorder="1" applyAlignment="1">
      <alignment horizontal="center" vertical="center" wrapText="1"/>
    </xf>
    <xf numFmtId="0" fontId="48" fillId="0" borderId="17" xfId="0" applyFont="1" applyBorder="1" applyAlignment="1">
      <alignment horizontal="justify" vertical="center" wrapText="1"/>
    </xf>
    <xf numFmtId="49" fontId="47" fillId="29" borderId="16" xfId="0" applyNumberFormat="1" applyFont="1" applyFill="1" applyBorder="1" applyAlignment="1">
      <alignment horizontal="justify" vertical="center" wrapText="1"/>
    </xf>
    <xf numFmtId="49" fontId="47" fillId="29" borderId="19" xfId="0" applyNumberFormat="1" applyFont="1" applyFill="1" applyBorder="1" applyAlignment="1">
      <alignment horizontal="justify" vertical="center" wrapText="1"/>
    </xf>
    <xf numFmtId="0" fontId="48" fillId="30" borderId="11" xfId="0" applyFont="1" applyFill="1" applyBorder="1" applyAlignment="1">
      <alignment horizontal="justify" vertical="center" textRotation="90" wrapText="1"/>
    </xf>
    <xf numFmtId="0" fontId="48" fillId="30" borderId="16" xfId="0" applyFont="1" applyFill="1" applyBorder="1" applyAlignment="1">
      <alignment horizontal="justify" vertical="center" textRotation="90" wrapText="1"/>
    </xf>
    <xf numFmtId="0" fontId="33" fillId="0" borderId="0" xfId="0" applyFont="1" applyAlignment="1">
      <alignment horizontal="left" wrapText="1"/>
    </xf>
    <xf numFmtId="0" fontId="33" fillId="0" borderId="0" xfId="0" applyFont="1" applyAlignment="1">
      <alignment horizontal="left"/>
    </xf>
    <xf numFmtId="0" fontId="47" fillId="0" borderId="16" xfId="0" applyFont="1" applyBorder="1" applyAlignment="1">
      <alignment horizontal="center" vertical="center" wrapText="1"/>
    </xf>
    <xf numFmtId="0" fontId="84" fillId="16" borderId="16" xfId="0" applyFont="1" applyFill="1" applyBorder="1" applyAlignment="1">
      <alignment horizontal="center" vertical="center" wrapText="1"/>
    </xf>
    <xf numFmtId="49" fontId="48" fillId="29" borderId="6" xfId="0" applyNumberFormat="1" applyFont="1" applyFill="1" applyBorder="1" applyAlignment="1">
      <alignment horizontal="justify" vertical="center"/>
    </xf>
    <xf numFmtId="49" fontId="47" fillId="29" borderId="8" xfId="0" applyNumberFormat="1" applyFont="1" applyFill="1" applyBorder="1" applyAlignment="1">
      <alignment horizontal="justify" vertical="center"/>
    </xf>
    <xf numFmtId="49" fontId="47" fillId="29" borderId="20" xfId="0" applyNumberFormat="1" applyFont="1" applyFill="1" applyBorder="1" applyAlignment="1">
      <alignment horizontal="justify" vertical="center"/>
    </xf>
    <xf numFmtId="49" fontId="48" fillId="29" borderId="17" xfId="0" applyNumberFormat="1" applyFont="1" applyFill="1" applyBorder="1" applyAlignment="1">
      <alignment horizontal="justify" vertical="center" wrapText="1"/>
    </xf>
    <xf numFmtId="166" fontId="48" fillId="0" borderId="23" xfId="0" applyNumberFormat="1" applyFont="1" applyBorder="1" applyAlignment="1">
      <alignment horizontal="justify" vertical="center" wrapText="1"/>
    </xf>
    <xf numFmtId="166" fontId="48" fillId="0" borderId="24" xfId="0" applyNumberFormat="1" applyFont="1" applyBorder="1" applyAlignment="1">
      <alignment horizontal="justify" vertical="center"/>
    </xf>
    <xf numFmtId="166" fontId="48" fillId="29" borderId="11" xfId="0" applyNumberFormat="1" applyFont="1" applyFill="1" applyBorder="1" applyAlignment="1">
      <alignment horizontal="justify" vertical="center" wrapText="1"/>
    </xf>
    <xf numFmtId="166" fontId="48" fillId="29" borderId="11" xfId="0" applyNumberFormat="1" applyFont="1" applyFill="1" applyBorder="1" applyAlignment="1">
      <alignment horizontal="justify" vertical="center"/>
    </xf>
    <xf numFmtId="0" fontId="49" fillId="0" borderId="0" xfId="0" applyFont="1" applyAlignment="1">
      <alignment horizontal="center" vertical="center"/>
    </xf>
    <xf numFmtId="49" fontId="48" fillId="40" borderId="17" xfId="0" applyNumberFormat="1" applyFont="1" applyFill="1" applyBorder="1" applyAlignment="1">
      <alignment horizontal="justify" vertical="center" wrapText="1"/>
    </xf>
    <xf numFmtId="49" fontId="48" fillId="42" borderId="17" xfId="0" applyNumberFormat="1" applyFont="1" applyFill="1" applyBorder="1" applyAlignment="1">
      <alignment horizontal="justify" vertical="center" wrapText="1"/>
    </xf>
    <xf numFmtId="49" fontId="84" fillId="0" borderId="16" xfId="0" applyNumberFormat="1" applyFont="1" applyBorder="1" applyAlignment="1">
      <alignment horizontal="justify" vertical="center" wrapText="1"/>
    </xf>
    <xf numFmtId="49" fontId="84" fillId="0" borderId="19" xfId="0" applyNumberFormat="1" applyFont="1" applyBorder="1" applyAlignment="1">
      <alignment horizontal="justify" vertical="center" wrapText="1"/>
    </xf>
    <xf numFmtId="49" fontId="84" fillId="0" borderId="17" xfId="0" applyNumberFormat="1" applyFont="1" applyBorder="1" applyAlignment="1">
      <alignment horizontal="justify" vertical="center" wrapText="1"/>
    </xf>
    <xf numFmtId="49" fontId="84" fillId="31" borderId="16" xfId="0" applyNumberFormat="1" applyFont="1" applyFill="1" applyBorder="1" applyAlignment="1">
      <alignment horizontal="justify" vertical="center" wrapText="1"/>
    </xf>
    <xf numFmtId="49" fontId="84" fillId="31" borderId="19" xfId="0" applyNumberFormat="1" applyFont="1" applyFill="1" applyBorder="1" applyAlignment="1">
      <alignment horizontal="justify" vertical="center" wrapText="1"/>
    </xf>
    <xf numFmtId="49" fontId="48" fillId="28" borderId="16" xfId="0" applyNumberFormat="1" applyFont="1" applyFill="1" applyBorder="1" applyAlignment="1">
      <alignment horizontal="justify" vertical="center" wrapText="1"/>
    </xf>
    <xf numFmtId="49" fontId="48" fillId="28" borderId="17" xfId="0" applyNumberFormat="1" applyFont="1" applyFill="1" applyBorder="1" applyAlignment="1">
      <alignment horizontal="justify" vertical="center" wrapText="1"/>
    </xf>
    <xf numFmtId="49" fontId="48" fillId="24" borderId="17" xfId="0" applyNumberFormat="1" applyFont="1" applyFill="1" applyBorder="1" applyAlignment="1">
      <alignment horizontal="justify" vertical="center" wrapText="1"/>
    </xf>
    <xf numFmtId="0" fontId="48" fillId="31" borderId="11" xfId="0" applyFont="1" applyFill="1" applyBorder="1" applyAlignment="1">
      <alignment horizontal="justify" vertical="center"/>
    </xf>
    <xf numFmtId="49" fontId="96" fillId="24" borderId="17" xfId="0" applyNumberFormat="1" applyFont="1" applyFill="1" applyBorder="1" applyAlignment="1">
      <alignment horizontal="justify" vertical="center" wrapText="1"/>
    </xf>
    <xf numFmtId="166" fontId="142" fillId="24" borderId="17" xfId="0" applyNumberFormat="1" applyFont="1" applyFill="1" applyBorder="1" applyAlignment="1">
      <alignment horizontal="justify" vertical="center" wrapText="1"/>
    </xf>
    <xf numFmtId="49" fontId="94" fillId="0" borderId="17" xfId="0" applyNumberFormat="1" applyFont="1" applyBorder="1" applyAlignment="1">
      <alignment horizontal="justify" vertical="center" wrapText="1"/>
    </xf>
    <xf numFmtId="2" fontId="48" fillId="0" borderId="16" xfId="0" applyNumberFormat="1" applyFont="1" applyBorder="1" applyAlignment="1">
      <alignment horizontal="justify" vertical="center"/>
    </xf>
    <xf numFmtId="2" fontId="48" fillId="0" borderId="19" xfId="0" applyNumberFormat="1" applyFont="1" applyBorder="1" applyAlignment="1">
      <alignment horizontal="justify" vertical="center"/>
    </xf>
    <xf numFmtId="2" fontId="48" fillId="0" borderId="17" xfId="0" applyNumberFormat="1" applyFont="1" applyBorder="1" applyAlignment="1">
      <alignment horizontal="justify" vertical="center"/>
    </xf>
    <xf numFmtId="49" fontId="146" fillId="0" borderId="16" xfId="0" applyNumberFormat="1" applyFont="1" applyBorder="1" applyAlignment="1">
      <alignment horizontal="justify" vertical="center" wrapText="1"/>
    </xf>
    <xf numFmtId="49" fontId="146" fillId="0" borderId="19" xfId="0" applyNumberFormat="1" applyFont="1" applyBorder="1" applyAlignment="1">
      <alignment horizontal="justify" vertical="center" wrapText="1"/>
    </xf>
    <xf numFmtId="49" fontId="47" fillId="31" borderId="6" xfId="0" applyNumberFormat="1" applyFont="1" applyFill="1" applyBorder="1" applyAlignment="1">
      <alignment horizontal="justify" vertical="center"/>
    </xf>
    <xf numFmtId="49" fontId="47" fillId="31" borderId="7" xfId="0" applyNumberFormat="1" applyFont="1" applyFill="1" applyBorder="1" applyAlignment="1">
      <alignment horizontal="justify" vertical="center"/>
    </xf>
    <xf numFmtId="0" fontId="47" fillId="31" borderId="6" xfId="0" applyFont="1" applyFill="1" applyBorder="1" applyAlignment="1">
      <alignment horizontal="justify" vertical="center" wrapText="1"/>
    </xf>
    <xf numFmtId="0" fontId="47" fillId="31" borderId="7" xfId="0" applyFont="1" applyFill="1" applyBorder="1" applyAlignment="1">
      <alignment horizontal="justify" vertical="center" wrapText="1"/>
    </xf>
    <xf numFmtId="0" fontId="48" fillId="28" borderId="11" xfId="0" applyFont="1" applyFill="1" applyBorder="1" applyAlignment="1">
      <alignment horizontal="justify" vertical="center" textRotation="90" wrapText="1"/>
    </xf>
    <xf numFmtId="0" fontId="47" fillId="28" borderId="11" xfId="0" applyFont="1" applyFill="1" applyBorder="1" applyAlignment="1">
      <alignment horizontal="justify" vertical="center" wrapText="1"/>
    </xf>
    <xf numFmtId="49" fontId="48" fillId="28" borderId="11" xfId="0" applyNumberFormat="1" applyFont="1" applyFill="1" applyBorder="1" applyAlignment="1">
      <alignment horizontal="justify" vertical="center"/>
    </xf>
    <xf numFmtId="49" fontId="48" fillId="24" borderId="22" xfId="0" applyNumberFormat="1" applyFont="1" applyFill="1" applyBorder="1" applyAlignment="1">
      <alignment horizontal="justify" vertical="center" wrapText="1"/>
    </xf>
    <xf numFmtId="49" fontId="48" fillId="24" borderId="27" xfId="0" applyNumberFormat="1" applyFont="1" applyFill="1" applyBorder="1" applyAlignment="1">
      <alignment horizontal="justify" vertical="center" wrapText="1"/>
    </xf>
    <xf numFmtId="49" fontId="48" fillId="24" borderId="23" xfId="0" applyNumberFormat="1" applyFont="1" applyFill="1" applyBorder="1" applyAlignment="1">
      <alignment horizontal="justify" vertical="center" wrapText="1"/>
    </xf>
    <xf numFmtId="49" fontId="48" fillId="24" borderId="33" xfId="0" applyNumberFormat="1" applyFont="1" applyFill="1" applyBorder="1" applyAlignment="1">
      <alignment horizontal="justify" vertical="center" wrapText="1"/>
    </xf>
    <xf numFmtId="49" fontId="48" fillId="24" borderId="0" xfId="0" applyNumberFormat="1" applyFont="1" applyFill="1" applyAlignment="1">
      <alignment horizontal="justify" vertical="center" wrapText="1"/>
    </xf>
    <xf numFmtId="49" fontId="48" fillId="24" borderId="32" xfId="0" applyNumberFormat="1" applyFont="1" applyFill="1" applyBorder="1" applyAlignment="1">
      <alignment horizontal="justify" vertical="center" wrapText="1"/>
    </xf>
    <xf numFmtId="49" fontId="48" fillId="24" borderId="28" xfId="0" applyNumberFormat="1" applyFont="1" applyFill="1" applyBorder="1" applyAlignment="1">
      <alignment horizontal="justify" vertical="center" wrapText="1"/>
    </xf>
    <xf numFmtId="49" fontId="48" fillId="24" borderId="29" xfId="0" applyNumberFormat="1" applyFont="1" applyFill="1" applyBorder="1" applyAlignment="1">
      <alignment horizontal="justify" vertical="center" wrapText="1"/>
    </xf>
    <xf numFmtId="49" fontId="48" fillId="24" borderId="24" xfId="0" applyNumberFormat="1" applyFont="1" applyFill="1" applyBorder="1" applyAlignment="1">
      <alignment horizontal="justify" vertical="center" wrapText="1"/>
    </xf>
    <xf numFmtId="49" fontId="47" fillId="4" borderId="16" xfId="0" applyNumberFormat="1" applyFont="1" applyFill="1" applyBorder="1" applyAlignment="1">
      <alignment horizontal="justify" vertical="center" wrapText="1"/>
    </xf>
    <xf numFmtId="49" fontId="47" fillId="4" borderId="17" xfId="0" applyNumberFormat="1" applyFont="1" applyFill="1" applyBorder="1" applyAlignment="1">
      <alignment horizontal="justify" vertical="center" wrapText="1"/>
    </xf>
    <xf numFmtId="0" fontId="53" fillId="0" borderId="16" xfId="0" applyFont="1" applyBorder="1" applyAlignment="1">
      <alignment horizontal="center" vertical="top" wrapText="1"/>
    </xf>
    <xf numFmtId="0" fontId="53" fillId="0" borderId="19" xfId="0" applyFont="1" applyBorder="1" applyAlignment="1">
      <alignment horizontal="center" vertical="top" wrapText="1"/>
    </xf>
    <xf numFmtId="0" fontId="53" fillId="0" borderId="17" xfId="0" applyFont="1" applyBorder="1" applyAlignment="1">
      <alignment horizontal="center" vertical="top" wrapText="1"/>
    </xf>
    <xf numFmtId="0" fontId="210" fillId="0" borderId="11" xfId="0" applyFont="1" applyBorder="1" applyAlignment="1">
      <alignment vertical="center" wrapText="1"/>
    </xf>
    <xf numFmtId="0" fontId="211" fillId="0" borderId="11" xfId="0" applyFont="1" applyBorder="1" applyAlignment="1">
      <alignment horizontal="center" vertical="center" wrapText="1"/>
    </xf>
    <xf numFmtId="0" fontId="53" fillId="0" borderId="11" xfId="0" applyFont="1" applyBorder="1" applyAlignment="1">
      <alignment horizontal="center" vertical="top" wrapText="1"/>
    </xf>
    <xf numFmtId="0" fontId="52" fillId="0" borderId="11" xfId="0" applyFont="1" applyBorder="1" applyAlignment="1">
      <alignment horizontal="left" vertical="center" wrapText="1"/>
    </xf>
    <xf numFmtId="0" fontId="53" fillId="18" borderId="11" xfId="0" applyFont="1" applyFill="1" applyBorder="1" applyAlignment="1">
      <alignment horizontal="center" vertical="center" wrapText="1"/>
    </xf>
    <xf numFmtId="0" fontId="53" fillId="18" borderId="17" xfId="0" applyFont="1" applyFill="1" applyBorder="1" applyAlignment="1">
      <alignment horizontal="center" vertical="center" wrapText="1"/>
    </xf>
    <xf numFmtId="0" fontId="52" fillId="0" borderId="29" xfId="0" applyFont="1" applyBorder="1" applyAlignment="1">
      <alignment horizontal="left"/>
    </xf>
    <xf numFmtId="0" fontId="52" fillId="0" borderId="0" xfId="0" applyFont="1" applyAlignment="1">
      <alignment horizontal="left"/>
    </xf>
    <xf numFmtId="0" fontId="53" fillId="0" borderId="11" xfId="0" applyFont="1" applyBorder="1" applyAlignment="1">
      <alignment horizontal="justify" vertical="top" wrapText="1"/>
    </xf>
    <xf numFmtId="0" fontId="55" fillId="18" borderId="11" xfId="0" applyFont="1" applyFill="1" applyBorder="1" applyAlignment="1">
      <alignment horizontal="center" vertical="center"/>
    </xf>
    <xf numFmtId="0" fontId="52" fillId="0" borderId="16" xfId="0" applyFont="1" applyBorder="1" applyAlignment="1">
      <alignment horizontal="center" vertical="center" wrapText="1"/>
    </xf>
    <xf numFmtId="0" fontId="52" fillId="0" borderId="17" xfId="0" applyFont="1" applyBorder="1" applyAlignment="1">
      <alignment horizontal="center" vertical="center" wrapText="1"/>
    </xf>
    <xf numFmtId="0" fontId="202" fillId="0" borderId="11" xfId="0" applyFont="1" applyBorder="1" applyAlignment="1">
      <alignment horizontal="center" vertical="top" wrapText="1"/>
    </xf>
    <xf numFmtId="0" fontId="53" fillId="18" borderId="11" xfId="0" applyFont="1" applyFill="1" applyBorder="1" applyAlignment="1">
      <alignment horizontal="center" vertical="center"/>
    </xf>
    <xf numFmtId="0" fontId="120" fillId="0" borderId="11" xfId="0" applyFont="1" applyBorder="1" applyAlignment="1">
      <alignment horizontal="justify" vertical="top" wrapText="1"/>
    </xf>
    <xf numFmtId="0" fontId="52" fillId="0" borderId="11" xfId="0" applyFont="1" applyBorder="1" applyAlignment="1">
      <alignment horizontal="center" vertical="center" wrapText="1"/>
    </xf>
    <xf numFmtId="0" fontId="55" fillId="18" borderId="16" xfId="0" applyFont="1" applyFill="1" applyBorder="1" applyAlignment="1">
      <alignment horizontal="center" vertical="center"/>
    </xf>
    <xf numFmtId="0" fontId="55" fillId="18" borderId="19" xfId="0" applyFont="1" applyFill="1" applyBorder="1" applyAlignment="1">
      <alignment horizontal="center" vertical="center"/>
    </xf>
    <xf numFmtId="0" fontId="52" fillId="0" borderId="16" xfId="0" applyFont="1" applyBorder="1" applyAlignment="1">
      <alignment horizontal="justify" vertical="center" wrapText="1"/>
    </xf>
    <xf numFmtId="0" fontId="52" fillId="0" borderId="17" xfId="0" applyFont="1" applyBorder="1" applyAlignment="1">
      <alignment horizontal="justify" vertical="center" wrapText="1"/>
    </xf>
    <xf numFmtId="0" fontId="52" fillId="0" borderId="22" xfId="0" applyFont="1" applyBorder="1" applyAlignment="1">
      <alignment horizontal="center" vertical="center" wrapText="1"/>
    </xf>
    <xf numFmtId="0" fontId="52" fillId="0" borderId="33" xfId="0" applyFont="1" applyBorder="1" applyAlignment="1">
      <alignment horizontal="center" vertical="center" wrapText="1"/>
    </xf>
    <xf numFmtId="0" fontId="52" fillId="0" borderId="28" xfId="0" applyFont="1" applyBorder="1" applyAlignment="1">
      <alignment horizontal="center" vertical="center" wrapText="1"/>
    </xf>
    <xf numFmtId="0" fontId="0" fillId="0" borderId="11" xfId="0" applyBorder="1" applyAlignment="1">
      <alignment horizontal="center" vertical="center" wrapText="1"/>
    </xf>
    <xf numFmtId="0" fontId="119" fillId="0" borderId="16" xfId="0" applyFont="1" applyBorder="1" applyAlignment="1">
      <alignment horizontal="center" vertical="center" wrapText="1"/>
    </xf>
    <xf numFmtId="0" fontId="119" fillId="0" borderId="17" xfId="0" applyFont="1" applyBorder="1" applyAlignment="1">
      <alignment horizontal="center" vertical="center" wrapText="1"/>
    </xf>
    <xf numFmtId="0" fontId="55" fillId="18" borderId="12" xfId="0" applyFont="1" applyFill="1" applyBorder="1" applyAlignment="1">
      <alignment horizontal="center" vertical="center"/>
    </xf>
    <xf numFmtId="0" fontId="52" fillId="0" borderId="11" xfId="0" applyFont="1" applyBorder="1" applyAlignment="1">
      <alignment horizontal="justify" vertical="center" wrapText="1"/>
    </xf>
    <xf numFmtId="0" fontId="52" fillId="0" borderId="19" xfId="0" applyFont="1" applyBorder="1" applyAlignment="1">
      <alignment horizontal="center" vertical="center" wrapText="1"/>
    </xf>
    <xf numFmtId="0" fontId="53" fillId="14" borderId="12" xfId="0" applyFont="1" applyFill="1" applyBorder="1" applyAlignment="1">
      <alignment horizontal="center" vertical="center" wrapText="1"/>
    </xf>
    <xf numFmtId="0" fontId="53" fillId="14" borderId="26" xfId="0" applyFont="1" applyFill="1" applyBorder="1" applyAlignment="1">
      <alignment horizontal="center" vertical="center" wrapText="1"/>
    </xf>
    <xf numFmtId="0" fontId="53" fillId="14" borderId="14" xfId="0" applyFont="1" applyFill="1" applyBorder="1" applyAlignment="1">
      <alignment horizontal="center" vertical="center" wrapText="1"/>
    </xf>
    <xf numFmtId="0" fontId="119" fillId="0" borderId="11" xfId="0" applyFont="1" applyBorder="1" applyAlignment="1">
      <alignment horizontal="center" vertical="center" wrapText="1"/>
    </xf>
    <xf numFmtId="0" fontId="53" fillId="0" borderId="11" xfId="0" applyFont="1" applyBorder="1" applyAlignment="1">
      <alignment horizontal="center" vertical="center" wrapText="1"/>
    </xf>
    <xf numFmtId="0" fontId="204" fillId="0" borderId="17" xfId="0" applyFont="1" applyBorder="1" applyAlignment="1">
      <alignment vertical="top" wrapText="1"/>
    </xf>
    <xf numFmtId="0" fontId="204" fillId="0" borderId="11" xfId="0" applyFont="1" applyBorder="1" applyAlignment="1">
      <alignment vertical="top" wrapText="1"/>
    </xf>
    <xf numFmtId="0" fontId="204" fillId="0" borderId="91" xfId="0" applyFont="1" applyBorder="1" applyAlignment="1">
      <alignment vertical="top" wrapText="1"/>
    </xf>
    <xf numFmtId="0" fontId="206" fillId="0" borderId="11" xfId="0" applyFont="1" applyBorder="1" applyAlignment="1">
      <alignment vertical="top" wrapText="1"/>
    </xf>
    <xf numFmtId="0" fontId="206" fillId="0" borderId="89" xfId="0" applyFont="1" applyBorder="1" applyAlignment="1">
      <alignment vertical="top" wrapText="1"/>
    </xf>
    <xf numFmtId="0" fontId="203" fillId="0" borderId="11" xfId="0" applyFont="1" applyBorder="1" applyAlignment="1">
      <alignment vertical="top" wrapText="1"/>
    </xf>
    <xf numFmtId="0" fontId="203" fillId="0" borderId="91" xfId="0" applyFont="1" applyBorder="1" applyAlignment="1">
      <alignment vertical="top" wrapText="1"/>
    </xf>
    <xf numFmtId="0" fontId="206" fillId="0" borderId="91" xfId="0" applyFont="1" applyBorder="1" applyAlignment="1">
      <alignment vertical="top" wrapText="1"/>
    </xf>
    <xf numFmtId="0" fontId="207" fillId="0" borderId="11" xfId="0" applyFont="1" applyBorder="1" applyAlignment="1">
      <alignment vertical="top" wrapText="1"/>
    </xf>
    <xf numFmtId="0" fontId="206" fillId="0" borderId="96" xfId="0" applyFont="1" applyBorder="1" applyAlignment="1">
      <alignment vertical="top" wrapText="1"/>
    </xf>
    <xf numFmtId="0" fontId="206" fillId="0" borderId="97" xfId="0" applyFont="1" applyBorder="1" applyAlignment="1">
      <alignment vertical="top" wrapText="1"/>
    </xf>
    <xf numFmtId="0" fontId="207" fillId="0" borderId="96" xfId="0" applyFont="1" applyBorder="1" applyAlignment="1">
      <alignment vertical="top" wrapText="1"/>
    </xf>
    <xf numFmtId="0" fontId="209" fillId="0" borderId="11" xfId="0" applyFont="1" applyBorder="1" applyAlignment="1">
      <alignment vertical="top" wrapText="1"/>
    </xf>
    <xf numFmtId="0" fontId="204" fillId="0" borderId="89" xfId="0" applyFont="1" applyBorder="1" applyAlignment="1">
      <alignment vertical="top" wrapText="1"/>
    </xf>
    <xf numFmtId="0" fontId="208" fillId="0" borderId="89" xfId="0" applyFont="1" applyBorder="1" applyAlignment="1">
      <alignment vertical="top" wrapText="1"/>
    </xf>
    <xf numFmtId="0" fontId="207" fillId="0" borderId="16" xfId="0" applyFont="1" applyBorder="1" applyAlignment="1">
      <alignment horizontal="left" vertical="top" wrapText="1"/>
    </xf>
    <xf numFmtId="0" fontId="207" fillId="0" borderId="17" xfId="0" applyFont="1" applyBorder="1" applyAlignment="1">
      <alignment horizontal="left" vertical="top" wrapText="1"/>
    </xf>
    <xf numFmtId="0" fontId="207" fillId="0" borderId="89" xfId="0" applyFont="1" applyBorder="1" applyAlignment="1">
      <alignment vertical="top" wrapText="1"/>
    </xf>
    <xf numFmtId="0" fontId="207" fillId="0" borderId="11" xfId="0" applyFont="1" applyBorder="1" applyAlignment="1">
      <alignment horizontal="center" vertical="top" wrapText="1"/>
    </xf>
    <xf numFmtId="0" fontId="207" fillId="0" borderId="89" xfId="0" applyFont="1" applyBorder="1" applyAlignment="1">
      <alignment horizontal="center" vertical="top" wrapText="1"/>
    </xf>
    <xf numFmtId="0" fontId="203" fillId="56" borderId="86" xfId="0" applyFont="1" applyFill="1" applyBorder="1" applyAlignment="1">
      <alignment vertical="top" wrapText="1"/>
    </xf>
    <xf numFmtId="0" fontId="203" fillId="56" borderId="11" xfId="0" applyFont="1" applyFill="1" applyBorder="1" applyAlignment="1">
      <alignment vertical="top" wrapText="1"/>
    </xf>
    <xf numFmtId="0" fontId="203" fillId="56" borderId="87" xfId="0" applyFont="1" applyFill="1" applyBorder="1" applyAlignment="1">
      <alignment vertical="top" wrapText="1"/>
    </xf>
    <xf numFmtId="0" fontId="207" fillId="0" borderId="17" xfId="0" applyFont="1" applyBorder="1" applyAlignment="1">
      <alignment vertical="top" wrapText="1"/>
    </xf>
    <xf numFmtId="0" fontId="207" fillId="0" borderId="106" xfId="0" applyFont="1" applyBorder="1" applyAlignment="1">
      <alignment vertical="top" wrapText="1"/>
    </xf>
    <xf numFmtId="0" fontId="203" fillId="56" borderId="95" xfId="0" applyFont="1" applyFill="1" applyBorder="1" applyAlignment="1">
      <alignment vertical="top" wrapText="1"/>
    </xf>
    <xf numFmtId="0" fontId="203" fillId="56" borderId="96" xfId="0" applyFont="1" applyFill="1" applyBorder="1" applyAlignment="1">
      <alignment vertical="top" wrapText="1"/>
    </xf>
    <xf numFmtId="0" fontId="33" fillId="0" borderId="11" xfId="0" applyFont="1" applyBorder="1" applyAlignment="1">
      <alignment vertical="center" wrapText="1"/>
    </xf>
    <xf numFmtId="0" fontId="29" fillId="17" borderId="11" xfId="0" applyFont="1" applyFill="1" applyBorder="1" applyAlignment="1">
      <alignment horizontal="center" vertical="center"/>
    </xf>
    <xf numFmtId="2" fontId="33" fillId="0" borderId="11" xfId="0" applyNumberFormat="1" applyFont="1" applyBorder="1" applyAlignment="1">
      <alignment horizontal="left" vertical="center" wrapText="1"/>
    </xf>
    <xf numFmtId="2" fontId="33" fillId="0" borderId="16" xfId="0" applyNumberFormat="1" applyFont="1" applyBorder="1" applyAlignment="1">
      <alignment horizontal="center" vertical="center" wrapText="1"/>
    </xf>
    <xf numFmtId="2" fontId="33" fillId="0" borderId="19" xfId="0" applyNumberFormat="1" applyFont="1" applyBorder="1" applyAlignment="1">
      <alignment horizontal="center" vertical="center" wrapText="1"/>
    </xf>
    <xf numFmtId="2" fontId="33" fillId="0" borderId="17" xfId="0" applyNumberFormat="1" applyFont="1" applyBorder="1" applyAlignment="1">
      <alignment horizontal="center" vertical="center" wrapText="1"/>
    </xf>
    <xf numFmtId="0" fontId="29" fillId="0" borderId="42" xfId="0" applyFont="1" applyBorder="1" applyAlignment="1">
      <alignment horizontal="center" vertical="center" wrapText="1"/>
    </xf>
    <xf numFmtId="0" fontId="29" fillId="0" borderId="43" xfId="0" applyFont="1" applyBorder="1" applyAlignment="1">
      <alignment horizontal="center" vertical="center" wrapText="1"/>
    </xf>
    <xf numFmtId="0" fontId="29" fillId="0" borderId="44" xfId="0" applyFont="1" applyBorder="1" applyAlignment="1">
      <alignment horizontal="center" vertical="center" wrapText="1"/>
    </xf>
    <xf numFmtId="0" fontId="29" fillId="0" borderId="42" xfId="0" applyFont="1" applyBorder="1" applyAlignment="1">
      <alignment horizontal="center" vertical="center"/>
    </xf>
    <xf numFmtId="0" fontId="29" fillId="0" borderId="43" xfId="0" applyFont="1" applyBorder="1" applyAlignment="1">
      <alignment horizontal="center" vertical="center"/>
    </xf>
    <xf numFmtId="0" fontId="29" fillId="0" borderId="44" xfId="0" applyFont="1" applyBorder="1" applyAlignment="1">
      <alignment horizontal="center" vertical="center"/>
    </xf>
    <xf numFmtId="0" fontId="0" fillId="0" borderId="95" xfId="0" applyBorder="1" applyAlignment="1">
      <alignment horizontal="left" wrapText="1"/>
    </xf>
    <xf numFmtId="0" fontId="0" fillId="0" borderId="86" xfId="0" applyBorder="1" applyAlignment="1">
      <alignment horizontal="left"/>
    </xf>
    <xf numFmtId="0" fontId="0" fillId="0" borderId="96" xfId="0" applyBorder="1" applyAlignment="1">
      <alignment horizontal="left" wrapText="1"/>
    </xf>
    <xf numFmtId="0" fontId="0" fillId="0" borderId="11" xfId="0" applyBorder="1" applyAlignment="1">
      <alignment horizontal="left"/>
    </xf>
    <xf numFmtId="0" fontId="185" fillId="0" borderId="40" xfId="0" applyFont="1" applyBorder="1" applyAlignment="1">
      <alignment horizontal="center" vertical="center"/>
    </xf>
    <xf numFmtId="0" fontId="185" fillId="0" borderId="94" xfId="0" applyFont="1" applyBorder="1" applyAlignment="1">
      <alignment horizontal="center" vertical="center"/>
    </xf>
    <xf numFmtId="0" fontId="185" fillId="0" borderId="41" xfId="0" applyFont="1" applyBorder="1" applyAlignment="1">
      <alignment horizontal="center" vertical="center"/>
    </xf>
    <xf numFmtId="0" fontId="29" fillId="0" borderId="40"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41" xfId="0" applyFont="1" applyBorder="1" applyAlignment="1">
      <alignment horizontal="center" vertical="center" wrapText="1"/>
    </xf>
    <xf numFmtId="0" fontId="15" fillId="0" borderId="11" xfId="0" applyFont="1" applyBorder="1" applyAlignment="1">
      <alignment vertical="center" wrapText="1"/>
    </xf>
    <xf numFmtId="0" fontId="15" fillId="0" borderId="42" xfId="0" applyFont="1" applyBorder="1" applyAlignment="1">
      <alignment vertical="center" wrapText="1"/>
    </xf>
    <xf numFmtId="0" fontId="15" fillId="0" borderId="44" xfId="0" applyFont="1" applyBorder="1" applyAlignment="1">
      <alignment vertical="center" wrapText="1"/>
    </xf>
    <xf numFmtId="0" fontId="15" fillId="0" borderId="11" xfId="0" applyFont="1" applyBorder="1" applyAlignment="1">
      <alignment horizontal="justify" vertical="center" wrapText="1"/>
    </xf>
    <xf numFmtId="0" fontId="25" fillId="0" borderId="42" xfId="0" applyFont="1" applyBorder="1" applyAlignment="1">
      <alignment vertical="center" wrapText="1"/>
    </xf>
    <xf numFmtId="0" fontId="25" fillId="0" borderId="44" xfId="0" applyFont="1" applyBorder="1" applyAlignment="1">
      <alignment vertical="center" wrapText="1"/>
    </xf>
    <xf numFmtId="0" fontId="19" fillId="0" borderId="42" xfId="0" applyFont="1" applyBorder="1" applyAlignment="1">
      <alignment vertical="center" wrapText="1"/>
    </xf>
    <xf numFmtId="0" fontId="19" fillId="0" borderId="44" xfId="0" applyFont="1" applyBorder="1" applyAlignment="1">
      <alignment vertical="center" wrapText="1"/>
    </xf>
    <xf numFmtId="0" fontId="16" fillId="0" borderId="42" xfId="0" applyFont="1" applyBorder="1" applyAlignment="1">
      <alignment vertical="center" wrapText="1"/>
    </xf>
    <xf numFmtId="0" fontId="16" fillId="0" borderId="44" xfId="0" applyFont="1" applyBorder="1" applyAlignment="1">
      <alignment vertical="center" wrapText="1"/>
    </xf>
    <xf numFmtId="0" fontId="24" fillId="8" borderId="42" xfId="0" applyFont="1" applyFill="1" applyBorder="1" applyAlignment="1">
      <alignment vertical="center" wrapText="1"/>
    </xf>
    <xf numFmtId="0" fontId="24" fillId="8" borderId="43" xfId="0" applyFont="1" applyFill="1" applyBorder="1" applyAlignment="1">
      <alignment vertical="center" wrapText="1"/>
    </xf>
    <xf numFmtId="0" fontId="15" fillId="9" borderId="42" xfId="0" applyFont="1" applyFill="1" applyBorder="1" applyAlignment="1">
      <alignment vertical="center" wrapText="1"/>
    </xf>
    <xf numFmtId="0" fontId="15" fillId="9" borderId="44" xfId="0" applyFont="1" applyFill="1" applyBorder="1" applyAlignment="1">
      <alignment vertical="center" wrapText="1"/>
    </xf>
    <xf numFmtId="3" fontId="15" fillId="0" borderId="42" xfId="0" applyNumberFormat="1" applyFont="1" applyBorder="1" applyAlignment="1">
      <alignment vertical="center" wrapText="1"/>
    </xf>
    <xf numFmtId="3" fontId="15" fillId="0" borderId="44" xfId="0" applyNumberFormat="1" applyFont="1" applyBorder="1" applyAlignment="1">
      <alignment vertical="center" wrapText="1"/>
    </xf>
    <xf numFmtId="0" fontId="20" fillId="7" borderId="42" xfId="0" applyFont="1" applyFill="1" applyBorder="1" applyAlignment="1">
      <alignment vertical="center" wrapText="1"/>
    </xf>
    <xf numFmtId="0" fontId="20" fillId="7" borderId="43" xfId="0" applyFont="1" applyFill="1" applyBorder="1" applyAlignment="1">
      <alignment vertical="center" wrapText="1"/>
    </xf>
    <xf numFmtId="0" fontId="15" fillId="7" borderId="43" xfId="0" applyFont="1" applyFill="1" applyBorder="1" applyAlignment="1">
      <alignment wrapText="1"/>
    </xf>
    <xf numFmtId="0" fontId="15" fillId="8" borderId="43" xfId="0" applyFont="1" applyFill="1" applyBorder="1" applyAlignment="1">
      <alignment vertical="top" wrapText="1"/>
    </xf>
    <xf numFmtId="0" fontId="15" fillId="0" borderId="42" xfId="0" applyFont="1" applyBorder="1" applyAlignment="1">
      <alignment wrapText="1"/>
    </xf>
    <xf numFmtId="0" fontId="15" fillId="0" borderId="44" xfId="0" applyFont="1" applyBorder="1" applyAlignment="1">
      <alignment wrapText="1"/>
    </xf>
    <xf numFmtId="0" fontId="24" fillId="8" borderId="42" xfId="0" applyFont="1" applyFill="1" applyBorder="1" applyAlignment="1">
      <alignment horizontal="left" vertical="center" wrapText="1"/>
    </xf>
    <xf numFmtId="0" fontId="24" fillId="8" borderId="43" xfId="0" applyFont="1" applyFill="1" applyBorder="1" applyAlignment="1">
      <alignment horizontal="left" vertical="center" wrapText="1"/>
    </xf>
    <xf numFmtId="0" fontId="14" fillId="8" borderId="42" xfId="0" applyFont="1" applyFill="1" applyBorder="1" applyAlignment="1">
      <alignment vertical="center"/>
    </xf>
    <xf numFmtId="0" fontId="14" fillId="8" borderId="43" xfId="0" applyFont="1" applyFill="1" applyBorder="1" applyAlignment="1">
      <alignment vertical="center"/>
    </xf>
    <xf numFmtId="0" fontId="15" fillId="8" borderId="43" xfId="0" applyFont="1" applyFill="1" applyBorder="1" applyAlignment="1">
      <alignment vertical="top"/>
    </xf>
    <xf numFmtId="0" fontId="28" fillId="5" borderId="42" xfId="0" applyFont="1" applyFill="1" applyBorder="1" applyAlignment="1">
      <alignment vertical="center" wrapText="1"/>
    </xf>
    <xf numFmtId="0" fontId="28" fillId="5" borderId="43" xfId="0" applyFont="1" applyFill="1" applyBorder="1" applyAlignment="1">
      <alignment vertical="center" wrapText="1"/>
    </xf>
    <xf numFmtId="0" fontId="15" fillId="5" borderId="43" xfId="0" applyFont="1" applyFill="1" applyBorder="1" applyAlignment="1">
      <alignment vertical="top" wrapText="1"/>
    </xf>
    <xf numFmtId="0" fontId="24" fillId="8" borderId="42" xfId="0" applyFont="1" applyFill="1" applyBorder="1" applyAlignment="1">
      <alignment horizontal="justify" vertical="center" wrapText="1"/>
    </xf>
    <xf numFmtId="0" fontId="24" fillId="8" borderId="43" xfId="0" applyFont="1" applyFill="1" applyBorder="1" applyAlignment="1">
      <alignment horizontal="justify" vertical="center" wrapText="1"/>
    </xf>
    <xf numFmtId="0" fontId="15" fillId="8" borderId="39" xfId="0" applyFont="1" applyFill="1" applyBorder="1" applyAlignment="1">
      <alignment vertical="center" wrapText="1"/>
    </xf>
    <xf numFmtId="0" fontId="15" fillId="8" borderId="35" xfId="0" applyFont="1" applyFill="1" applyBorder="1" applyAlignment="1">
      <alignment vertical="center" wrapText="1"/>
    </xf>
    <xf numFmtId="0" fontId="17" fillId="0" borderId="39" xfId="0" applyFont="1" applyBorder="1" applyAlignment="1">
      <alignment vertical="center" wrapText="1"/>
    </xf>
    <xf numFmtId="0" fontId="17" fillId="0" borderId="35" xfId="0" applyFont="1" applyBorder="1" applyAlignment="1">
      <alignment vertical="center" wrapText="1"/>
    </xf>
    <xf numFmtId="0" fontId="15" fillId="0" borderId="40" xfId="0" applyFont="1" applyBorder="1" applyAlignment="1">
      <alignment vertical="center" wrapText="1"/>
    </xf>
    <xf numFmtId="0" fontId="15" fillId="0" borderId="41" xfId="0" applyFont="1" applyBorder="1" applyAlignment="1">
      <alignment vertical="center" wrapText="1"/>
    </xf>
    <xf numFmtId="0" fontId="15" fillId="0" borderId="31" xfId="0" applyFont="1" applyBorder="1" applyAlignment="1">
      <alignment vertical="center" wrapText="1"/>
    </xf>
    <xf numFmtId="0" fontId="15" fillId="0" borderId="37" xfId="0" applyFont="1" applyBorder="1" applyAlignment="1">
      <alignment vertical="center" wrapText="1"/>
    </xf>
    <xf numFmtId="0" fontId="17" fillId="0" borderId="42" xfId="0" applyFont="1" applyBorder="1" applyAlignment="1">
      <alignment vertical="center" wrapText="1"/>
    </xf>
    <xf numFmtId="0" fontId="17" fillId="0" borderId="44" xfId="0" applyFont="1" applyBorder="1" applyAlignment="1">
      <alignment vertical="center" wrapText="1"/>
    </xf>
    <xf numFmtId="0" fontId="15" fillId="0" borderId="40" xfId="0" applyFont="1" applyBorder="1" applyAlignment="1">
      <alignment horizontal="justify" vertical="center" wrapText="1"/>
    </xf>
    <xf numFmtId="0" fontId="15" fillId="0" borderId="31" xfId="0" applyFont="1" applyBorder="1" applyAlignment="1">
      <alignment horizontal="justify" vertical="center" wrapText="1"/>
    </xf>
    <xf numFmtId="0" fontId="15" fillId="0" borderId="39" xfId="0" applyFont="1" applyBorder="1" applyAlignment="1">
      <alignment horizontal="justify" vertical="center" wrapText="1"/>
    </xf>
    <xf numFmtId="0" fontId="15" fillId="0" borderId="35" xfId="0" applyFont="1" applyBorder="1" applyAlignment="1">
      <alignment horizontal="justify" vertical="center" wrapText="1"/>
    </xf>
    <xf numFmtId="0" fontId="17" fillId="0" borderId="39" xfId="0" applyFont="1" applyBorder="1" applyAlignment="1">
      <alignment horizontal="justify" vertical="center" wrapText="1"/>
    </xf>
    <xf numFmtId="0" fontId="17" fillId="0" borderId="35" xfId="0" applyFont="1" applyBorder="1" applyAlignment="1">
      <alignment horizontal="justify" vertical="center" wrapText="1"/>
    </xf>
    <xf numFmtId="0" fontId="15" fillId="0" borderId="41" xfId="0" applyFont="1" applyBorder="1" applyAlignment="1">
      <alignment horizontal="justify" vertical="center" wrapText="1"/>
    </xf>
    <xf numFmtId="0" fontId="15" fillId="0" borderId="37" xfId="0" applyFont="1" applyBorder="1" applyAlignment="1">
      <alignment horizontal="justify" vertical="center" wrapText="1"/>
    </xf>
    <xf numFmtId="0" fontId="20" fillId="6" borderId="42" xfId="0" applyFont="1" applyFill="1" applyBorder="1" applyAlignment="1">
      <alignment vertical="center" wrapText="1"/>
    </xf>
    <xf numFmtId="0" fontId="20" fillId="6" borderId="43" xfId="0" applyFont="1" applyFill="1" applyBorder="1" applyAlignment="1">
      <alignment vertical="center" wrapText="1"/>
    </xf>
    <xf numFmtId="0" fontId="15" fillId="6" borderId="43" xfId="0" applyFont="1" applyFill="1" applyBorder="1" applyAlignment="1">
      <alignment vertical="top" wrapText="1"/>
    </xf>
    <xf numFmtId="0" fontId="21" fillId="5" borderId="42" xfId="0" applyFont="1" applyFill="1" applyBorder="1" applyAlignment="1">
      <alignment vertical="center" wrapText="1"/>
    </xf>
    <xf numFmtId="0" fontId="21" fillId="5" borderId="43" xfId="0" applyFont="1" applyFill="1" applyBorder="1" applyAlignment="1">
      <alignment vertical="center" wrapText="1"/>
    </xf>
    <xf numFmtId="0" fontId="15" fillId="0" borderId="39" xfId="0" applyFont="1" applyBorder="1" applyAlignment="1">
      <alignment vertical="center" wrapText="1"/>
    </xf>
    <xf numFmtId="0" fontId="15" fillId="0" borderId="35" xfId="0" applyFont="1" applyBorder="1" applyAlignment="1">
      <alignment vertical="center" wrapText="1"/>
    </xf>
    <xf numFmtId="0" fontId="27" fillId="7" borderId="42" xfId="0" applyFont="1" applyFill="1" applyBorder="1" applyAlignment="1">
      <alignment vertical="center" wrapText="1"/>
    </xf>
    <xf numFmtId="0" fontId="27" fillId="7" borderId="43" xfId="0" applyFont="1" applyFill="1" applyBorder="1" applyAlignment="1">
      <alignment vertical="center" wrapText="1"/>
    </xf>
    <xf numFmtId="0" fontId="25" fillId="0" borderId="39" xfId="0" applyFont="1" applyBorder="1" applyAlignment="1">
      <alignment vertical="center" wrapText="1"/>
    </xf>
    <xf numFmtId="0" fontId="25" fillId="0" borderId="36" xfId="0" applyFont="1" applyBorder="1" applyAlignment="1">
      <alignment vertical="center" wrapText="1"/>
    </xf>
    <xf numFmtId="0" fontId="25" fillId="0" borderId="35" xfId="0" applyFont="1" applyBorder="1" applyAlignment="1">
      <alignment vertical="center" wrapText="1"/>
    </xf>
    <xf numFmtId="0" fontId="25" fillId="8" borderId="39" xfId="0" applyFont="1" applyFill="1" applyBorder="1" applyAlignment="1">
      <alignment vertical="center" wrapText="1"/>
    </xf>
    <xf numFmtId="0" fontId="25" fillId="8" borderId="35" xfId="0" applyFont="1" applyFill="1" applyBorder="1" applyAlignment="1">
      <alignment vertical="center" wrapText="1"/>
    </xf>
    <xf numFmtId="0" fontId="15" fillId="0" borderId="36" xfId="0" applyFont="1" applyBorder="1" applyAlignment="1">
      <alignment vertical="center" wrapText="1"/>
    </xf>
    <xf numFmtId="0" fontId="17" fillId="0" borderId="36" xfId="0" applyFont="1" applyBorder="1" applyAlignment="1">
      <alignment vertical="center" wrapText="1"/>
    </xf>
    <xf numFmtId="0" fontId="24" fillId="8" borderId="42" xfId="0" applyFont="1" applyFill="1" applyBorder="1" applyAlignment="1">
      <alignment vertical="center"/>
    </xf>
    <xf numFmtId="0" fontId="24" fillId="8" borderId="43" xfId="0" applyFont="1" applyFill="1" applyBorder="1" applyAlignment="1">
      <alignment vertical="center"/>
    </xf>
    <xf numFmtId="0" fontId="15" fillId="0" borderId="0" xfId="0" applyFont="1"/>
    <xf numFmtId="0" fontId="14" fillId="0" borderId="34" xfId="0" applyFont="1" applyBorder="1" applyAlignment="1">
      <alignment vertical="center"/>
    </xf>
    <xf numFmtId="0" fontId="14" fillId="0" borderId="39"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41"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37" xfId="0" applyFont="1" applyBorder="1" applyAlignment="1">
      <alignment horizontal="center" vertical="center" wrapText="1"/>
    </xf>
    <xf numFmtId="0" fontId="77" fillId="0" borderId="0" xfId="0" applyFont="1"/>
    <xf numFmtId="9" fontId="91" fillId="11" borderId="11" xfId="22" applyFont="1" applyFill="1" applyBorder="1" applyAlignment="1">
      <alignment horizontal="left" vertical="center" wrapText="1"/>
    </xf>
    <xf numFmtId="166" fontId="159" fillId="0" borderId="28" xfId="0" applyNumberFormat="1" applyFont="1" applyBorder="1" applyAlignment="1">
      <alignment horizontal="left" vertical="center" wrapText="1"/>
    </xf>
    <xf numFmtId="9" fontId="91" fillId="0" borderId="28" xfId="22" applyFont="1" applyBorder="1" applyAlignment="1">
      <alignment horizontal="left" vertical="center" wrapText="1"/>
    </xf>
    <xf numFmtId="166" fontId="47" fillId="0" borderId="12" xfId="0" applyNumberFormat="1" applyFont="1" applyBorder="1" applyAlignment="1">
      <alignment horizontal="left" vertical="center"/>
    </xf>
    <xf numFmtId="9" fontId="91" fillId="0" borderId="12" xfId="22" applyFont="1" applyBorder="1" applyAlignment="1">
      <alignment horizontal="left" vertical="center"/>
    </xf>
    <xf numFmtId="9" fontId="104" fillId="24" borderId="11" xfId="22" applyFont="1" applyFill="1" applyBorder="1" applyAlignment="1">
      <alignment horizontal="left" vertical="center"/>
    </xf>
    <xf numFmtId="166" fontId="100" fillId="24" borderId="12" xfId="0" applyNumberFormat="1" applyFont="1" applyFill="1" applyBorder="1" applyAlignment="1">
      <alignment horizontal="left" vertical="center"/>
    </xf>
    <xf numFmtId="9" fontId="104" fillId="24" borderId="12" xfId="22" applyFont="1" applyFill="1" applyBorder="1" applyAlignment="1">
      <alignment horizontal="left" vertical="center"/>
    </xf>
    <xf numFmtId="9" fontId="91" fillId="0" borderId="11" xfId="22" applyFont="1" applyBorder="1" applyAlignment="1">
      <alignment horizontal="left" vertical="center"/>
    </xf>
    <xf numFmtId="166" fontId="92" fillId="0" borderId="8" xfId="0" applyNumberFormat="1" applyFont="1" applyBorder="1" applyAlignment="1">
      <alignment horizontal="left" vertical="center"/>
    </xf>
    <xf numFmtId="9" fontId="91" fillId="0" borderId="11" xfId="22" applyFont="1" applyBorder="1" applyAlignment="1">
      <alignment horizontal="left" vertical="center" wrapText="1"/>
    </xf>
    <xf numFmtId="9" fontId="47" fillId="0" borderId="28" xfId="22" applyFont="1" applyBorder="1" applyAlignment="1">
      <alignment horizontal="left" vertical="center" wrapText="1"/>
    </xf>
    <xf numFmtId="9" fontId="159" fillId="0" borderId="28" xfId="22" applyFont="1" applyBorder="1" applyAlignment="1">
      <alignment horizontal="left" vertical="center" wrapText="1"/>
    </xf>
    <xf numFmtId="9" fontId="159" fillId="0" borderId="11" xfId="22" applyFont="1" applyBorder="1" applyAlignment="1">
      <alignment horizontal="left" vertical="center" wrapText="1"/>
    </xf>
    <xf numFmtId="0" fontId="147" fillId="0" borderId="0" xfId="0" applyFont="1"/>
    <xf numFmtId="0" fontId="200" fillId="0" borderId="0" xfId="0" applyFont="1"/>
    <xf numFmtId="0" fontId="47" fillId="11" borderId="12" xfId="0" applyFont="1" applyFill="1" applyBorder="1" applyAlignment="1">
      <alignment horizontal="left" vertical="center" wrapText="1"/>
    </xf>
    <xf numFmtId="9" fontId="177" fillId="11" borderId="12" xfId="22" applyFont="1" applyFill="1" applyBorder="1" applyAlignment="1">
      <alignment horizontal="left" vertical="center" wrapText="1"/>
    </xf>
    <xf numFmtId="0" fontId="144" fillId="11" borderId="11" xfId="0" applyFont="1" applyFill="1" applyBorder="1" applyAlignment="1">
      <alignment horizontal="left" vertical="center" wrapText="1"/>
    </xf>
    <xf numFmtId="9" fontId="177" fillId="0" borderId="17" xfId="22" applyFont="1" applyFill="1" applyBorder="1" applyAlignment="1">
      <alignment horizontal="left" vertical="center" wrapText="1"/>
    </xf>
    <xf numFmtId="9" fontId="177" fillId="0" borderId="11" xfId="22" applyFont="1" applyFill="1" applyBorder="1" applyAlignment="1">
      <alignment horizontal="left" vertical="center"/>
    </xf>
    <xf numFmtId="9" fontId="127" fillId="24" borderId="11" xfId="22" applyFont="1" applyFill="1" applyBorder="1" applyAlignment="1">
      <alignment horizontal="left" vertical="center"/>
    </xf>
    <xf numFmtId="9" fontId="177" fillId="0" borderId="7" xfId="22" applyFont="1" applyFill="1" applyBorder="1" applyAlignment="1">
      <alignment horizontal="left" vertical="center"/>
    </xf>
    <xf numFmtId="9" fontId="177" fillId="0" borderId="11" xfId="22" applyFont="1" applyFill="1" applyBorder="1" applyAlignment="1">
      <alignment horizontal="left" vertical="center" wrapText="1"/>
    </xf>
    <xf numFmtId="9" fontId="47" fillId="0" borderId="28" xfId="22" applyFont="1" applyFill="1" applyBorder="1" applyAlignment="1">
      <alignment horizontal="left" vertical="center" wrapText="1"/>
    </xf>
    <xf numFmtId="9" fontId="159" fillId="0" borderId="28" xfId="22" applyFont="1" applyFill="1" applyBorder="1" applyAlignment="1">
      <alignment horizontal="left" vertical="center" wrapText="1"/>
    </xf>
    <xf numFmtId="9" fontId="177" fillId="0" borderId="28" xfId="22" applyFont="1" applyFill="1" applyBorder="1" applyAlignment="1">
      <alignment horizontal="left" vertical="center" wrapText="1"/>
    </xf>
    <xf numFmtId="49" fontId="94" fillId="0" borderId="16" xfId="0" applyNumberFormat="1" applyFont="1" applyBorder="1" applyAlignment="1">
      <alignment horizontal="center" vertical="center" wrapText="1"/>
    </xf>
    <xf numFmtId="49" fontId="94" fillId="0" borderId="17" xfId="0" applyNumberFormat="1" applyFont="1" applyBorder="1" applyAlignment="1">
      <alignment horizontal="center" vertical="center" wrapText="1"/>
    </xf>
    <xf numFmtId="49" fontId="94" fillId="0" borderId="16" xfId="0" applyNumberFormat="1" applyFont="1" applyBorder="1" applyAlignment="1">
      <alignment horizontal="left" vertical="center" wrapText="1"/>
    </xf>
    <xf numFmtId="49" fontId="94" fillId="0" borderId="17" xfId="0" applyNumberFormat="1" applyFont="1" applyBorder="1" applyAlignment="1">
      <alignment horizontal="left" vertical="center" wrapText="1"/>
    </xf>
    <xf numFmtId="9" fontId="94" fillId="11" borderId="11" xfId="22" applyFont="1" applyFill="1" applyBorder="1" applyAlignment="1">
      <alignment horizontal="left" vertical="center"/>
    </xf>
    <xf numFmtId="9" fontId="94" fillId="0" borderId="11" xfId="22" applyFont="1" applyFill="1" applyBorder="1" applyAlignment="1">
      <alignment horizontal="left" vertical="center"/>
    </xf>
    <xf numFmtId="10" fontId="47" fillId="0" borderId="11" xfId="22" applyNumberFormat="1" applyFont="1" applyFill="1" applyBorder="1" applyAlignment="1">
      <alignment horizontal="left" vertical="center" wrapText="1"/>
    </xf>
  </cellXfs>
  <cellStyles count="24">
    <cellStyle name="Comma 2" xfId="1" xr:uid="{00000000-0005-0000-0000-000000000000}"/>
    <cellStyle name="Comma 3" xfId="2" xr:uid="{00000000-0005-0000-0000-000001000000}"/>
    <cellStyle name="Excel Built-in Normal" xfId="3" xr:uid="{00000000-0005-0000-0000-000002000000}"/>
    <cellStyle name="Explanatory Text" xfId="4" xr:uid="{00000000-0005-0000-0000-000003000000}"/>
    <cellStyle name="Good" xfId="5" xr:uid="{00000000-0005-0000-0000-000004000000}"/>
    <cellStyle name="Heading 1" xfId="6" xr:uid="{00000000-0005-0000-0000-000005000000}"/>
    <cellStyle name="Heading 2" xfId="7" xr:uid="{00000000-0005-0000-0000-000006000000}"/>
    <cellStyle name="Heading 3" xfId="8" xr:uid="{00000000-0005-0000-0000-000007000000}"/>
    <cellStyle name="Heading 4" xfId="9" xr:uid="{00000000-0005-0000-0000-000008000000}"/>
    <cellStyle name="Įprastas" xfId="0" builtinId="0"/>
    <cellStyle name="Įprastas 2" xfId="23" xr:uid="{B4A479E5-C2E6-4BE9-AD31-5BDB51D1FAE2}"/>
    <cellStyle name="Kablelis" xfId="21" builtinId="3"/>
    <cellStyle name="Normal 2" xfId="10" xr:uid="{00000000-0005-0000-0000-00000B000000}"/>
    <cellStyle name="Normal 3" xfId="11" xr:uid="{00000000-0005-0000-0000-00000C000000}"/>
    <cellStyle name="Normal_1234LENT" xfId="12" xr:uid="{00000000-0005-0000-0000-00000D000000}"/>
    <cellStyle name="Output" xfId="13" xr:uid="{00000000-0005-0000-0000-00000E000000}"/>
    <cellStyle name="Paprastas 2" xfId="14" xr:uid="{00000000-0005-0000-0000-00000F000000}"/>
    <cellStyle name="Paprastas 3" xfId="15" xr:uid="{00000000-0005-0000-0000-000010000000}"/>
    <cellStyle name="Paprastas_Aplinkos" xfId="16" xr:uid="{00000000-0005-0000-0000-000011000000}"/>
    <cellStyle name="Procentai" xfId="22" builtinId="5"/>
    <cellStyle name="Title" xfId="17" xr:uid="{00000000-0005-0000-0000-000013000000}"/>
    <cellStyle name="Total" xfId="18" xr:uid="{00000000-0005-0000-0000-000014000000}"/>
    <cellStyle name="Warning Text" xfId="19" xr:uid="{00000000-0005-0000-0000-000015000000}"/>
    <cellStyle name="Обычный 2" xfId="20" xr:uid="{00000000-0005-0000-0000-00001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E6E6E6"/>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B3B3B3"/>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eetMetadata" Target="metadata.xml"/><Relationship Id="rId30"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t-L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 skyrius. Programos'!$V$12</c:f>
              <c:strCache>
                <c:ptCount val="1"/>
                <c:pt idx="0">
                  <c:v>2025</c:v>
                </c:pt>
              </c:strCache>
            </c:strRef>
          </c:tx>
          <c:spPr>
            <a:solidFill>
              <a:schemeClr val="accent1"/>
            </a:solidFill>
            <a:ln>
              <a:noFill/>
            </a:ln>
            <a:effectLst/>
          </c:spPr>
          <c:invertIfNegative val="0"/>
          <c:val>
            <c:numRef>
              <c:f>'V skyrius. Programos'!$V$13:$V$22</c:f>
            </c:numRef>
          </c:val>
          <c:extLst>
            <c:ext xmlns:c15="http://schemas.microsoft.com/office/drawing/2012/chart" uri="{02D57815-91ED-43cb-92C2-25804820EDAC}">
              <c15:filteredCategoryTitle>
                <c15:cat>
                  <c:numRef>
                    <c:extLst>
                      <c:ext uri="{02D57815-91ED-43cb-92C2-25804820EDAC}">
                        <c15:formulaRef>
                          <c15:sqref>'V skyrius. Programos'!$U$13:$U$22</c15:sqref>
                        </c15:formulaRef>
                      </c:ext>
                    </c:extLst>
                  </c:numRef>
                </c15:cat>
              </c15:filteredCategoryTitle>
            </c:ext>
            <c:ext xmlns:c16="http://schemas.microsoft.com/office/drawing/2014/chart" uri="{C3380CC4-5D6E-409C-BE32-E72D297353CC}">
              <c16:uniqueId val="{00000000-192D-4495-B459-30BDC273B1AC}"/>
            </c:ext>
          </c:extLst>
        </c:ser>
        <c:ser>
          <c:idx val="1"/>
          <c:order val="1"/>
          <c:tx>
            <c:strRef>
              <c:f>'V skyrius. Programos'!$W$12</c:f>
              <c:strCache>
                <c:ptCount val="1"/>
                <c:pt idx="0">
                  <c:v>2026</c:v>
                </c:pt>
              </c:strCache>
            </c:strRef>
          </c:tx>
          <c:spPr>
            <a:solidFill>
              <a:schemeClr val="accent2"/>
            </a:solidFill>
            <a:ln>
              <a:noFill/>
            </a:ln>
            <a:effectLst/>
          </c:spPr>
          <c:invertIfNegative val="0"/>
          <c:val>
            <c:numRef>
              <c:f>'V skyrius. Programos'!$W$13:$W$22</c:f>
            </c:numRef>
          </c:val>
          <c:extLst>
            <c:ext xmlns:c15="http://schemas.microsoft.com/office/drawing/2012/chart" uri="{02D57815-91ED-43cb-92C2-25804820EDAC}">
              <c15:filteredCategoryTitle>
                <c15:cat>
                  <c:numRef>
                    <c:extLst>
                      <c:ext uri="{02D57815-91ED-43cb-92C2-25804820EDAC}">
                        <c15:formulaRef>
                          <c15:sqref>'V skyrius. Programos'!$U$13:$U$22</c15:sqref>
                        </c15:formulaRef>
                      </c:ext>
                    </c:extLst>
                  </c:numRef>
                </c15:cat>
              </c15:filteredCategoryTitle>
            </c:ext>
            <c:ext xmlns:c16="http://schemas.microsoft.com/office/drawing/2014/chart" uri="{C3380CC4-5D6E-409C-BE32-E72D297353CC}">
              <c16:uniqueId val="{00000001-192D-4495-B459-30BDC273B1AC}"/>
            </c:ext>
          </c:extLst>
        </c:ser>
        <c:ser>
          <c:idx val="2"/>
          <c:order val="2"/>
          <c:tx>
            <c:strRef>
              <c:f>'V skyrius. Programos'!$X$12</c:f>
              <c:strCache>
                <c:ptCount val="1"/>
                <c:pt idx="0">
                  <c:v>2027</c:v>
                </c:pt>
              </c:strCache>
            </c:strRef>
          </c:tx>
          <c:spPr>
            <a:solidFill>
              <a:schemeClr val="accent3"/>
            </a:solidFill>
            <a:ln>
              <a:noFill/>
            </a:ln>
            <a:effectLst/>
          </c:spPr>
          <c:invertIfNegative val="0"/>
          <c:val>
            <c:numRef>
              <c:f>'V skyrius. Programos'!$X$13:$X$22</c:f>
            </c:numRef>
          </c:val>
          <c:extLst>
            <c:ext xmlns:c15="http://schemas.microsoft.com/office/drawing/2012/chart" uri="{02D57815-91ED-43cb-92C2-25804820EDAC}">
              <c15:filteredCategoryTitle>
                <c15:cat>
                  <c:numRef>
                    <c:extLst>
                      <c:ext uri="{02D57815-91ED-43cb-92C2-25804820EDAC}">
                        <c15:formulaRef>
                          <c15:sqref>'V skyrius. Programos'!$U$13:$U$22</c15:sqref>
                        </c15:formulaRef>
                      </c:ext>
                    </c:extLst>
                  </c:numRef>
                </c15:cat>
              </c15:filteredCategoryTitle>
            </c:ext>
            <c:ext xmlns:c16="http://schemas.microsoft.com/office/drawing/2014/chart" uri="{C3380CC4-5D6E-409C-BE32-E72D297353CC}">
              <c16:uniqueId val="{00000002-192D-4495-B459-30BDC273B1AC}"/>
            </c:ext>
          </c:extLst>
        </c:ser>
        <c:ser>
          <c:idx val="3"/>
          <c:order val="3"/>
          <c:tx>
            <c:strRef>
              <c:f>'V skyrius. Programos'!$Y$12</c:f>
              <c:strCache>
                <c:ptCount val="1"/>
                <c:pt idx="0">
                  <c:v>2028</c:v>
                </c:pt>
              </c:strCache>
            </c:strRef>
          </c:tx>
          <c:spPr>
            <a:solidFill>
              <a:schemeClr val="accent4"/>
            </a:solidFill>
            <a:ln>
              <a:noFill/>
            </a:ln>
            <a:effectLst/>
          </c:spPr>
          <c:invertIfNegative val="0"/>
          <c:val>
            <c:numRef>
              <c:f>'V skyrius. Programos'!$Y$13:$Y$22</c:f>
            </c:numRef>
          </c:val>
          <c:extLst>
            <c:ext xmlns:c15="http://schemas.microsoft.com/office/drawing/2012/chart" uri="{02D57815-91ED-43cb-92C2-25804820EDAC}">
              <c15:filteredCategoryTitle>
                <c15:cat>
                  <c:numRef>
                    <c:extLst>
                      <c:ext uri="{02D57815-91ED-43cb-92C2-25804820EDAC}">
                        <c15:formulaRef>
                          <c15:sqref>'V skyrius. Programos'!$U$13:$U$22</c15:sqref>
                        </c15:formulaRef>
                      </c:ext>
                    </c:extLst>
                  </c:numRef>
                </c15:cat>
              </c15:filteredCategoryTitle>
            </c:ext>
            <c:ext xmlns:c16="http://schemas.microsoft.com/office/drawing/2014/chart" uri="{C3380CC4-5D6E-409C-BE32-E72D297353CC}">
              <c16:uniqueId val="{00000003-192D-4495-B459-30BDC273B1AC}"/>
            </c:ext>
          </c:extLst>
        </c:ser>
        <c:dLbls>
          <c:showLegendKey val="0"/>
          <c:showVal val="0"/>
          <c:showCatName val="0"/>
          <c:showSerName val="0"/>
          <c:showPercent val="0"/>
          <c:showBubbleSize val="0"/>
        </c:dLbls>
        <c:gapWidth val="219"/>
        <c:overlap val="-27"/>
        <c:axId val="1326412736"/>
        <c:axId val="1326413216"/>
      </c:barChart>
      <c:catAx>
        <c:axId val="1326412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6413216"/>
        <c:crosses val="autoZero"/>
        <c:auto val="1"/>
        <c:lblAlgn val="ctr"/>
        <c:lblOffset val="100"/>
        <c:noMultiLvlLbl val="0"/>
      </c:catAx>
      <c:valAx>
        <c:axId val="1326413216"/>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6412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25</xdr:col>
      <xdr:colOff>162820</xdr:colOff>
      <xdr:row>11</xdr:row>
      <xdr:rowOff>191476</xdr:rowOff>
    </xdr:from>
    <xdr:to>
      <xdr:col>32</xdr:col>
      <xdr:colOff>358205</xdr:colOff>
      <xdr:row>21</xdr:row>
      <xdr:rowOff>186266</xdr:rowOff>
    </xdr:to>
    <xdr:graphicFrame macro="">
      <xdr:nvGraphicFramePr>
        <xdr:cNvPr id="2" name="Diagrama 1">
          <a:extLst>
            <a:ext uri="{FF2B5EF4-FFF2-40B4-BE49-F238E27FC236}">
              <a16:creationId xmlns:a16="http://schemas.microsoft.com/office/drawing/2014/main" id="{A894FE92-A237-789F-DA38-42AC7EB2DA1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571501</xdr:colOff>
      <xdr:row>4</xdr:row>
      <xdr:rowOff>66673</xdr:rowOff>
    </xdr:from>
    <xdr:to>
      <xdr:col>14</xdr:col>
      <xdr:colOff>652463</xdr:colOff>
      <xdr:row>9</xdr:row>
      <xdr:rowOff>781050</xdr:rowOff>
    </xdr:to>
    <xdr:pic>
      <xdr:nvPicPr>
        <xdr:cNvPr id="3" name="Paveikslėlis 2">
          <a:extLst>
            <a:ext uri="{FF2B5EF4-FFF2-40B4-BE49-F238E27FC236}">
              <a16:creationId xmlns:a16="http://schemas.microsoft.com/office/drawing/2014/main" id="{7D5583AC-D13F-97A0-345B-2B7288AEE4B1}"/>
            </a:ext>
          </a:extLst>
        </xdr:cNvPr>
        <xdr:cNvPicPr>
          <a:picLocks noChangeAspect="1"/>
        </xdr:cNvPicPr>
      </xdr:nvPicPr>
      <xdr:blipFill>
        <a:blip xmlns:r="http://schemas.openxmlformats.org/officeDocument/2006/relationships" r:embed="rId2"/>
        <a:stretch>
          <a:fillRect/>
        </a:stretch>
      </xdr:blipFill>
      <xdr:spPr>
        <a:xfrm>
          <a:off x="1195389" y="1338261"/>
          <a:ext cx="4514849" cy="235267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Inga\AppData\Local\Microsoft\Windows\INetCache\Content.Outlook\7EZS7QXM\2024-01-25%20veiklos%20planas%20i&#353;%20(atrakintas%20koreguotas%20Kontoros).xlsx" TargetMode="External"/><Relationship Id="rId1" Type="http://schemas.openxmlformats.org/officeDocument/2006/relationships/externalLinkPath" Target="/Users/Inga/AppData/Local/Microsoft/Windows/INetCache/Content.Outlook/7EZS7QXM/2024-01-25%20veiklos%20planas%20i&#353;%20(atrakintas%20koreguotas%20Konto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 skyrius "/>
      <sheetName val="II skyrius"/>
      <sheetName val="III skyrius"/>
      <sheetName val="IV skyrius. Programos"/>
      <sheetName val="Lapas1"/>
      <sheetName val="1 programa "/>
      <sheetName val="2 programa "/>
      <sheetName val="ĮV-E-123 stebėsenos rodikliai"/>
      <sheetName val="3 programa"/>
      <sheetName val="4 programa"/>
      <sheetName val="5 programa"/>
      <sheetName val="6 programa"/>
      <sheetName val="7 programa"/>
      <sheetName val="8 programa"/>
      <sheetName val="9 programa"/>
      <sheetName val="10 programa"/>
      <sheetName val="V skyrius VŠĮ+UAB rodikliai"/>
      <sheetName val="VI skyrius. Kita svarbi info-AN"/>
      <sheetName val="Prioritetai"/>
      <sheetName val="Suvestinė pagal FŠ"/>
      <sheetName val="Vertinimo kriterijai"/>
      <sheetName val="Lapas2"/>
      <sheetName val="Lapas3"/>
      <sheetName val="VERTINIMO KRITERIJAI (2 lentelė"/>
      <sheetName val="Lesu analize"/>
    </sheetNames>
    <sheetDataSet>
      <sheetData sheetId="0" refreshError="1"/>
      <sheetData sheetId="1">
        <row r="10">
          <cell r="D10" t="str">
            <v xml:space="preserve">Gerinti  investicinės aplinkos patrauklumą ir didinti ekonominį potencialą </v>
          </cell>
        </row>
        <row r="18">
          <cell r="D18" t="str">
            <v xml:space="preserve"> Didinti turistinį savivaldybės patrauklumą, teikiant viešąsias paslaugas bei plėtojant viešąją turizmo infrastruktūrą</v>
          </cell>
        </row>
        <row r="22">
          <cell r="D22" t="str">
            <v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v>
          </cell>
        </row>
        <row r="30">
          <cell r="D30" t="str">
            <v>Sudaryti sąlygas visų amžiaus grupių ir galimybių visaginiečiams jų sveikai gyvensenai, fiziniam aktyvumui, sportavimui bei siekti, kad tai taptų savivaldybės bendruomenės gyvensenos dalimi</v>
          </cell>
        </row>
        <row r="36">
          <cell r="D36" t="str">
            <v>Įgyvendinti valstybinę kultūros politiką ir formuoti regioninį identitetą, stiprinti pilietiškumą ir bendruomenės į(si)traukimą į kūrybines, kultūrines veiklas</v>
          </cell>
        </row>
        <row r="43">
          <cell r="D43" t="str">
            <v>Stiprinti ir puoselėti gyventojų sveikatą</v>
          </cell>
        </row>
        <row r="47">
          <cell r="D47" t="str">
            <v>Pagerinti  ir plėsti socialinių paslaugų kokybę ir prieinamumą bei sukurti jų plėtrai reikalingą  infrastruktūrą</v>
          </cell>
        </row>
        <row r="49">
          <cell r="D49" t="str">
            <v>Sudaryti galimybes jaunimui atvykti, dirbti ir gyventi Visagino savivaldybėje</v>
          </cell>
        </row>
        <row r="52">
          <cell r="D52" t="str">
            <v xml:space="preserve">Gyventojų socialinio, pilietinio aktyvumo, dalyvavimo savanoriškoje, visuomeninėje veikloje, tarpusavio pasitikėjimo, bendruomenės socialinės atsakomybės ir įsitraukimo didinimas  </v>
          </cell>
        </row>
        <row r="56">
          <cell r="D56" t="str">
            <v>Tobulinti viešojo valdymo sistemą, didinti jos efektyvumą ir atvirumą</v>
          </cell>
        </row>
        <row r="64">
          <cell r="D64" t="str">
            <v>Vykdyti kryptingą darnaus judumo politiką savivaldybėje</v>
          </cell>
        </row>
        <row r="65">
          <cell r="D65" t="str">
            <v>Skatinti bemotorio transporto pasirinkimą ir pėsčiųjų judumą</v>
          </cell>
        </row>
        <row r="68">
          <cell r="D68" t="str">
            <v>Skatinti tvarų miesto teritorijos vystymą</v>
          </cell>
        </row>
        <row r="72">
          <cell r="D72" t="str">
            <v>Skatinti žaliąją savivaldybės plėtrą</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C600F-3CA1-484D-8676-44DBA94AE2DD}">
  <dimension ref="B1:V23"/>
  <sheetViews>
    <sheetView showGridLines="0" tabSelected="1" view="pageBreakPreview" zoomScale="110" zoomScaleNormal="93" zoomScaleSheetLayoutView="110" workbookViewId="0">
      <selection activeCell="R21" sqref="R21"/>
    </sheetView>
  </sheetViews>
  <sheetFormatPr defaultRowHeight="13.2"/>
  <cols>
    <col min="7" max="7" width="7.33203125" customWidth="1"/>
    <col min="8" max="8" width="7" customWidth="1"/>
    <col min="11" max="11" width="13" customWidth="1"/>
    <col min="12" max="12" width="2.44140625" customWidth="1"/>
  </cols>
  <sheetData>
    <row r="1" spans="2:12" ht="67.2" customHeight="1">
      <c r="B1" s="63"/>
      <c r="C1" s="64"/>
      <c r="D1" s="64"/>
      <c r="E1" s="64"/>
      <c r="F1" s="64"/>
      <c r="G1" s="64"/>
      <c r="H1" s="2600" t="s">
        <v>4144</v>
      </c>
      <c r="I1" s="2600"/>
      <c r="J1" s="2600"/>
      <c r="K1" s="2600"/>
      <c r="L1" s="2601"/>
    </row>
    <row r="2" spans="2:12">
      <c r="B2" s="65"/>
      <c r="L2" s="66"/>
    </row>
    <row r="3" spans="2:12">
      <c r="B3" s="65"/>
      <c r="L3" s="66"/>
    </row>
    <row r="4" spans="2:12">
      <c r="B4" s="2605" t="s">
        <v>3815</v>
      </c>
      <c r="C4" s="2606"/>
      <c r="D4" s="2606"/>
      <c r="E4" s="2606"/>
      <c r="F4" s="2606"/>
      <c r="G4" s="2606"/>
      <c r="H4" s="2606"/>
      <c r="I4" s="2606"/>
      <c r="J4" s="2606"/>
      <c r="K4" s="2606"/>
      <c r="L4" s="2607"/>
    </row>
    <row r="5" spans="2:12">
      <c r="B5" s="65"/>
      <c r="L5" s="66"/>
    </row>
    <row r="6" spans="2:12" ht="13.2" customHeight="1">
      <c r="B6" s="65"/>
      <c r="L6" s="66"/>
    </row>
    <row r="7" spans="2:12" ht="40.950000000000003" customHeight="1">
      <c r="B7" s="2608" t="s">
        <v>2734</v>
      </c>
      <c r="C7" s="2609"/>
      <c r="D7" s="2609"/>
      <c r="E7" s="2609"/>
      <c r="F7" s="2609"/>
      <c r="G7" s="2609"/>
      <c r="H7" s="2609"/>
      <c r="I7" s="2609"/>
      <c r="J7" s="2609"/>
      <c r="K7" s="2609"/>
      <c r="L7" s="2610"/>
    </row>
    <row r="8" spans="2:12" ht="13.5" customHeight="1">
      <c r="B8" s="119"/>
      <c r="C8" s="120"/>
      <c r="D8" s="120"/>
      <c r="E8" s="120"/>
      <c r="F8" s="120"/>
      <c r="G8" s="120"/>
      <c r="H8" s="120"/>
      <c r="I8" s="120"/>
      <c r="J8" s="120"/>
      <c r="K8" s="120"/>
      <c r="L8" s="66"/>
    </row>
    <row r="9" spans="2:12" ht="16.95" customHeight="1">
      <c r="B9" s="2611" t="s">
        <v>2733</v>
      </c>
      <c r="C9" s="2612"/>
      <c r="D9" s="2612"/>
      <c r="E9" s="2612"/>
      <c r="F9" s="2612"/>
      <c r="G9" s="2612"/>
      <c r="H9" s="2612"/>
      <c r="I9" s="2612"/>
      <c r="J9" s="2612"/>
      <c r="K9" s="2612"/>
      <c r="L9" s="2613"/>
    </row>
    <row r="10" spans="2:12" ht="13.2" customHeight="1">
      <c r="B10" s="119"/>
      <c r="C10" s="120"/>
      <c r="D10" s="120"/>
      <c r="E10" s="120"/>
      <c r="F10" s="120"/>
      <c r="G10" s="120"/>
      <c r="H10" s="120"/>
      <c r="I10" s="120"/>
      <c r="J10" s="120"/>
      <c r="K10" s="120"/>
      <c r="L10" s="66"/>
    </row>
    <row r="11" spans="2:12" ht="13.2" customHeight="1">
      <c r="B11" s="2602" t="s">
        <v>806</v>
      </c>
      <c r="C11" s="2603"/>
      <c r="D11" s="2603"/>
      <c r="E11" s="2603"/>
      <c r="F11" s="2603"/>
      <c r="G11" s="2603"/>
      <c r="H11" s="2603"/>
      <c r="I11" s="2603"/>
      <c r="J11" s="2603"/>
      <c r="K11" s="2603"/>
      <c r="L11" s="2604"/>
    </row>
    <row r="12" spans="2:12">
      <c r="B12" s="2602"/>
      <c r="C12" s="2603"/>
      <c r="D12" s="2603"/>
      <c r="E12" s="2603"/>
      <c r="F12" s="2603"/>
      <c r="G12" s="2603"/>
      <c r="H12" s="2603"/>
      <c r="I12" s="2603"/>
      <c r="J12" s="2603"/>
      <c r="K12" s="2603"/>
      <c r="L12" s="2604"/>
    </row>
    <row r="13" spans="2:12">
      <c r="B13" s="2602"/>
      <c r="C13" s="2603"/>
      <c r="D13" s="2603"/>
      <c r="E13" s="2603"/>
      <c r="F13" s="2603"/>
      <c r="G13" s="2603"/>
      <c r="H13" s="2603"/>
      <c r="I13" s="2603"/>
      <c r="J13" s="2603"/>
      <c r="K13" s="2603"/>
      <c r="L13" s="2604"/>
    </row>
    <row r="14" spans="2:12">
      <c r="B14" s="2602"/>
      <c r="C14" s="2603"/>
      <c r="D14" s="2603"/>
      <c r="E14" s="2603"/>
      <c r="F14" s="2603"/>
      <c r="G14" s="2603"/>
      <c r="H14" s="2603"/>
      <c r="I14" s="2603"/>
      <c r="J14" s="2603"/>
      <c r="K14" s="2603"/>
      <c r="L14" s="2604"/>
    </row>
    <row r="15" spans="2:12" ht="9" customHeight="1">
      <c r="B15" s="2602"/>
      <c r="C15" s="2603"/>
      <c r="D15" s="2603"/>
      <c r="E15" s="2603"/>
      <c r="F15" s="2603"/>
      <c r="G15" s="2603"/>
      <c r="H15" s="2603"/>
      <c r="I15" s="2603"/>
      <c r="J15" s="2603"/>
      <c r="K15" s="2603"/>
      <c r="L15" s="2604"/>
    </row>
    <row r="16" spans="2:12">
      <c r="B16" s="119"/>
      <c r="C16" s="120"/>
      <c r="D16" s="120"/>
      <c r="E16" s="120"/>
      <c r="F16" s="120"/>
      <c r="G16" s="120"/>
      <c r="H16" s="120"/>
      <c r="I16" s="120"/>
      <c r="J16" s="120"/>
      <c r="K16" s="120"/>
      <c r="L16" s="66"/>
    </row>
    <row r="17" spans="2:22">
      <c r="B17" s="2605" t="s">
        <v>2735</v>
      </c>
      <c r="C17" s="2606"/>
      <c r="D17" s="2606"/>
      <c r="E17" s="2606"/>
      <c r="F17" s="2606"/>
      <c r="G17" s="2606"/>
      <c r="H17" s="2606"/>
      <c r="I17" s="2606"/>
      <c r="J17" s="2606"/>
      <c r="K17" s="2606"/>
      <c r="L17" s="2607"/>
      <c r="V17" t="s">
        <v>2821</v>
      </c>
    </row>
    <row r="18" spans="2:22">
      <c r="B18" s="119"/>
      <c r="C18" s="120"/>
      <c r="D18" s="120"/>
      <c r="E18" s="120"/>
      <c r="F18" s="120"/>
      <c r="G18" s="120"/>
      <c r="H18" s="120"/>
      <c r="I18" s="120"/>
      <c r="J18" s="120"/>
      <c r="K18" s="120"/>
      <c r="L18" s="66"/>
    </row>
    <row r="19" spans="2:22" ht="13.2" customHeight="1">
      <c r="B19" s="2602" t="s">
        <v>3625</v>
      </c>
      <c r="C19" s="2603"/>
      <c r="D19" s="2603"/>
      <c r="E19" s="2603"/>
      <c r="F19" s="2603"/>
      <c r="G19" s="2603"/>
      <c r="H19" s="2603"/>
      <c r="I19" s="2603"/>
      <c r="J19" s="2603"/>
      <c r="K19" s="2603"/>
      <c r="L19" s="118"/>
    </row>
    <row r="20" spans="2:22" ht="13.2" customHeight="1">
      <c r="B20" s="2602"/>
      <c r="C20" s="2603"/>
      <c r="D20" s="2603"/>
      <c r="E20" s="2603"/>
      <c r="F20" s="2603"/>
      <c r="G20" s="2603"/>
      <c r="H20" s="2603"/>
      <c r="I20" s="2603"/>
      <c r="J20" s="2603"/>
      <c r="K20" s="2603"/>
      <c r="L20" s="66"/>
    </row>
    <row r="21" spans="2:22">
      <c r="B21" s="2602"/>
      <c r="C21" s="2603"/>
      <c r="D21" s="2603"/>
      <c r="E21" s="2603"/>
      <c r="F21" s="2603"/>
      <c r="G21" s="2603"/>
      <c r="H21" s="2603"/>
      <c r="I21" s="2603"/>
      <c r="J21" s="2603"/>
      <c r="K21" s="2603"/>
      <c r="L21" s="66"/>
    </row>
    <row r="22" spans="2:22">
      <c r="B22" s="2602"/>
      <c r="C22" s="2603"/>
      <c r="D22" s="2603"/>
      <c r="E22" s="2603"/>
      <c r="F22" s="2603"/>
      <c r="G22" s="2603"/>
      <c r="H22" s="2603"/>
      <c r="I22" s="2603"/>
      <c r="J22" s="2603"/>
      <c r="K22" s="2603"/>
      <c r="L22" s="66"/>
    </row>
    <row r="23" spans="2:22" ht="232.95" customHeight="1" thickBot="1">
      <c r="B23" s="147"/>
      <c r="C23" s="148"/>
      <c r="D23" s="148"/>
      <c r="E23" s="148"/>
      <c r="F23" s="148"/>
      <c r="G23" s="148"/>
      <c r="H23" s="148"/>
      <c r="I23" s="148"/>
      <c r="J23" s="148"/>
      <c r="K23" s="148"/>
      <c r="L23" s="149"/>
    </row>
  </sheetData>
  <sheetProtection algorithmName="SHA-512" hashValue="ljNFc3S+MrIVBsKZmyBUwvZ8jmlTCWQpxpIzd/Ds+OFRgXZm6OoLNLnQL1eH43T3bKwAoteF2HHhvZPD8YIE7Q==" saltValue="PN7olfKFyZ96LpjojyNeug==" spinCount="100000" sheet="1" objects="1" scenarios="1"/>
  <mergeCells count="7">
    <mergeCell ref="H1:L1"/>
    <mergeCell ref="B11:L15"/>
    <mergeCell ref="B17:L17"/>
    <mergeCell ref="B19:K22"/>
    <mergeCell ref="B4:L4"/>
    <mergeCell ref="B7:L7"/>
    <mergeCell ref="B9:L9"/>
  </mergeCells>
  <pageMargins left="0.7" right="0.7" top="0.75" bottom="0.75" header="0.3" footer="0.3"/>
  <pageSetup paperSize="9" scale="55"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21249-DBE5-4A46-B058-5F9EB91E9643}">
  <sheetPr>
    <pageSetUpPr fitToPage="1"/>
  </sheetPr>
  <dimension ref="B1:Z87"/>
  <sheetViews>
    <sheetView topLeftCell="B1" zoomScale="95" zoomScaleNormal="95" zoomScaleSheetLayoutView="78" workbookViewId="0">
      <selection activeCell="Z15" sqref="Z15"/>
    </sheetView>
  </sheetViews>
  <sheetFormatPr defaultRowHeight="13.2"/>
  <cols>
    <col min="3" max="3" width="11" customWidth="1"/>
    <col min="4" max="4" width="60.6640625" customWidth="1"/>
    <col min="5" max="5" width="54.109375" customWidth="1"/>
    <col min="6" max="6" width="15.88671875" style="1" customWidth="1"/>
    <col min="7" max="7" width="18.44140625" style="1" hidden="1" customWidth="1"/>
    <col min="8" max="8" width="17.44140625" style="1" hidden="1" customWidth="1"/>
    <col min="9" max="11" width="20.5546875" style="1" customWidth="1"/>
    <col min="12" max="12" width="21.44140625" style="1" hidden="1" customWidth="1"/>
    <col min="13" max="13" width="20.88671875" style="1" hidden="1" customWidth="1"/>
    <col min="14" max="14" width="20.88671875" style="2029" hidden="1" customWidth="1"/>
    <col min="15" max="15" width="21.6640625" style="1" customWidth="1"/>
    <col min="16" max="16" width="17.5546875" customWidth="1"/>
    <col min="17" max="17" width="41.6640625" customWidth="1"/>
  </cols>
  <sheetData>
    <row r="1" spans="2:17" ht="13.8" thickBot="1">
      <c r="E1" s="71"/>
    </row>
    <row r="2" spans="2:17">
      <c r="B2" s="63"/>
      <c r="C2" s="64"/>
      <c r="D2" s="64"/>
      <c r="E2" s="72"/>
      <c r="F2" s="231"/>
      <c r="G2" s="231"/>
      <c r="H2" s="231"/>
      <c r="I2" s="231"/>
      <c r="J2" s="231"/>
      <c r="K2" s="231"/>
      <c r="L2" s="231"/>
      <c r="M2" s="231"/>
      <c r="N2" s="2030"/>
      <c r="O2" s="231"/>
      <c r="P2" s="70"/>
    </row>
    <row r="3" spans="2:17" ht="15.6">
      <c r="B3" s="2627" t="s">
        <v>714</v>
      </c>
      <c r="C3" s="2628"/>
      <c r="D3" s="2628"/>
      <c r="E3" s="2628"/>
      <c r="F3" s="2628"/>
      <c r="G3" s="2628"/>
      <c r="H3" s="2628"/>
      <c r="I3" s="2628"/>
      <c r="J3" s="2628"/>
      <c r="K3" s="2628"/>
      <c r="L3" s="2628"/>
      <c r="M3" s="2628"/>
      <c r="N3" s="2628"/>
      <c r="O3" s="2628"/>
      <c r="P3" s="2629"/>
    </row>
    <row r="4" spans="2:17" ht="15.6">
      <c r="B4" s="2627" t="s">
        <v>808</v>
      </c>
      <c r="C4" s="2628"/>
      <c r="D4" s="2628"/>
      <c r="E4" s="2628"/>
      <c r="F4" s="2628"/>
      <c r="G4" s="2628"/>
      <c r="H4" s="2628"/>
      <c r="I4" s="2628"/>
      <c r="J4" s="2628"/>
      <c r="K4" s="2628"/>
      <c r="L4" s="2628"/>
      <c r="M4" s="2628"/>
      <c r="N4" s="2628"/>
      <c r="O4" s="2628"/>
      <c r="P4" s="2629"/>
    </row>
    <row r="5" spans="2:17" ht="15.6">
      <c r="B5" s="65"/>
      <c r="E5" s="73"/>
      <c r="P5" s="66"/>
    </row>
    <row r="6" spans="2:17" ht="33" customHeight="1">
      <c r="B6" s="65"/>
      <c r="C6" s="2626" t="s">
        <v>2416</v>
      </c>
      <c r="D6" s="2626"/>
      <c r="P6" s="66"/>
    </row>
    <row r="7" spans="2:17" ht="52.5" customHeight="1">
      <c r="B7" s="65"/>
      <c r="C7" s="2643" t="s">
        <v>1050</v>
      </c>
      <c r="D7" s="2643" t="s">
        <v>715</v>
      </c>
      <c r="E7" s="2643" t="s">
        <v>716</v>
      </c>
      <c r="F7" s="2624" t="s">
        <v>1062</v>
      </c>
      <c r="G7" s="2619" t="s">
        <v>717</v>
      </c>
      <c r="H7" s="2620"/>
      <c r="I7" s="2620"/>
      <c r="J7" s="2621"/>
      <c r="K7" s="1421"/>
      <c r="L7" s="2624" t="s">
        <v>811</v>
      </c>
      <c r="M7" s="2614" t="s">
        <v>3433</v>
      </c>
      <c r="N7" s="2636" t="s">
        <v>3817</v>
      </c>
      <c r="O7" s="2624" t="s">
        <v>810</v>
      </c>
      <c r="P7" s="66"/>
    </row>
    <row r="8" spans="2:17" ht="15.75" customHeight="1">
      <c r="B8" s="65"/>
      <c r="C8" s="2644"/>
      <c r="D8" s="2644"/>
      <c r="E8" s="2644"/>
      <c r="F8" s="2625"/>
      <c r="G8" s="232" t="s">
        <v>773</v>
      </c>
      <c r="H8" s="232" t="s">
        <v>774</v>
      </c>
      <c r="I8" s="232" t="s">
        <v>807</v>
      </c>
      <c r="J8" s="606" t="s">
        <v>2880</v>
      </c>
      <c r="K8" s="606" t="s">
        <v>3816</v>
      </c>
      <c r="L8" s="2625"/>
      <c r="M8" s="2615"/>
      <c r="N8" s="2637"/>
      <c r="O8" s="2625"/>
      <c r="P8" s="66"/>
    </row>
    <row r="9" spans="2:17">
      <c r="B9" s="65"/>
      <c r="C9" s="74">
        <v>1</v>
      </c>
      <c r="D9" s="74">
        <v>2</v>
      </c>
      <c r="E9" s="74">
        <v>3</v>
      </c>
      <c r="F9" s="233">
        <v>4</v>
      </c>
      <c r="G9" s="233">
        <v>5</v>
      </c>
      <c r="H9" s="233">
        <v>6</v>
      </c>
      <c r="I9" s="233">
        <v>7</v>
      </c>
      <c r="J9" s="607">
        <v>7</v>
      </c>
      <c r="K9" s="607">
        <v>7</v>
      </c>
      <c r="L9" s="233">
        <v>8</v>
      </c>
      <c r="M9" s="233">
        <v>8</v>
      </c>
      <c r="N9" s="2031">
        <v>8</v>
      </c>
      <c r="O9" s="233">
        <v>9</v>
      </c>
      <c r="P9" s="66"/>
    </row>
    <row r="10" spans="2:17" ht="50.4" customHeight="1">
      <c r="B10" s="65"/>
      <c r="C10" s="80" t="s">
        <v>769</v>
      </c>
      <c r="D10" s="81" t="s">
        <v>2381</v>
      </c>
      <c r="E10" s="81" t="s">
        <v>809</v>
      </c>
      <c r="F10" s="234">
        <v>7470</v>
      </c>
      <c r="G10" s="234">
        <v>7450</v>
      </c>
      <c r="H10" s="234">
        <v>8000</v>
      </c>
      <c r="I10" s="234">
        <v>8000</v>
      </c>
      <c r="J10" s="234">
        <v>8000</v>
      </c>
      <c r="K10" s="234">
        <v>8000</v>
      </c>
      <c r="L10" s="234">
        <v>7470</v>
      </c>
      <c r="M10" s="234" t="s">
        <v>3572</v>
      </c>
      <c r="N10" s="2032" t="s">
        <v>3572</v>
      </c>
      <c r="O10" s="234" t="s">
        <v>3362</v>
      </c>
      <c r="P10" s="66"/>
      <c r="Q10" s="493"/>
    </row>
    <row r="11" spans="2:17" ht="43.5" customHeight="1">
      <c r="B11" s="65"/>
      <c r="C11" s="2630" t="s">
        <v>831</v>
      </c>
      <c r="D11" s="2642" t="s">
        <v>1051</v>
      </c>
      <c r="E11" s="76" t="s">
        <v>812</v>
      </c>
      <c r="F11" s="235" t="s">
        <v>814</v>
      </c>
      <c r="G11" s="235">
        <v>889</v>
      </c>
      <c r="H11" s="235">
        <v>1475</v>
      </c>
      <c r="I11" s="235">
        <v>1475</v>
      </c>
      <c r="J11" s="235">
        <v>1475</v>
      </c>
      <c r="K11" s="235">
        <v>1475</v>
      </c>
      <c r="L11" s="235" t="s">
        <v>814</v>
      </c>
      <c r="M11" s="235" t="s">
        <v>3606</v>
      </c>
      <c r="N11" s="582" t="s">
        <v>3606</v>
      </c>
      <c r="O11" s="235" t="s">
        <v>816</v>
      </c>
      <c r="P11" s="66"/>
    </row>
    <row r="12" spans="2:17" ht="55.5" customHeight="1">
      <c r="B12" s="65"/>
      <c r="C12" s="2631"/>
      <c r="D12" s="2642"/>
      <c r="E12" s="76" t="s">
        <v>813</v>
      </c>
      <c r="F12" s="235" t="s">
        <v>815</v>
      </c>
      <c r="G12" s="236">
        <v>739</v>
      </c>
      <c r="H12" s="236">
        <v>908</v>
      </c>
      <c r="I12" s="236">
        <v>908</v>
      </c>
      <c r="J12" s="236">
        <v>908</v>
      </c>
      <c r="K12" s="236">
        <v>908</v>
      </c>
      <c r="L12" s="235" t="s">
        <v>815</v>
      </c>
      <c r="M12" s="235" t="s">
        <v>3607</v>
      </c>
      <c r="N12" s="582" t="s">
        <v>3607</v>
      </c>
      <c r="O12" s="235" t="s">
        <v>817</v>
      </c>
      <c r="P12" s="66"/>
    </row>
    <row r="13" spans="2:17" ht="55.5" customHeight="1">
      <c r="B13" s="65"/>
      <c r="C13" s="75" t="s">
        <v>1052</v>
      </c>
      <c r="D13" s="76" t="s">
        <v>1053</v>
      </c>
      <c r="E13" s="76" t="s">
        <v>818</v>
      </c>
      <c r="F13" s="235" t="s">
        <v>826</v>
      </c>
      <c r="G13" s="236">
        <v>14.78</v>
      </c>
      <c r="H13" s="236">
        <v>17.71</v>
      </c>
      <c r="I13" s="236">
        <v>17.71</v>
      </c>
      <c r="J13" s="236">
        <v>17.71</v>
      </c>
      <c r="K13" s="236">
        <v>17.71</v>
      </c>
      <c r="L13" s="235" t="s">
        <v>826</v>
      </c>
      <c r="M13" s="235" t="s">
        <v>3266</v>
      </c>
      <c r="N13" s="582" t="s">
        <v>3266</v>
      </c>
      <c r="O13" s="235" t="s">
        <v>822</v>
      </c>
      <c r="P13" s="66"/>
    </row>
    <row r="14" spans="2:17" ht="55.5" customHeight="1">
      <c r="B14" s="65"/>
      <c r="C14" s="2630"/>
      <c r="D14" s="2633"/>
      <c r="E14" s="76" t="s">
        <v>819</v>
      </c>
      <c r="F14" s="235" t="s">
        <v>827</v>
      </c>
      <c r="G14" s="236">
        <v>19.55</v>
      </c>
      <c r="H14" s="236">
        <v>11.28</v>
      </c>
      <c r="I14" s="236">
        <v>11.28</v>
      </c>
      <c r="J14" s="236">
        <v>11.28</v>
      </c>
      <c r="K14" s="236">
        <v>11.28</v>
      </c>
      <c r="L14" s="235" t="s">
        <v>827</v>
      </c>
      <c r="M14" s="235" t="s">
        <v>3608</v>
      </c>
      <c r="N14" s="582" t="s">
        <v>3608</v>
      </c>
      <c r="O14" s="235" t="s">
        <v>823</v>
      </c>
      <c r="P14" s="66"/>
    </row>
    <row r="15" spans="2:17" ht="43.5" customHeight="1">
      <c r="B15" s="65"/>
      <c r="C15" s="2632"/>
      <c r="D15" s="2634"/>
      <c r="E15" s="76" t="s">
        <v>820</v>
      </c>
      <c r="F15" s="235" t="s">
        <v>828</v>
      </c>
      <c r="G15" s="236">
        <v>1</v>
      </c>
      <c r="H15" s="236">
        <v>0</v>
      </c>
      <c r="I15" s="236">
        <v>0</v>
      </c>
      <c r="J15" s="236">
        <v>0</v>
      </c>
      <c r="K15" s="236">
        <v>0</v>
      </c>
      <c r="L15" s="235" t="s">
        <v>828</v>
      </c>
      <c r="M15" s="235" t="s">
        <v>824</v>
      </c>
      <c r="N15" s="582" t="s">
        <v>824</v>
      </c>
      <c r="O15" s="235" t="s">
        <v>3267</v>
      </c>
      <c r="P15" s="66"/>
    </row>
    <row r="16" spans="2:17" ht="45.75" customHeight="1">
      <c r="B16" s="65"/>
      <c r="C16" s="2631"/>
      <c r="D16" s="2635"/>
      <c r="E16" s="76" t="s">
        <v>821</v>
      </c>
      <c r="F16" s="235" t="s">
        <v>829</v>
      </c>
      <c r="G16" s="236">
        <v>25</v>
      </c>
      <c r="H16" s="236">
        <v>35</v>
      </c>
      <c r="I16" s="236">
        <v>45</v>
      </c>
      <c r="J16" s="236">
        <v>45</v>
      </c>
      <c r="K16" s="236">
        <v>45</v>
      </c>
      <c r="L16" s="235" t="s">
        <v>829</v>
      </c>
      <c r="M16" s="235" t="s">
        <v>3268</v>
      </c>
      <c r="N16" s="582" t="s">
        <v>3268</v>
      </c>
      <c r="O16" s="235" t="s">
        <v>3269</v>
      </c>
      <c r="P16" s="66"/>
    </row>
    <row r="17" spans="2:16" ht="55.5" customHeight="1">
      <c r="B17" s="65"/>
      <c r="C17" s="75" t="s">
        <v>835</v>
      </c>
      <c r="D17" s="76" t="s">
        <v>836</v>
      </c>
      <c r="E17" s="76" t="s">
        <v>830</v>
      </c>
      <c r="F17" s="235" t="s">
        <v>837</v>
      </c>
      <c r="G17" s="236">
        <v>2</v>
      </c>
      <c r="H17" s="236">
        <v>2</v>
      </c>
      <c r="I17" s="236">
        <v>3</v>
      </c>
      <c r="J17" s="236">
        <v>3</v>
      </c>
      <c r="K17" s="236">
        <v>3</v>
      </c>
      <c r="L17" s="235" t="s">
        <v>837</v>
      </c>
      <c r="M17" s="235" t="s">
        <v>3270</v>
      </c>
      <c r="N17" s="582" t="s">
        <v>3270</v>
      </c>
      <c r="O17" s="235" t="s">
        <v>838</v>
      </c>
      <c r="P17" s="66"/>
    </row>
    <row r="18" spans="2:16" ht="60.75" customHeight="1">
      <c r="B18" s="65"/>
      <c r="C18" s="80" t="s">
        <v>770</v>
      </c>
      <c r="D18" s="81" t="s">
        <v>1054</v>
      </c>
      <c r="E18" s="81" t="s">
        <v>839</v>
      </c>
      <c r="F18" s="237" t="s">
        <v>840</v>
      </c>
      <c r="G18" s="237">
        <v>7855</v>
      </c>
      <c r="H18" s="237">
        <v>6200</v>
      </c>
      <c r="I18" s="237">
        <v>6600</v>
      </c>
      <c r="J18" s="237">
        <v>7000</v>
      </c>
      <c r="K18" s="237">
        <v>7000</v>
      </c>
      <c r="L18" s="234" t="s">
        <v>840</v>
      </c>
      <c r="M18" s="234" t="s">
        <v>3352</v>
      </c>
      <c r="N18" s="2032" t="s">
        <v>3352</v>
      </c>
      <c r="O18" s="234" t="s">
        <v>841</v>
      </c>
      <c r="P18" s="66"/>
    </row>
    <row r="19" spans="2:16" ht="68.25" customHeight="1">
      <c r="B19" s="65"/>
      <c r="C19" s="75" t="s">
        <v>842</v>
      </c>
      <c r="D19" s="76" t="s">
        <v>1055</v>
      </c>
      <c r="E19" s="76" t="s">
        <v>843</v>
      </c>
      <c r="F19" s="235" t="s">
        <v>844</v>
      </c>
      <c r="G19" s="236">
        <v>72</v>
      </c>
      <c r="H19" s="236">
        <v>55</v>
      </c>
      <c r="I19" s="236">
        <v>54</v>
      </c>
      <c r="J19" s="236">
        <v>53</v>
      </c>
      <c r="K19" s="236">
        <v>53</v>
      </c>
      <c r="L19" s="235" t="s">
        <v>844</v>
      </c>
      <c r="M19" s="235" t="s">
        <v>3353</v>
      </c>
      <c r="N19" s="582" t="s">
        <v>3353</v>
      </c>
      <c r="O19" s="235" t="s">
        <v>845</v>
      </c>
      <c r="P19" s="66"/>
    </row>
    <row r="20" spans="2:16" ht="59.25" customHeight="1">
      <c r="B20" s="65"/>
      <c r="C20" s="75" t="s">
        <v>1056</v>
      </c>
      <c r="D20" s="76" t="s">
        <v>1057</v>
      </c>
      <c r="E20" s="76" t="s">
        <v>848</v>
      </c>
      <c r="F20" s="235" t="s">
        <v>828</v>
      </c>
      <c r="G20" s="236">
        <v>4</v>
      </c>
      <c r="H20" s="236">
        <v>1</v>
      </c>
      <c r="I20" s="236">
        <v>1</v>
      </c>
      <c r="J20" s="236">
        <v>1</v>
      </c>
      <c r="K20" s="236">
        <v>1</v>
      </c>
      <c r="L20" s="235" t="s">
        <v>828</v>
      </c>
      <c r="M20" s="235" t="s">
        <v>824</v>
      </c>
      <c r="N20" s="582" t="s">
        <v>824</v>
      </c>
      <c r="O20" s="235" t="s">
        <v>847</v>
      </c>
      <c r="P20" s="66"/>
    </row>
    <row r="21" spans="2:16" ht="64.5" customHeight="1">
      <c r="B21" s="65"/>
      <c r="C21" s="75" t="s">
        <v>849</v>
      </c>
      <c r="D21" s="76" t="s">
        <v>3629</v>
      </c>
      <c r="E21" s="76" t="s">
        <v>850</v>
      </c>
      <c r="F21" s="235" t="s">
        <v>828</v>
      </c>
      <c r="G21" s="236">
        <v>50</v>
      </c>
      <c r="H21" s="236">
        <v>1500</v>
      </c>
      <c r="I21" s="236">
        <v>1600</v>
      </c>
      <c r="J21" s="236">
        <v>1700</v>
      </c>
      <c r="K21" s="236">
        <v>1700</v>
      </c>
      <c r="L21" s="235" t="s">
        <v>828</v>
      </c>
      <c r="M21" s="235" t="s">
        <v>3354</v>
      </c>
      <c r="N21" s="582" t="s">
        <v>3354</v>
      </c>
      <c r="O21" s="235" t="s">
        <v>841</v>
      </c>
      <c r="P21" s="66"/>
    </row>
    <row r="22" spans="2:16" ht="123" customHeight="1">
      <c r="B22" s="65"/>
      <c r="C22" s="80" t="s">
        <v>1058</v>
      </c>
      <c r="D22" s="81" t="s">
        <v>1059</v>
      </c>
      <c r="E22" s="81" t="s">
        <v>851</v>
      </c>
      <c r="F22" s="234" t="s">
        <v>828</v>
      </c>
      <c r="G22" s="237">
        <v>50</v>
      </c>
      <c r="H22" s="237">
        <v>70</v>
      </c>
      <c r="I22" s="237">
        <v>100</v>
      </c>
      <c r="J22" s="237" t="s">
        <v>3630</v>
      </c>
      <c r="K22" s="237" t="s">
        <v>3630</v>
      </c>
      <c r="L22" s="234" t="s">
        <v>828</v>
      </c>
      <c r="M22" s="234" t="s">
        <v>3401</v>
      </c>
      <c r="N22" s="2032" t="s">
        <v>3401</v>
      </c>
      <c r="O22" s="234" t="s">
        <v>3402</v>
      </c>
      <c r="P22" s="66"/>
    </row>
    <row r="23" spans="2:16" ht="52.2" customHeight="1">
      <c r="B23" s="79"/>
      <c r="C23" s="2630" t="s">
        <v>852</v>
      </c>
      <c r="D23" s="2633" t="s">
        <v>853</v>
      </c>
      <c r="E23" s="76" t="s">
        <v>854</v>
      </c>
      <c r="F23" s="235" t="s">
        <v>855</v>
      </c>
      <c r="G23" s="236">
        <v>895</v>
      </c>
      <c r="H23" s="236">
        <v>670</v>
      </c>
      <c r="I23" s="236">
        <v>658</v>
      </c>
      <c r="J23" s="236">
        <v>638</v>
      </c>
      <c r="K23" s="236">
        <v>638</v>
      </c>
      <c r="L23" s="235" t="s">
        <v>855</v>
      </c>
      <c r="M23" s="235" t="s">
        <v>855</v>
      </c>
      <c r="N23" s="582" t="s">
        <v>855</v>
      </c>
      <c r="O23" s="235" t="s">
        <v>856</v>
      </c>
      <c r="P23" s="66"/>
    </row>
    <row r="24" spans="2:16" ht="48" customHeight="1" thickBot="1">
      <c r="B24" s="79"/>
      <c r="C24" s="2631"/>
      <c r="D24" s="2635"/>
      <c r="E24" s="76" t="s">
        <v>857</v>
      </c>
      <c r="F24" s="235" t="s">
        <v>828</v>
      </c>
      <c r="G24" s="236">
        <v>0</v>
      </c>
      <c r="H24" s="236">
        <v>40</v>
      </c>
      <c r="I24" s="236">
        <v>40</v>
      </c>
      <c r="J24" s="236">
        <v>40</v>
      </c>
      <c r="K24" s="236">
        <v>40</v>
      </c>
      <c r="L24" s="235" t="s">
        <v>3403</v>
      </c>
      <c r="M24" s="235" t="s">
        <v>3268</v>
      </c>
      <c r="N24" s="582" t="s">
        <v>3268</v>
      </c>
      <c r="O24" s="235" t="s">
        <v>858</v>
      </c>
      <c r="P24" s="69"/>
    </row>
    <row r="25" spans="2:16" ht="69" customHeight="1">
      <c r="B25" s="79"/>
      <c r="C25" s="75" t="s">
        <v>859</v>
      </c>
      <c r="D25" s="76" t="s">
        <v>860</v>
      </c>
      <c r="E25" s="76" t="s">
        <v>861</v>
      </c>
      <c r="F25" s="235" t="s">
        <v>828</v>
      </c>
      <c r="G25" s="236">
        <v>0</v>
      </c>
      <c r="H25" s="236">
        <v>83</v>
      </c>
      <c r="I25" s="236">
        <v>84</v>
      </c>
      <c r="J25" s="236">
        <v>84</v>
      </c>
      <c r="K25" s="236">
        <v>84</v>
      </c>
      <c r="L25" s="235" t="s">
        <v>3404</v>
      </c>
      <c r="M25" s="235" t="s">
        <v>3405</v>
      </c>
      <c r="N25" s="582" t="s">
        <v>3405</v>
      </c>
      <c r="O25" s="235" t="s">
        <v>3718</v>
      </c>
      <c r="P25" s="66"/>
    </row>
    <row r="26" spans="2:16" ht="52.8">
      <c r="B26" s="79"/>
      <c r="C26" s="75" t="s">
        <v>1033</v>
      </c>
      <c r="D26" s="76" t="s">
        <v>862</v>
      </c>
      <c r="E26" s="76" t="s">
        <v>3631</v>
      </c>
      <c r="F26" s="235" t="s">
        <v>828</v>
      </c>
      <c r="G26" s="236">
        <v>3</v>
      </c>
      <c r="H26" s="236">
        <v>3</v>
      </c>
      <c r="I26" s="236">
        <v>0</v>
      </c>
      <c r="J26" s="236">
        <v>0</v>
      </c>
      <c r="K26" s="236">
        <v>0</v>
      </c>
      <c r="L26" s="235" t="s">
        <v>3406</v>
      </c>
      <c r="M26" s="235" t="s">
        <v>3270</v>
      </c>
      <c r="N26" s="582" t="s">
        <v>3270</v>
      </c>
      <c r="O26" s="235" t="s">
        <v>863</v>
      </c>
      <c r="P26" s="66"/>
    </row>
    <row r="27" spans="2:16" ht="39.6">
      <c r="B27" s="77"/>
      <c r="C27" s="75" t="s">
        <v>864</v>
      </c>
      <c r="D27" s="76" t="s">
        <v>865</v>
      </c>
      <c r="E27" s="76" t="s">
        <v>866</v>
      </c>
      <c r="F27" s="235" t="s">
        <v>828</v>
      </c>
      <c r="G27" s="236">
        <v>1</v>
      </c>
      <c r="H27" s="236">
        <v>1</v>
      </c>
      <c r="I27" s="236">
        <v>1</v>
      </c>
      <c r="J27" s="236">
        <v>1</v>
      </c>
      <c r="K27" s="236">
        <v>1</v>
      </c>
      <c r="L27" s="584" t="s">
        <v>828</v>
      </c>
      <c r="M27" s="586" t="s">
        <v>3356</v>
      </c>
      <c r="N27" s="582" t="s">
        <v>3356</v>
      </c>
      <c r="O27" s="235" t="s">
        <v>847</v>
      </c>
      <c r="P27" s="66"/>
    </row>
    <row r="28" spans="2:16" ht="39.6">
      <c r="B28" s="65"/>
      <c r="C28" s="75" t="s">
        <v>867</v>
      </c>
      <c r="D28" s="76" t="s">
        <v>868</v>
      </c>
      <c r="E28" s="76" t="s">
        <v>357</v>
      </c>
      <c r="F28" s="235" t="s">
        <v>869</v>
      </c>
      <c r="G28" s="236">
        <v>0</v>
      </c>
      <c r="H28" s="236">
        <v>1</v>
      </c>
      <c r="I28" s="236">
        <v>1</v>
      </c>
      <c r="J28" s="236">
        <v>1</v>
      </c>
      <c r="K28" s="236">
        <v>1</v>
      </c>
      <c r="L28" s="235" t="s">
        <v>3407</v>
      </c>
      <c r="M28" s="235" t="s">
        <v>824</v>
      </c>
      <c r="N28" s="582" t="s">
        <v>824</v>
      </c>
      <c r="O28" s="235" t="s">
        <v>834</v>
      </c>
      <c r="P28" s="66"/>
    </row>
    <row r="29" spans="2:16" ht="80.400000000000006" customHeight="1">
      <c r="B29" s="65"/>
      <c r="C29" s="75" t="s">
        <v>872</v>
      </c>
      <c r="D29" s="76" t="s">
        <v>873</v>
      </c>
      <c r="E29" s="76" t="s">
        <v>874</v>
      </c>
      <c r="F29" s="235" t="s">
        <v>828</v>
      </c>
      <c r="G29" s="236">
        <v>80</v>
      </c>
      <c r="H29" s="236">
        <v>82</v>
      </c>
      <c r="I29" s="236">
        <v>85</v>
      </c>
      <c r="J29" s="236">
        <v>85</v>
      </c>
      <c r="K29" s="236">
        <v>85</v>
      </c>
      <c r="L29" s="235" t="s">
        <v>828</v>
      </c>
      <c r="M29" s="235" t="s">
        <v>3408</v>
      </c>
      <c r="N29" s="582" t="s">
        <v>3408</v>
      </c>
      <c r="O29" s="235" t="s">
        <v>875</v>
      </c>
      <c r="P29" s="66"/>
    </row>
    <row r="30" spans="2:16" ht="54" customHeight="1">
      <c r="B30" s="65"/>
      <c r="C30" s="80" t="s">
        <v>1034</v>
      </c>
      <c r="D30" s="81" t="s">
        <v>878</v>
      </c>
      <c r="E30" s="81" t="s">
        <v>879</v>
      </c>
      <c r="F30" s="234" t="s">
        <v>880</v>
      </c>
      <c r="G30" s="237">
        <v>12</v>
      </c>
      <c r="H30" s="237">
        <v>12</v>
      </c>
      <c r="I30" s="237">
        <v>13</v>
      </c>
      <c r="J30" s="237">
        <v>14</v>
      </c>
      <c r="K30" s="237">
        <v>14</v>
      </c>
      <c r="L30" s="234" t="s">
        <v>880</v>
      </c>
      <c r="M30" s="234" t="s">
        <v>3587</v>
      </c>
      <c r="N30" s="2574" t="s">
        <v>4681</v>
      </c>
      <c r="O30" s="234" t="s">
        <v>881</v>
      </c>
      <c r="P30" s="66"/>
    </row>
    <row r="31" spans="2:16" ht="39.6">
      <c r="B31" s="65"/>
      <c r="C31" s="75" t="s">
        <v>882</v>
      </c>
      <c r="D31" s="76" t="s">
        <v>883</v>
      </c>
      <c r="E31" s="76" t="s">
        <v>884</v>
      </c>
      <c r="F31" s="235" t="s">
        <v>885</v>
      </c>
      <c r="G31" s="236">
        <v>3000</v>
      </c>
      <c r="H31" s="236">
        <v>3200</v>
      </c>
      <c r="I31" s="236">
        <v>3250</v>
      </c>
      <c r="J31" s="236">
        <v>3300</v>
      </c>
      <c r="K31" s="236">
        <v>3300</v>
      </c>
      <c r="L31" s="235" t="s">
        <v>885</v>
      </c>
      <c r="M31" s="235" t="s">
        <v>3409</v>
      </c>
      <c r="N31" s="2575" t="s">
        <v>4682</v>
      </c>
      <c r="O31" s="235" t="s">
        <v>2810</v>
      </c>
      <c r="P31" s="66"/>
    </row>
    <row r="32" spans="2:16" ht="33.75" customHeight="1">
      <c r="B32" s="77"/>
      <c r="C32" s="75" t="s">
        <v>886</v>
      </c>
      <c r="D32" s="76" t="s">
        <v>887</v>
      </c>
      <c r="E32" s="76" t="s">
        <v>2332</v>
      </c>
      <c r="F32" s="235" t="s">
        <v>888</v>
      </c>
      <c r="G32" s="236">
        <v>20</v>
      </c>
      <c r="H32" s="236">
        <v>26</v>
      </c>
      <c r="I32" s="236">
        <v>27</v>
      </c>
      <c r="J32" s="236">
        <v>27</v>
      </c>
      <c r="K32" s="236">
        <v>27</v>
      </c>
      <c r="L32" s="235" t="s">
        <v>888</v>
      </c>
      <c r="M32" s="235" t="s">
        <v>3410</v>
      </c>
      <c r="N32" s="2575" t="s">
        <v>3410</v>
      </c>
      <c r="O32" s="235" t="s">
        <v>889</v>
      </c>
      <c r="P32" s="66"/>
    </row>
    <row r="33" spans="2:16" ht="52.8">
      <c r="B33" s="65"/>
      <c r="C33" s="75" t="s">
        <v>890</v>
      </c>
      <c r="D33" s="76" t="s">
        <v>891</v>
      </c>
      <c r="E33" s="76" t="s">
        <v>892</v>
      </c>
      <c r="F33" s="235" t="s">
        <v>968</v>
      </c>
      <c r="G33" s="236">
        <v>30</v>
      </c>
      <c r="H33" s="235" t="s">
        <v>3411</v>
      </c>
      <c r="I33" s="235" t="s">
        <v>3411</v>
      </c>
      <c r="J33" s="235" t="s">
        <v>3412</v>
      </c>
      <c r="K33" s="235" t="s">
        <v>3412</v>
      </c>
      <c r="L33" s="235" t="s">
        <v>968</v>
      </c>
      <c r="M33" s="235" t="s">
        <v>3413</v>
      </c>
      <c r="N33" s="2575" t="s">
        <v>4683</v>
      </c>
      <c r="O33" s="235" t="s">
        <v>876</v>
      </c>
      <c r="P33" s="66"/>
    </row>
    <row r="34" spans="2:16" ht="41.25" customHeight="1">
      <c r="B34" s="65"/>
      <c r="C34" s="75" t="s">
        <v>893</v>
      </c>
      <c r="D34" s="76" t="s">
        <v>894</v>
      </c>
      <c r="E34" s="76" t="s">
        <v>895</v>
      </c>
      <c r="F34" s="235" t="s">
        <v>828</v>
      </c>
      <c r="G34" s="236">
        <v>40</v>
      </c>
      <c r="H34" s="236">
        <v>50</v>
      </c>
      <c r="I34" s="236">
        <v>55</v>
      </c>
      <c r="J34" s="236">
        <v>60</v>
      </c>
      <c r="K34" s="236">
        <v>60</v>
      </c>
      <c r="L34" s="235" t="s">
        <v>828</v>
      </c>
      <c r="M34" s="235" t="s">
        <v>3401</v>
      </c>
      <c r="N34" s="2575" t="s">
        <v>4684</v>
      </c>
      <c r="O34" s="235" t="s">
        <v>875</v>
      </c>
      <c r="P34" s="66"/>
    </row>
    <row r="35" spans="2:16" ht="70.5" customHeight="1">
      <c r="B35" s="65"/>
      <c r="C35" s="75" t="s">
        <v>896</v>
      </c>
      <c r="D35" s="76" t="s">
        <v>897</v>
      </c>
      <c r="E35" s="76" t="s">
        <v>3632</v>
      </c>
      <c r="F35" s="235" t="s">
        <v>828</v>
      </c>
      <c r="G35" s="236">
        <v>1</v>
      </c>
      <c r="H35" s="236">
        <v>2</v>
      </c>
      <c r="I35" s="236">
        <v>2</v>
      </c>
      <c r="J35" s="236">
        <v>2.5</v>
      </c>
      <c r="K35" s="236">
        <v>2.5</v>
      </c>
      <c r="L35" s="235" t="s">
        <v>828</v>
      </c>
      <c r="M35" s="235" t="s">
        <v>3271</v>
      </c>
      <c r="N35" s="2575" t="s">
        <v>4685</v>
      </c>
      <c r="O35" s="235" t="s">
        <v>834</v>
      </c>
      <c r="P35" s="66"/>
    </row>
    <row r="36" spans="2:16" ht="59.4" customHeight="1">
      <c r="B36" s="65"/>
      <c r="C36" s="80" t="s">
        <v>1035</v>
      </c>
      <c r="D36" s="81" t="s">
        <v>898</v>
      </c>
      <c r="E36" s="81" t="s">
        <v>899</v>
      </c>
      <c r="F36" s="234" t="s">
        <v>828</v>
      </c>
      <c r="G36" s="237">
        <v>40</v>
      </c>
      <c r="H36" s="237">
        <v>50</v>
      </c>
      <c r="I36" s="237">
        <v>60</v>
      </c>
      <c r="J36" s="237">
        <v>60</v>
      </c>
      <c r="K36" s="237">
        <v>60</v>
      </c>
      <c r="L36" s="234" t="s">
        <v>828</v>
      </c>
      <c r="M36" s="234" t="s">
        <v>3361</v>
      </c>
      <c r="N36" s="2032" t="s">
        <v>3361</v>
      </c>
      <c r="O36" s="234" t="s">
        <v>900</v>
      </c>
      <c r="P36" s="66"/>
    </row>
    <row r="37" spans="2:16" ht="39.6">
      <c r="B37" s="77"/>
      <c r="C37" s="75" t="s">
        <v>901</v>
      </c>
      <c r="D37" s="76" t="s">
        <v>902</v>
      </c>
      <c r="E37" s="76" t="s">
        <v>903</v>
      </c>
      <c r="F37" s="235" t="s">
        <v>904</v>
      </c>
      <c r="G37" s="236">
        <v>20</v>
      </c>
      <c r="H37" s="236">
        <v>30</v>
      </c>
      <c r="I37" s="236">
        <v>40</v>
      </c>
      <c r="J37" s="236">
        <v>50</v>
      </c>
      <c r="K37" s="236">
        <v>50</v>
      </c>
      <c r="L37" s="235" t="s">
        <v>3414</v>
      </c>
      <c r="M37" s="235" t="s">
        <v>3415</v>
      </c>
      <c r="N37" s="582" t="s">
        <v>3415</v>
      </c>
      <c r="O37" s="235" t="s">
        <v>905</v>
      </c>
      <c r="P37" s="66"/>
    </row>
    <row r="38" spans="2:16" ht="33" customHeight="1">
      <c r="B38" s="77"/>
      <c r="C38" s="75" t="s">
        <v>906</v>
      </c>
      <c r="D38" s="76" t="s">
        <v>907</v>
      </c>
      <c r="E38" s="76" t="s">
        <v>908</v>
      </c>
      <c r="F38" s="235" t="s">
        <v>828</v>
      </c>
      <c r="G38" s="236">
        <v>1</v>
      </c>
      <c r="H38" s="236">
        <v>1</v>
      </c>
      <c r="I38" s="236">
        <v>2</v>
      </c>
      <c r="J38" s="236">
        <v>2</v>
      </c>
      <c r="K38" s="236">
        <v>2</v>
      </c>
      <c r="L38" s="235" t="s">
        <v>3416</v>
      </c>
      <c r="M38" s="235" t="s">
        <v>3417</v>
      </c>
      <c r="N38" s="582" t="s">
        <v>3417</v>
      </c>
      <c r="O38" s="235" t="s">
        <v>832</v>
      </c>
      <c r="P38" s="66"/>
    </row>
    <row r="39" spans="2:16" ht="39.6">
      <c r="B39" s="65"/>
      <c r="C39" s="75" t="s">
        <v>909</v>
      </c>
      <c r="D39" s="76" t="s">
        <v>910</v>
      </c>
      <c r="E39" s="76" t="s">
        <v>911</v>
      </c>
      <c r="F39" s="235" t="s">
        <v>828</v>
      </c>
      <c r="G39" s="236">
        <v>0</v>
      </c>
      <c r="H39" s="236">
        <v>0</v>
      </c>
      <c r="I39" s="236">
        <v>1</v>
      </c>
      <c r="J39" s="236">
        <v>1</v>
      </c>
      <c r="K39" s="236">
        <v>1</v>
      </c>
      <c r="L39" s="235" t="s">
        <v>3418</v>
      </c>
      <c r="M39" s="235" t="s">
        <v>3419</v>
      </c>
      <c r="N39" s="582" t="s">
        <v>3419</v>
      </c>
      <c r="O39" s="235" t="s">
        <v>834</v>
      </c>
      <c r="P39" s="66"/>
    </row>
    <row r="40" spans="2:16" ht="39.6">
      <c r="B40" s="77"/>
      <c r="C40" s="75" t="s">
        <v>912</v>
      </c>
      <c r="D40" s="76" t="s">
        <v>913</v>
      </c>
      <c r="E40" s="76" t="s">
        <v>914</v>
      </c>
      <c r="F40" s="235" t="s">
        <v>828</v>
      </c>
      <c r="G40" s="236">
        <v>10</v>
      </c>
      <c r="H40" s="236">
        <v>12</v>
      </c>
      <c r="I40" s="236">
        <v>12.5</v>
      </c>
      <c r="J40" s="236">
        <v>13</v>
      </c>
      <c r="K40" s="236">
        <v>13</v>
      </c>
      <c r="L40" s="235" t="s">
        <v>3420</v>
      </c>
      <c r="M40" s="235" t="s">
        <v>3421</v>
      </c>
      <c r="N40" s="582" t="s">
        <v>3421</v>
      </c>
      <c r="O40" s="235" t="s">
        <v>3422</v>
      </c>
      <c r="P40" s="66"/>
    </row>
    <row r="41" spans="2:16" ht="37.5" customHeight="1">
      <c r="B41" s="77"/>
      <c r="C41" s="75" t="s">
        <v>915</v>
      </c>
      <c r="D41" s="76" t="s">
        <v>916</v>
      </c>
      <c r="E41" s="76" t="s">
        <v>917</v>
      </c>
      <c r="F41" s="235" t="s">
        <v>828</v>
      </c>
      <c r="G41" s="236">
        <v>10</v>
      </c>
      <c r="H41" s="236">
        <v>15</v>
      </c>
      <c r="I41" s="236">
        <v>20</v>
      </c>
      <c r="J41" s="236">
        <v>20</v>
      </c>
      <c r="K41" s="236">
        <v>20</v>
      </c>
      <c r="L41" s="235" t="s">
        <v>3423</v>
      </c>
      <c r="M41" s="235" t="s">
        <v>3424</v>
      </c>
      <c r="N41" s="582" t="s">
        <v>3424</v>
      </c>
      <c r="O41" s="235" t="s">
        <v>845</v>
      </c>
      <c r="P41" s="66"/>
    </row>
    <row r="42" spans="2:16" ht="33.75" customHeight="1">
      <c r="B42" s="77"/>
      <c r="C42" s="75" t="s">
        <v>918</v>
      </c>
      <c r="D42" s="76" t="s">
        <v>919</v>
      </c>
      <c r="E42" s="76" t="s">
        <v>920</v>
      </c>
      <c r="F42" s="235" t="s">
        <v>828</v>
      </c>
      <c r="G42" s="236">
        <v>3</v>
      </c>
      <c r="H42" s="236">
        <v>27</v>
      </c>
      <c r="I42" s="236">
        <v>28</v>
      </c>
      <c r="J42" s="236">
        <v>30</v>
      </c>
      <c r="K42" s="236">
        <v>30</v>
      </c>
      <c r="L42" s="235" t="s">
        <v>3425</v>
      </c>
      <c r="M42" s="235" t="s">
        <v>3426</v>
      </c>
      <c r="N42" s="582" t="s">
        <v>3426</v>
      </c>
      <c r="O42" s="235" t="s">
        <v>845</v>
      </c>
      <c r="P42" s="66"/>
    </row>
    <row r="43" spans="2:16" ht="44.25" customHeight="1">
      <c r="B43" s="77"/>
      <c r="C43" s="80" t="s">
        <v>1036</v>
      </c>
      <c r="D43" s="81" t="s">
        <v>921</v>
      </c>
      <c r="E43" s="81" t="s">
        <v>922</v>
      </c>
      <c r="F43" s="234" t="s">
        <v>923</v>
      </c>
      <c r="G43" s="237">
        <v>75.47</v>
      </c>
      <c r="H43" s="237">
        <v>76</v>
      </c>
      <c r="I43" s="237">
        <v>76</v>
      </c>
      <c r="J43" s="237">
        <v>76</v>
      </c>
      <c r="K43" s="237">
        <v>76</v>
      </c>
      <c r="L43" s="234" t="s">
        <v>923</v>
      </c>
      <c r="M43" s="234" t="s">
        <v>923</v>
      </c>
      <c r="N43" s="2032" t="s">
        <v>923</v>
      </c>
      <c r="O43" s="234" t="s">
        <v>924</v>
      </c>
      <c r="P43" s="66"/>
    </row>
    <row r="44" spans="2:16" ht="27.75" customHeight="1">
      <c r="B44" s="77"/>
      <c r="C44" s="75" t="s">
        <v>925</v>
      </c>
      <c r="D44" s="76" t="s">
        <v>926</v>
      </c>
      <c r="E44" s="76" t="s">
        <v>2811</v>
      </c>
      <c r="F44" s="235" t="s">
        <v>927</v>
      </c>
      <c r="G44" s="236">
        <v>207.2</v>
      </c>
      <c r="H44" s="236">
        <v>232.7</v>
      </c>
      <c r="I44" s="236">
        <v>232.7</v>
      </c>
      <c r="J44" s="236">
        <v>232.7</v>
      </c>
      <c r="K44" s="236">
        <v>232.7</v>
      </c>
      <c r="L44" s="235" t="s">
        <v>927</v>
      </c>
      <c r="M44" s="235" t="s">
        <v>3609</v>
      </c>
      <c r="N44" s="582" t="s">
        <v>3609</v>
      </c>
      <c r="O44" s="235" t="s">
        <v>928</v>
      </c>
      <c r="P44" s="66"/>
    </row>
    <row r="45" spans="2:16" ht="39.6">
      <c r="B45" s="77"/>
      <c r="C45" s="2630" t="s">
        <v>929</v>
      </c>
      <c r="D45" s="2633" t="s">
        <v>930</v>
      </c>
      <c r="E45" s="76" t="s">
        <v>3633</v>
      </c>
      <c r="F45" s="235" t="s">
        <v>932</v>
      </c>
      <c r="G45" s="236">
        <v>50</v>
      </c>
      <c r="H45" s="236">
        <v>49.6</v>
      </c>
      <c r="I45" s="236">
        <v>49.6</v>
      </c>
      <c r="J45" s="236">
        <v>49.6</v>
      </c>
      <c r="K45" s="236">
        <v>49.6</v>
      </c>
      <c r="L45" s="235" t="s">
        <v>932</v>
      </c>
      <c r="M45" s="235" t="s">
        <v>3363</v>
      </c>
      <c r="N45" s="582" t="s">
        <v>3363</v>
      </c>
      <c r="O45" s="235" t="s">
        <v>3634</v>
      </c>
      <c r="P45" s="66"/>
    </row>
    <row r="46" spans="2:16" ht="39.6">
      <c r="B46" s="65"/>
      <c r="C46" s="2631"/>
      <c r="D46" s="2635"/>
      <c r="E46" s="76" t="s">
        <v>931</v>
      </c>
      <c r="F46" s="235" t="s">
        <v>933</v>
      </c>
      <c r="G46" s="236">
        <v>12</v>
      </c>
      <c r="H46" s="236">
        <v>34.4</v>
      </c>
      <c r="I46" s="236">
        <v>34.4</v>
      </c>
      <c r="J46" s="236">
        <v>34.4</v>
      </c>
      <c r="K46" s="236">
        <v>34.4</v>
      </c>
      <c r="L46" s="235" t="s">
        <v>933</v>
      </c>
      <c r="M46" s="235" t="s">
        <v>3364</v>
      </c>
      <c r="N46" s="582" t="s">
        <v>3364</v>
      </c>
      <c r="O46" s="235" t="s">
        <v>3635</v>
      </c>
      <c r="P46" s="66"/>
    </row>
    <row r="47" spans="2:16" ht="39.75" customHeight="1">
      <c r="B47" s="77"/>
      <c r="C47" s="80" t="s">
        <v>1037</v>
      </c>
      <c r="D47" s="81" t="s">
        <v>939</v>
      </c>
      <c r="E47" s="81" t="s">
        <v>935</v>
      </c>
      <c r="F47" s="234" t="s">
        <v>936</v>
      </c>
      <c r="G47" s="237">
        <v>8</v>
      </c>
      <c r="H47" s="237">
        <v>9</v>
      </c>
      <c r="I47" s="237">
        <v>9</v>
      </c>
      <c r="J47" s="237">
        <v>9</v>
      </c>
      <c r="K47" s="237">
        <v>9</v>
      </c>
      <c r="L47" s="234" t="s">
        <v>936</v>
      </c>
      <c r="M47" s="234" t="s">
        <v>3430</v>
      </c>
      <c r="N47" s="2032" t="s">
        <v>3430</v>
      </c>
      <c r="O47" s="234" t="s">
        <v>937</v>
      </c>
      <c r="P47" s="66"/>
    </row>
    <row r="48" spans="2:16" ht="115.2" customHeight="1">
      <c r="B48" s="77"/>
      <c r="C48" s="75" t="s">
        <v>938</v>
      </c>
      <c r="D48" s="76" t="s">
        <v>939</v>
      </c>
      <c r="E48" s="76" t="s">
        <v>3636</v>
      </c>
      <c r="F48" s="235" t="s">
        <v>3431</v>
      </c>
      <c r="G48" s="236">
        <v>25</v>
      </c>
      <c r="H48" s="585">
        <v>26</v>
      </c>
      <c r="I48" s="585">
        <v>27</v>
      </c>
      <c r="J48" s="585">
        <v>27</v>
      </c>
      <c r="K48" s="585">
        <v>27</v>
      </c>
      <c r="L48" s="584" t="s">
        <v>940</v>
      </c>
      <c r="M48" s="586" t="s">
        <v>3637</v>
      </c>
      <c r="N48" s="582" t="s">
        <v>3637</v>
      </c>
      <c r="O48" s="235" t="s">
        <v>3432</v>
      </c>
      <c r="P48" s="66"/>
    </row>
    <row r="49" spans="2:16" ht="33" customHeight="1">
      <c r="B49" s="77"/>
      <c r="C49" s="80" t="s">
        <v>1038</v>
      </c>
      <c r="D49" s="81" t="s">
        <v>941</v>
      </c>
      <c r="E49" s="81" t="s">
        <v>942</v>
      </c>
      <c r="F49" s="234" t="s">
        <v>943</v>
      </c>
      <c r="G49" s="237">
        <v>12</v>
      </c>
      <c r="H49" s="237">
        <v>12.68</v>
      </c>
      <c r="I49" s="237">
        <v>12.68</v>
      </c>
      <c r="J49" s="237">
        <v>12.68</v>
      </c>
      <c r="K49" s="237">
        <v>12.68</v>
      </c>
      <c r="L49" s="234" t="s">
        <v>943</v>
      </c>
      <c r="M49" s="234" t="s">
        <v>3274</v>
      </c>
      <c r="N49" s="2032" t="s">
        <v>3274</v>
      </c>
      <c r="O49" s="234" t="s">
        <v>944</v>
      </c>
      <c r="P49" s="66"/>
    </row>
    <row r="50" spans="2:16" ht="37.5" customHeight="1">
      <c r="B50" s="77"/>
      <c r="C50" s="75" t="s">
        <v>945</v>
      </c>
      <c r="D50" s="76" t="s">
        <v>946</v>
      </c>
      <c r="E50" s="76" t="s">
        <v>947</v>
      </c>
      <c r="F50" s="235" t="s">
        <v>828</v>
      </c>
      <c r="G50" s="236">
        <v>0</v>
      </c>
      <c r="H50" s="585">
        <v>2</v>
      </c>
      <c r="I50" s="585">
        <v>1</v>
      </c>
      <c r="J50" s="585">
        <v>1</v>
      </c>
      <c r="K50" s="585">
        <v>1</v>
      </c>
      <c r="L50" s="586" t="s">
        <v>828</v>
      </c>
      <c r="M50" s="586" t="s">
        <v>3271</v>
      </c>
      <c r="N50" s="582" t="s">
        <v>3271</v>
      </c>
      <c r="O50" s="586" t="s">
        <v>847</v>
      </c>
      <c r="P50" s="66"/>
    </row>
    <row r="51" spans="2:16" ht="29.25" customHeight="1">
      <c r="B51" s="77"/>
      <c r="C51" s="75" t="s">
        <v>948</v>
      </c>
      <c r="D51" s="76" t="s">
        <v>949</v>
      </c>
      <c r="E51" s="76" t="s">
        <v>950</v>
      </c>
      <c r="F51" s="235" t="s">
        <v>951</v>
      </c>
      <c r="G51" s="236">
        <v>2</v>
      </c>
      <c r="H51" s="236">
        <v>6</v>
      </c>
      <c r="I51" s="236">
        <v>8</v>
      </c>
      <c r="J51" s="236">
        <v>10</v>
      </c>
      <c r="K51" s="236">
        <v>10</v>
      </c>
      <c r="L51" s="235" t="s">
        <v>951</v>
      </c>
      <c r="M51" s="235" t="s">
        <v>3272</v>
      </c>
      <c r="N51" s="582" t="s">
        <v>3272</v>
      </c>
      <c r="O51" s="235" t="s">
        <v>952</v>
      </c>
      <c r="P51" s="66"/>
    </row>
    <row r="52" spans="2:16" ht="91.5" customHeight="1">
      <c r="B52" s="77"/>
      <c r="C52" s="80" t="s">
        <v>1063</v>
      </c>
      <c r="D52" s="81" t="s">
        <v>954</v>
      </c>
      <c r="E52" s="81" t="s">
        <v>920</v>
      </c>
      <c r="F52" s="234" t="s">
        <v>904</v>
      </c>
      <c r="G52" s="237">
        <v>10</v>
      </c>
      <c r="H52" s="237">
        <v>30</v>
      </c>
      <c r="I52" s="237">
        <v>30</v>
      </c>
      <c r="J52" s="237">
        <v>30</v>
      </c>
      <c r="K52" s="237">
        <v>30</v>
      </c>
      <c r="L52" s="234" t="s">
        <v>904</v>
      </c>
      <c r="M52" s="234" t="s">
        <v>3361</v>
      </c>
      <c r="N52" s="2032" t="s">
        <v>3361</v>
      </c>
      <c r="O52" s="234" t="s">
        <v>845</v>
      </c>
      <c r="P52" s="66"/>
    </row>
    <row r="53" spans="2:16" ht="26.4">
      <c r="B53" s="77"/>
      <c r="C53" s="75" t="s">
        <v>955</v>
      </c>
      <c r="D53" s="76" t="s">
        <v>956</v>
      </c>
      <c r="E53" s="76" t="s">
        <v>957</v>
      </c>
      <c r="F53" s="235" t="s">
        <v>953</v>
      </c>
      <c r="G53" s="236">
        <v>85</v>
      </c>
      <c r="H53" s="236">
        <v>90</v>
      </c>
      <c r="I53" s="236">
        <v>90</v>
      </c>
      <c r="J53" s="236">
        <v>95</v>
      </c>
      <c r="K53" s="236">
        <v>95</v>
      </c>
      <c r="L53" s="235" t="s">
        <v>953</v>
      </c>
      <c r="M53" s="235" t="s">
        <v>3273</v>
      </c>
      <c r="N53" s="582" t="s">
        <v>3273</v>
      </c>
      <c r="O53" s="235" t="s">
        <v>825</v>
      </c>
      <c r="P53" s="66"/>
    </row>
    <row r="54" spans="2:16" ht="39.6">
      <c r="B54" s="77"/>
      <c r="C54" s="75" t="s">
        <v>958</v>
      </c>
      <c r="D54" s="76" t="s">
        <v>959</v>
      </c>
      <c r="E54" s="76" t="s">
        <v>960</v>
      </c>
      <c r="F54" s="235" t="s">
        <v>833</v>
      </c>
      <c r="G54" s="236">
        <v>0</v>
      </c>
      <c r="H54" s="236">
        <v>0.1</v>
      </c>
      <c r="I54" s="236">
        <v>0.3</v>
      </c>
      <c r="J54" s="236">
        <v>0.3</v>
      </c>
      <c r="K54" s="236">
        <v>0.3</v>
      </c>
      <c r="L54" s="235" t="s">
        <v>833</v>
      </c>
      <c r="M54" s="235" t="s">
        <v>3573</v>
      </c>
      <c r="N54" s="582" t="s">
        <v>3573</v>
      </c>
      <c r="O54" s="235" t="s">
        <v>834</v>
      </c>
      <c r="P54" s="66"/>
    </row>
    <row r="55" spans="2:16" ht="39.6">
      <c r="B55" s="77"/>
      <c r="C55" s="75" t="s">
        <v>961</v>
      </c>
      <c r="D55" s="76" t="s">
        <v>962</v>
      </c>
      <c r="E55" s="76" t="s">
        <v>1039</v>
      </c>
      <c r="F55" s="235" t="s">
        <v>828</v>
      </c>
      <c r="G55" s="236">
        <v>2</v>
      </c>
      <c r="H55" s="236">
        <v>900</v>
      </c>
      <c r="I55" s="236">
        <v>900</v>
      </c>
      <c r="J55" s="236">
        <v>900</v>
      </c>
      <c r="K55" s="236">
        <v>900</v>
      </c>
      <c r="L55" s="235" t="s">
        <v>828</v>
      </c>
      <c r="M55" s="235" t="s">
        <v>3365</v>
      </c>
      <c r="N55" s="582" t="s">
        <v>3365</v>
      </c>
      <c r="O55" s="235" t="s">
        <v>825</v>
      </c>
      <c r="P55" s="66"/>
    </row>
    <row r="56" spans="2:16" ht="52.5" customHeight="1">
      <c r="B56" s="77"/>
      <c r="C56" s="80" t="s">
        <v>1040</v>
      </c>
      <c r="D56" s="81" t="s">
        <v>963</v>
      </c>
      <c r="E56" s="81" t="s">
        <v>2812</v>
      </c>
      <c r="F56" s="234" t="s">
        <v>828</v>
      </c>
      <c r="G56" s="237">
        <v>60</v>
      </c>
      <c r="H56" s="237">
        <v>30</v>
      </c>
      <c r="I56" s="237">
        <v>30</v>
      </c>
      <c r="J56" s="237">
        <v>30</v>
      </c>
      <c r="K56" s="237">
        <v>30</v>
      </c>
      <c r="L56" s="234" t="s">
        <v>828</v>
      </c>
      <c r="M56" s="234" t="s">
        <v>3361</v>
      </c>
      <c r="N56" s="2032" t="s">
        <v>3361</v>
      </c>
      <c r="O56" s="234" t="s">
        <v>964</v>
      </c>
      <c r="P56" s="66"/>
    </row>
    <row r="57" spans="2:16" ht="26.4">
      <c r="B57" s="77"/>
      <c r="C57" s="75" t="s">
        <v>965</v>
      </c>
      <c r="D57" s="76" t="s">
        <v>966</v>
      </c>
      <c r="E57" s="76" t="s">
        <v>967</v>
      </c>
      <c r="F57" s="235" t="s">
        <v>968</v>
      </c>
      <c r="G57" s="236">
        <v>30</v>
      </c>
      <c r="H57" s="585">
        <v>30</v>
      </c>
      <c r="I57" s="585">
        <v>30</v>
      </c>
      <c r="J57" s="585">
        <v>30</v>
      </c>
      <c r="K57" s="585">
        <v>30</v>
      </c>
      <c r="L57" s="586" t="s">
        <v>968</v>
      </c>
      <c r="M57" s="586" t="s">
        <v>3361</v>
      </c>
      <c r="N57" s="582" t="s">
        <v>3361</v>
      </c>
      <c r="O57" s="235" t="s">
        <v>969</v>
      </c>
      <c r="P57" s="66"/>
    </row>
    <row r="58" spans="2:16" ht="33.75" customHeight="1">
      <c r="B58" s="77"/>
      <c r="C58" s="75" t="s">
        <v>970</v>
      </c>
      <c r="D58" s="76" t="s">
        <v>971</v>
      </c>
      <c r="E58" s="76" t="s">
        <v>972</v>
      </c>
      <c r="F58" s="235" t="s">
        <v>828</v>
      </c>
      <c r="G58" s="236">
        <v>0</v>
      </c>
      <c r="H58" s="236">
        <v>0</v>
      </c>
      <c r="I58" s="236">
        <v>0</v>
      </c>
      <c r="J58" s="236">
        <v>0</v>
      </c>
      <c r="K58" s="236">
        <v>0</v>
      </c>
      <c r="L58" s="235" t="s">
        <v>828</v>
      </c>
      <c r="M58" s="235" t="s">
        <v>3356</v>
      </c>
      <c r="N58" s="582" t="s">
        <v>3356</v>
      </c>
      <c r="O58" s="235" t="s">
        <v>973</v>
      </c>
      <c r="P58" s="66"/>
    </row>
    <row r="59" spans="2:16" ht="51" customHeight="1">
      <c r="B59" s="77"/>
      <c r="C59" s="2630" t="s">
        <v>974</v>
      </c>
      <c r="D59" s="2633" t="s">
        <v>975</v>
      </c>
      <c r="E59" s="2633" t="s">
        <v>976</v>
      </c>
      <c r="F59" s="2616" t="s">
        <v>977</v>
      </c>
      <c r="G59" s="2622">
        <v>3486</v>
      </c>
      <c r="H59" s="2622">
        <v>4997</v>
      </c>
      <c r="I59" s="2622">
        <v>5000</v>
      </c>
      <c r="J59" s="2622">
        <v>5500</v>
      </c>
      <c r="K59" s="2622">
        <v>5500</v>
      </c>
      <c r="L59" s="2616" t="s">
        <v>977</v>
      </c>
      <c r="M59" s="2616" t="s">
        <v>3435</v>
      </c>
      <c r="N59" s="2638" t="s">
        <v>3435</v>
      </c>
      <c r="O59" s="2617" t="s">
        <v>2813</v>
      </c>
      <c r="P59" s="66"/>
    </row>
    <row r="60" spans="2:16">
      <c r="B60" s="65"/>
      <c r="C60" s="2632"/>
      <c r="D60" s="2634"/>
      <c r="E60" s="2634"/>
      <c r="F60" s="2616"/>
      <c r="G60" s="2623"/>
      <c r="H60" s="2623"/>
      <c r="I60" s="2623"/>
      <c r="J60" s="2623"/>
      <c r="K60" s="2623"/>
      <c r="L60" s="2616"/>
      <c r="M60" s="2616"/>
      <c r="N60" s="2638"/>
      <c r="O60" s="2618"/>
      <c r="P60" s="66"/>
    </row>
    <row r="61" spans="2:16" ht="37.5" customHeight="1">
      <c r="B61" s="65"/>
      <c r="C61" s="2632"/>
      <c r="D61" s="2634"/>
      <c r="E61" s="2634"/>
      <c r="F61" s="235" t="s">
        <v>2814</v>
      </c>
      <c r="G61" s="236">
        <v>469</v>
      </c>
      <c r="H61" s="236">
        <v>450</v>
      </c>
      <c r="I61" s="236">
        <v>460</v>
      </c>
      <c r="J61" s="236">
        <v>470</v>
      </c>
      <c r="K61" s="236">
        <v>470</v>
      </c>
      <c r="L61" s="235" t="s">
        <v>2814</v>
      </c>
      <c r="M61" s="235" t="s">
        <v>3436</v>
      </c>
      <c r="N61" s="582" t="s">
        <v>3436</v>
      </c>
      <c r="O61" s="235" t="s">
        <v>2815</v>
      </c>
      <c r="P61" s="66"/>
    </row>
    <row r="62" spans="2:16" ht="60" customHeight="1">
      <c r="B62" s="65"/>
      <c r="C62" s="2632"/>
      <c r="D62" s="2634"/>
      <c r="E62" s="2634"/>
      <c r="F62" s="2617" t="s">
        <v>1060</v>
      </c>
      <c r="G62" s="2622" t="s">
        <v>2729</v>
      </c>
      <c r="H62" s="2622" t="s">
        <v>3437</v>
      </c>
      <c r="I62" s="2622" t="s">
        <v>3438</v>
      </c>
      <c r="J62" s="2622" t="s">
        <v>3438</v>
      </c>
      <c r="K62" s="2622" t="s">
        <v>3438</v>
      </c>
      <c r="L62" s="2617" t="s">
        <v>1060</v>
      </c>
      <c r="M62" s="2617" t="s">
        <v>3439</v>
      </c>
      <c r="N62" s="2640" t="s">
        <v>3439</v>
      </c>
      <c r="O62" s="2617" t="s">
        <v>1061</v>
      </c>
      <c r="P62" s="66"/>
    </row>
    <row r="63" spans="2:16">
      <c r="B63" s="65"/>
      <c r="C63" s="2631"/>
      <c r="D63" s="2635"/>
      <c r="E63" s="2635"/>
      <c r="F63" s="2618"/>
      <c r="G63" s="2623"/>
      <c r="H63" s="2623"/>
      <c r="I63" s="2623"/>
      <c r="J63" s="2623"/>
      <c r="K63" s="2623"/>
      <c r="L63" s="2618"/>
      <c r="M63" s="2618"/>
      <c r="N63" s="2641"/>
      <c r="O63" s="2618"/>
      <c r="P63" s="66"/>
    </row>
    <row r="64" spans="2:16" ht="39.6">
      <c r="B64" s="65"/>
      <c r="C64" s="80" t="s">
        <v>1041</v>
      </c>
      <c r="D64" s="81" t="s">
        <v>2387</v>
      </c>
      <c r="E64" s="81" t="s">
        <v>1042</v>
      </c>
      <c r="F64" s="237" t="s">
        <v>978</v>
      </c>
      <c r="G64" s="237">
        <v>135</v>
      </c>
      <c r="H64" s="237">
        <v>96.51</v>
      </c>
      <c r="I64" s="237">
        <v>96.51</v>
      </c>
      <c r="J64" s="237">
        <v>96.51</v>
      </c>
      <c r="K64" s="237">
        <v>96.51</v>
      </c>
      <c r="L64" s="237" t="s">
        <v>978</v>
      </c>
      <c r="M64" s="237" t="s">
        <v>3360</v>
      </c>
      <c r="N64" s="2033" t="s">
        <v>3360</v>
      </c>
      <c r="O64" s="234" t="s">
        <v>2816</v>
      </c>
      <c r="P64" s="66"/>
    </row>
    <row r="65" spans="2:17" ht="37.5" customHeight="1">
      <c r="B65" s="77"/>
      <c r="C65" s="75" t="s">
        <v>979</v>
      </c>
      <c r="D65" s="76" t="s">
        <v>2311</v>
      </c>
      <c r="E65" s="76" t="s">
        <v>1043</v>
      </c>
      <c r="F65" s="235" t="s">
        <v>980</v>
      </c>
      <c r="G65" s="553" t="s">
        <v>2333</v>
      </c>
      <c r="H65" s="585">
        <v>8000</v>
      </c>
      <c r="I65" s="585" t="s">
        <v>2333</v>
      </c>
      <c r="J65" s="585" t="s">
        <v>2333</v>
      </c>
      <c r="K65" s="585" t="s">
        <v>2333</v>
      </c>
      <c r="L65" s="586" t="s">
        <v>980</v>
      </c>
      <c r="M65" s="586" t="s">
        <v>3359</v>
      </c>
      <c r="N65" s="582" t="s">
        <v>3359</v>
      </c>
      <c r="O65" s="586" t="s">
        <v>981</v>
      </c>
      <c r="P65" s="66"/>
    </row>
    <row r="66" spans="2:17" ht="33" customHeight="1">
      <c r="B66" s="77"/>
      <c r="C66" s="75" t="s">
        <v>982</v>
      </c>
      <c r="D66" s="76" t="s">
        <v>1044</v>
      </c>
      <c r="E66" s="75" t="s">
        <v>2817</v>
      </c>
      <c r="F66" s="235" t="s">
        <v>983</v>
      </c>
      <c r="G66" s="236">
        <v>2</v>
      </c>
      <c r="H66" s="585">
        <v>7</v>
      </c>
      <c r="I66" s="585">
        <v>7</v>
      </c>
      <c r="J66" s="585">
        <v>7</v>
      </c>
      <c r="K66" s="585">
        <v>7</v>
      </c>
      <c r="L66" s="586" t="s">
        <v>983</v>
      </c>
      <c r="M66" s="586" t="s">
        <v>3275</v>
      </c>
      <c r="N66" s="582" t="s">
        <v>3275</v>
      </c>
      <c r="O66" s="586" t="s">
        <v>934</v>
      </c>
      <c r="P66" s="66"/>
    </row>
    <row r="67" spans="2:17" ht="49.5" customHeight="1">
      <c r="B67" s="65"/>
      <c r="C67" s="75" t="s">
        <v>984</v>
      </c>
      <c r="D67" s="76" t="s">
        <v>985</v>
      </c>
      <c r="E67" s="76" t="s">
        <v>3280</v>
      </c>
      <c r="F67" s="235" t="s">
        <v>828</v>
      </c>
      <c r="G67" s="236">
        <v>0.27</v>
      </c>
      <c r="H67" s="585">
        <v>0.5</v>
      </c>
      <c r="I67" s="585">
        <v>0.5</v>
      </c>
      <c r="J67" s="585">
        <v>0.5</v>
      </c>
      <c r="K67" s="585">
        <v>0.5</v>
      </c>
      <c r="L67" s="586" t="s">
        <v>828</v>
      </c>
      <c r="M67" s="586" t="s">
        <v>3281</v>
      </c>
      <c r="N67" s="582" t="s">
        <v>3281</v>
      </c>
      <c r="O67" s="586" t="s">
        <v>986</v>
      </c>
      <c r="P67" s="66"/>
      <c r="Q67" s="554"/>
    </row>
    <row r="68" spans="2:17" ht="61.5" customHeight="1">
      <c r="B68" s="65"/>
      <c r="C68" s="80" t="s">
        <v>1045</v>
      </c>
      <c r="D68" s="81" t="s">
        <v>987</v>
      </c>
      <c r="E68" s="81" t="s">
        <v>988</v>
      </c>
      <c r="F68" s="234" t="s">
        <v>3277</v>
      </c>
      <c r="G68" s="237">
        <v>19691</v>
      </c>
      <c r="H68" s="237">
        <v>19587</v>
      </c>
      <c r="I68" s="237">
        <v>19782</v>
      </c>
      <c r="J68" s="237">
        <v>19980</v>
      </c>
      <c r="K68" s="237">
        <v>19980</v>
      </c>
      <c r="L68" s="234" t="s">
        <v>989</v>
      </c>
      <c r="M68" s="234" t="s">
        <v>3276</v>
      </c>
      <c r="N68" s="2032" t="s">
        <v>3276</v>
      </c>
      <c r="O68" s="234" t="s">
        <v>990</v>
      </c>
      <c r="P68" s="66"/>
    </row>
    <row r="69" spans="2:17" ht="26.4">
      <c r="B69" s="65"/>
      <c r="C69" s="75" t="s">
        <v>991</v>
      </c>
      <c r="D69" s="76" t="s">
        <v>992</v>
      </c>
      <c r="E69" s="76" t="s">
        <v>993</v>
      </c>
      <c r="F69" s="235" t="s">
        <v>828</v>
      </c>
      <c r="G69" s="236">
        <v>0</v>
      </c>
      <c r="H69" s="236">
        <v>0</v>
      </c>
      <c r="I69" s="236">
        <v>0</v>
      </c>
      <c r="J69" s="236">
        <v>5</v>
      </c>
      <c r="K69" s="236">
        <v>5</v>
      </c>
      <c r="L69" s="582" t="s">
        <v>828</v>
      </c>
      <c r="M69" s="586" t="s">
        <v>3575</v>
      </c>
      <c r="N69" s="582" t="s">
        <v>3575</v>
      </c>
      <c r="O69" s="235" t="s">
        <v>838</v>
      </c>
      <c r="P69" s="66"/>
    </row>
    <row r="70" spans="2:17" ht="26.4">
      <c r="B70" s="65"/>
      <c r="C70" s="75" t="s">
        <v>994</v>
      </c>
      <c r="D70" s="76" t="s">
        <v>995</v>
      </c>
      <c r="E70" s="76" t="s">
        <v>996</v>
      </c>
      <c r="F70" s="235" t="s">
        <v>997</v>
      </c>
      <c r="G70" s="236">
        <v>0</v>
      </c>
      <c r="H70" s="236">
        <v>1</v>
      </c>
      <c r="I70" s="236">
        <v>1</v>
      </c>
      <c r="J70" s="236">
        <v>1</v>
      </c>
      <c r="K70" s="236">
        <v>1</v>
      </c>
      <c r="L70" s="235" t="s">
        <v>997</v>
      </c>
      <c r="M70" s="235" t="s">
        <v>3574</v>
      </c>
      <c r="N70" s="582" t="s">
        <v>3574</v>
      </c>
      <c r="O70" s="235" t="s">
        <v>834</v>
      </c>
      <c r="P70" s="66"/>
    </row>
    <row r="71" spans="2:17" ht="31.5" customHeight="1">
      <c r="B71" s="77"/>
      <c r="C71" s="75" t="s">
        <v>998</v>
      </c>
      <c r="D71" s="76" t="s">
        <v>999</v>
      </c>
      <c r="E71" s="76" t="s">
        <v>1000</v>
      </c>
      <c r="F71" s="235" t="s">
        <v>828</v>
      </c>
      <c r="G71" s="236">
        <v>0</v>
      </c>
      <c r="H71" s="236">
        <v>2</v>
      </c>
      <c r="I71" s="236">
        <v>2</v>
      </c>
      <c r="J71" s="236">
        <v>2</v>
      </c>
      <c r="K71" s="236">
        <v>2</v>
      </c>
      <c r="L71" s="235" t="s">
        <v>828</v>
      </c>
      <c r="M71" s="235" t="s">
        <v>3271</v>
      </c>
      <c r="N71" s="582" t="s">
        <v>3271</v>
      </c>
      <c r="O71" s="235" t="s">
        <v>847</v>
      </c>
      <c r="P71" s="66"/>
    </row>
    <row r="72" spans="2:17" ht="43.5" customHeight="1">
      <c r="B72" s="65"/>
      <c r="C72" s="80" t="s">
        <v>1046</v>
      </c>
      <c r="D72" s="81" t="s">
        <v>1001</v>
      </c>
      <c r="E72" s="81" t="s">
        <v>1002</v>
      </c>
      <c r="F72" s="234" t="s">
        <v>1003</v>
      </c>
      <c r="G72" s="237">
        <v>560</v>
      </c>
      <c r="H72" s="237">
        <v>542.46</v>
      </c>
      <c r="I72" s="237">
        <v>542.46</v>
      </c>
      <c r="J72" s="237">
        <v>542.46</v>
      </c>
      <c r="K72" s="237">
        <v>542.46</v>
      </c>
      <c r="L72" s="234" t="s">
        <v>1003</v>
      </c>
      <c r="M72" s="234" t="s">
        <v>3278</v>
      </c>
      <c r="N72" s="2032" t="s">
        <v>3278</v>
      </c>
      <c r="O72" s="234" t="s">
        <v>1004</v>
      </c>
      <c r="P72" s="66"/>
    </row>
    <row r="73" spans="2:17" ht="33" customHeight="1">
      <c r="B73" s="65"/>
      <c r="C73" s="75" t="s">
        <v>1005</v>
      </c>
      <c r="D73" s="76" t="s">
        <v>1006</v>
      </c>
      <c r="E73" s="76" t="s">
        <v>2352</v>
      </c>
      <c r="F73" s="235" t="s">
        <v>1007</v>
      </c>
      <c r="G73" s="236">
        <v>21</v>
      </c>
      <c r="H73" s="236">
        <v>21</v>
      </c>
      <c r="I73" s="236">
        <v>21</v>
      </c>
      <c r="J73" s="236">
        <v>21</v>
      </c>
      <c r="K73" s="236">
        <v>21</v>
      </c>
      <c r="L73" s="235" t="s">
        <v>1007</v>
      </c>
      <c r="M73" s="235" t="s">
        <v>3576</v>
      </c>
      <c r="N73" s="582" t="s">
        <v>3576</v>
      </c>
      <c r="O73" s="235" t="s">
        <v>1008</v>
      </c>
      <c r="P73" s="66"/>
    </row>
    <row r="74" spans="2:17" ht="38.25" customHeight="1">
      <c r="B74" s="65"/>
      <c r="C74" s="2630" t="s">
        <v>1009</v>
      </c>
      <c r="D74" s="2633" t="s">
        <v>1010</v>
      </c>
      <c r="E74" s="76" t="s">
        <v>1011</v>
      </c>
      <c r="F74" s="235" t="s">
        <v>1012</v>
      </c>
      <c r="G74" s="236">
        <v>80</v>
      </c>
      <c r="H74" s="236">
        <v>80</v>
      </c>
      <c r="I74" s="236">
        <v>84</v>
      </c>
      <c r="J74" s="236">
        <v>84</v>
      </c>
      <c r="K74" s="236">
        <v>84</v>
      </c>
      <c r="L74" s="235" t="s">
        <v>1012</v>
      </c>
      <c r="M74" s="235" t="s">
        <v>3355</v>
      </c>
      <c r="N74" s="582" t="s">
        <v>3355</v>
      </c>
      <c r="O74" s="235" t="s">
        <v>871</v>
      </c>
      <c r="P74" s="66"/>
    </row>
    <row r="75" spans="2:17" ht="39.6">
      <c r="B75" s="65"/>
      <c r="C75" s="2632"/>
      <c r="D75" s="2634"/>
      <c r="E75" s="76" t="s">
        <v>1013</v>
      </c>
      <c r="F75" s="235" t="s">
        <v>828</v>
      </c>
      <c r="G75" s="236">
        <v>2</v>
      </c>
      <c r="H75" s="236">
        <v>2</v>
      </c>
      <c r="I75" s="236">
        <v>2</v>
      </c>
      <c r="J75" s="236">
        <v>2</v>
      </c>
      <c r="K75" s="236">
        <v>2</v>
      </c>
      <c r="L75" s="235" t="s">
        <v>828</v>
      </c>
      <c r="M75" s="235" t="s">
        <v>3271</v>
      </c>
      <c r="N75" s="582" t="s">
        <v>3271</v>
      </c>
      <c r="O75" s="235" t="s">
        <v>846</v>
      </c>
      <c r="P75" s="66"/>
    </row>
    <row r="76" spans="2:17" ht="37.5" customHeight="1">
      <c r="B76" s="65"/>
      <c r="C76" s="2631"/>
      <c r="D76" s="2635"/>
      <c r="E76" s="76" t="s">
        <v>3638</v>
      </c>
      <c r="F76" s="235" t="s">
        <v>837</v>
      </c>
      <c r="G76" s="236">
        <v>2</v>
      </c>
      <c r="H76" s="236">
        <v>2</v>
      </c>
      <c r="I76" s="236">
        <v>3</v>
      </c>
      <c r="J76" s="236">
        <v>3</v>
      </c>
      <c r="K76" s="236">
        <v>3</v>
      </c>
      <c r="L76" s="235" t="s">
        <v>837</v>
      </c>
      <c r="M76" s="235" t="s">
        <v>3271</v>
      </c>
      <c r="N76" s="582" t="s">
        <v>3271</v>
      </c>
      <c r="O76" s="235" t="s">
        <v>877</v>
      </c>
      <c r="P76" s="66"/>
    </row>
    <row r="77" spans="2:17" ht="51" customHeight="1">
      <c r="B77" s="65"/>
      <c r="C77" s="2630" t="s">
        <v>1015</v>
      </c>
      <c r="D77" s="2633" t="s">
        <v>1016</v>
      </c>
      <c r="E77" s="76" t="s">
        <v>1047</v>
      </c>
      <c r="F77" s="235" t="s">
        <v>1017</v>
      </c>
      <c r="G77" s="236">
        <v>0.80700000000000005</v>
      </c>
      <c r="H77" s="236">
        <v>0</v>
      </c>
      <c r="I77" s="236">
        <v>0</v>
      </c>
      <c r="J77" s="583">
        <v>0.87</v>
      </c>
      <c r="K77" s="583">
        <v>0.87</v>
      </c>
      <c r="L77" s="235" t="s">
        <v>1017</v>
      </c>
      <c r="M77" s="235" t="s">
        <v>3356</v>
      </c>
      <c r="N77" s="582" t="s">
        <v>3356</v>
      </c>
      <c r="O77" s="235" t="s">
        <v>1018</v>
      </c>
      <c r="P77" s="66"/>
    </row>
    <row r="78" spans="2:17" ht="26.4">
      <c r="B78" s="65"/>
      <c r="C78" s="2632"/>
      <c r="D78" s="2634"/>
      <c r="E78" s="76" t="s">
        <v>1019</v>
      </c>
      <c r="F78" s="235" t="s">
        <v>1020</v>
      </c>
      <c r="G78" s="236">
        <v>1.2949999999999999</v>
      </c>
      <c r="H78" s="236">
        <v>0</v>
      </c>
      <c r="I78" s="236">
        <v>1.3220000000000001</v>
      </c>
      <c r="J78" s="236">
        <v>0.873</v>
      </c>
      <c r="K78" s="236">
        <v>0.873</v>
      </c>
      <c r="L78" s="235" t="s">
        <v>1020</v>
      </c>
      <c r="M78" s="235" t="s">
        <v>3357</v>
      </c>
      <c r="N78" s="582" t="s">
        <v>3357</v>
      </c>
      <c r="O78" s="235" t="s">
        <v>1021</v>
      </c>
      <c r="P78" s="66"/>
    </row>
    <row r="79" spans="2:17" ht="26.4">
      <c r="B79" s="65"/>
      <c r="C79" s="2631"/>
      <c r="D79" s="2635"/>
      <c r="E79" s="76" t="s">
        <v>1022</v>
      </c>
      <c r="F79" s="235" t="s">
        <v>828</v>
      </c>
      <c r="G79" s="556">
        <v>1</v>
      </c>
      <c r="H79" s="556">
        <v>0.316</v>
      </c>
      <c r="I79" s="556">
        <v>0</v>
      </c>
      <c r="J79" s="556">
        <v>0</v>
      </c>
      <c r="K79" s="556">
        <v>0</v>
      </c>
      <c r="L79" s="235" t="s">
        <v>828</v>
      </c>
      <c r="M79" s="235" t="s">
        <v>3358</v>
      </c>
      <c r="N79" s="582" t="s">
        <v>3358</v>
      </c>
      <c r="O79" s="235" t="s">
        <v>1023</v>
      </c>
      <c r="P79" s="66"/>
    </row>
    <row r="80" spans="2:17" ht="96" customHeight="1">
      <c r="B80" s="65"/>
      <c r="C80" s="2622" t="s">
        <v>1025</v>
      </c>
      <c r="D80" s="2633" t="s">
        <v>1048</v>
      </c>
      <c r="E80" s="76" t="s">
        <v>1026</v>
      </c>
      <c r="F80" s="235" t="s">
        <v>1027</v>
      </c>
      <c r="G80" s="1321" t="s">
        <v>2378</v>
      </c>
      <c r="H80" s="586" t="s">
        <v>2379</v>
      </c>
      <c r="I80" s="587" t="s">
        <v>2380</v>
      </c>
      <c r="J80" s="587" t="s">
        <v>2380</v>
      </c>
      <c r="K80" s="587" t="s">
        <v>2380</v>
      </c>
      <c r="L80" s="587" t="s">
        <v>1027</v>
      </c>
      <c r="M80" s="586" t="s">
        <v>3612</v>
      </c>
      <c r="N80" s="582" t="s">
        <v>3612</v>
      </c>
      <c r="O80" s="235" t="s">
        <v>870</v>
      </c>
      <c r="P80" s="66"/>
    </row>
    <row r="81" spans="2:26" ht="102.6" customHeight="1">
      <c r="B81" s="65"/>
      <c r="C81" s="2623"/>
      <c r="D81" s="2635"/>
      <c r="E81" s="76" t="s">
        <v>1028</v>
      </c>
      <c r="F81" s="235" t="s">
        <v>1029</v>
      </c>
      <c r="G81" s="1322" t="s">
        <v>2818</v>
      </c>
      <c r="H81" s="1324" t="s">
        <v>2819</v>
      </c>
      <c r="I81" s="1323" t="s">
        <v>2820</v>
      </c>
      <c r="J81" s="1323" t="s">
        <v>2820</v>
      </c>
      <c r="K81" s="1323" t="s">
        <v>2820</v>
      </c>
      <c r="L81" s="587" t="s">
        <v>1029</v>
      </c>
      <c r="M81" s="586" t="s">
        <v>3611</v>
      </c>
      <c r="N81" s="582" t="s">
        <v>3611</v>
      </c>
      <c r="O81" s="235" t="s">
        <v>1030</v>
      </c>
      <c r="P81" s="1325"/>
    </row>
    <row r="82" spans="2:26" ht="42.75" customHeight="1">
      <c r="B82" s="65"/>
      <c r="C82" s="75" t="s">
        <v>1031</v>
      </c>
      <c r="D82" s="76" t="s">
        <v>1049</v>
      </c>
      <c r="E82" s="76" t="s">
        <v>1032</v>
      </c>
      <c r="F82" s="235" t="s">
        <v>951</v>
      </c>
      <c r="G82" s="1317">
        <v>0</v>
      </c>
      <c r="H82" s="588">
        <v>5</v>
      </c>
      <c r="I82" s="588">
        <v>5</v>
      </c>
      <c r="J82" s="588">
        <v>5</v>
      </c>
      <c r="K82" s="588">
        <v>5</v>
      </c>
      <c r="L82" s="586" t="s">
        <v>951</v>
      </c>
      <c r="M82" s="586" t="s">
        <v>3610</v>
      </c>
      <c r="N82" s="582" t="s">
        <v>3610</v>
      </c>
      <c r="O82" s="235" t="s">
        <v>1024</v>
      </c>
      <c r="P82" s="66"/>
      <c r="Z82" s="78"/>
    </row>
    <row r="83" spans="2:26">
      <c r="B83" s="65"/>
      <c r="P83" s="66"/>
    </row>
    <row r="84" spans="2:26">
      <c r="B84" s="65"/>
      <c r="F84" s="2639" t="s">
        <v>3687</v>
      </c>
      <c r="G84" s="2639"/>
      <c r="H84" s="2639"/>
      <c r="I84" s="2639"/>
      <c r="J84" s="2639"/>
      <c r="K84" s="2639"/>
      <c r="L84" s="2639"/>
      <c r="M84" s="2639"/>
      <c r="N84" s="2639"/>
      <c r="O84" s="2639"/>
      <c r="P84" s="66"/>
    </row>
    <row r="85" spans="2:26">
      <c r="B85" s="65"/>
      <c r="P85" s="66"/>
    </row>
    <row r="86" spans="2:26">
      <c r="B86" s="65"/>
      <c r="P86" s="66"/>
    </row>
    <row r="87" spans="2:26" ht="13.8" thickBot="1">
      <c r="B87" s="67"/>
      <c r="C87" s="68"/>
      <c r="D87" s="68"/>
      <c r="E87" s="68"/>
      <c r="F87" s="238"/>
      <c r="G87" s="238"/>
      <c r="H87" s="238"/>
      <c r="I87" s="238"/>
      <c r="J87" s="238"/>
      <c r="K87" s="238"/>
      <c r="L87" s="238"/>
      <c r="M87" s="238"/>
      <c r="N87" s="2034"/>
      <c r="O87" s="238"/>
      <c r="P87" s="69"/>
    </row>
  </sheetData>
  <sheetProtection algorithmName="SHA-512" hashValue="YFvy0XWQ/vjjrtUgP3OwZGdRnY8I9M4OIo/VreeG5ieWxW6yX/cb4dALiQhh32iCx1Odu4TqJPI1JpNTuIN+7Q==" saltValue="B27gSIJiM4yRmmrzvwNmYQ==" spinCount="100000" sheet="1" objects="1" scenarios="1"/>
  <mergeCells count="50">
    <mergeCell ref="D11:D12"/>
    <mergeCell ref="F7:F8"/>
    <mergeCell ref="C77:C79"/>
    <mergeCell ref="D77:D79"/>
    <mergeCell ref="C74:C76"/>
    <mergeCell ref="D74:D76"/>
    <mergeCell ref="D7:D8"/>
    <mergeCell ref="E7:E8"/>
    <mergeCell ref="C45:C46"/>
    <mergeCell ref="D45:D46"/>
    <mergeCell ref="C7:C8"/>
    <mergeCell ref="O62:O63"/>
    <mergeCell ref="O59:O60"/>
    <mergeCell ref="F84:O84"/>
    <mergeCell ref="C80:C81"/>
    <mergeCell ref="D80:D81"/>
    <mergeCell ref="H62:H63"/>
    <mergeCell ref="I62:I63"/>
    <mergeCell ref="K59:K60"/>
    <mergeCell ref="K62:K63"/>
    <mergeCell ref="N62:N63"/>
    <mergeCell ref="E59:E63"/>
    <mergeCell ref="F62:F63"/>
    <mergeCell ref="G62:G63"/>
    <mergeCell ref="J62:J63"/>
    <mergeCell ref="C6:D6"/>
    <mergeCell ref="B3:P3"/>
    <mergeCell ref="B4:P4"/>
    <mergeCell ref="G59:G60"/>
    <mergeCell ref="J59:J60"/>
    <mergeCell ref="O7:O8"/>
    <mergeCell ref="F59:F60"/>
    <mergeCell ref="C11:C12"/>
    <mergeCell ref="C14:C16"/>
    <mergeCell ref="D14:D16"/>
    <mergeCell ref="C23:C24"/>
    <mergeCell ref="D23:D24"/>
    <mergeCell ref="C59:C63"/>
    <mergeCell ref="D59:D63"/>
    <mergeCell ref="N7:N8"/>
    <mergeCell ref="N59:N60"/>
    <mergeCell ref="M7:M8"/>
    <mergeCell ref="M59:M60"/>
    <mergeCell ref="M62:M63"/>
    <mergeCell ref="G7:J7"/>
    <mergeCell ref="H59:H60"/>
    <mergeCell ref="I59:I60"/>
    <mergeCell ref="L7:L8"/>
    <mergeCell ref="L59:L60"/>
    <mergeCell ref="L62:L63"/>
  </mergeCells>
  <pageMargins left="0.70866141732283472" right="0.70866141732283472" top="0.74803149606299213" bottom="0.74803149606299213" header="0.31496062992125984" footer="0.31496062992125984"/>
  <pageSetup paperSize="9" scale="49" fitToHeight="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168B2-5925-441A-8406-A2EB2BC5EDEC}">
  <dimension ref="B1:AC19"/>
  <sheetViews>
    <sheetView zoomScale="98" zoomScaleNormal="98" zoomScaleSheetLayoutView="100" workbookViewId="0">
      <selection activeCell="AH13" sqref="AH13"/>
    </sheetView>
  </sheetViews>
  <sheetFormatPr defaultRowHeight="13.2"/>
  <cols>
    <col min="7" max="7" width="7.33203125" customWidth="1"/>
    <col min="8" max="17" width="9.109375" hidden="1" customWidth="1"/>
    <col min="18" max="18" width="26.88671875" customWidth="1"/>
    <col min="19" max="19" width="19.88671875" hidden="1" customWidth="1"/>
    <col min="20" max="20" width="20.88671875" hidden="1" customWidth="1"/>
    <col min="21" max="21" width="19.88671875" customWidth="1"/>
    <col min="22" max="22" width="21.5546875" customWidth="1"/>
    <col min="23" max="23" width="19.5546875" customWidth="1"/>
    <col min="24" max="24" width="21.109375" customWidth="1"/>
    <col min="25" max="25" width="19.5546875" customWidth="1"/>
    <col min="26" max="26" width="21.109375" customWidth="1"/>
  </cols>
  <sheetData>
    <row r="1" spans="2:27">
      <c r="T1" s="1298"/>
    </row>
    <row r="3" spans="2:27" ht="12.75" customHeight="1">
      <c r="E3" s="2609" t="s">
        <v>3818</v>
      </c>
      <c r="F3" s="2609"/>
      <c r="G3" s="2609"/>
      <c r="H3" s="2609"/>
      <c r="I3" s="2609"/>
      <c r="J3" s="2609"/>
      <c r="K3" s="2609"/>
      <c r="L3" s="2609"/>
      <c r="M3" s="2609"/>
      <c r="N3" s="2609"/>
      <c r="O3" s="2609"/>
      <c r="P3" s="2609"/>
      <c r="Q3" s="2609"/>
      <c r="R3" s="2609"/>
      <c r="S3" s="2609"/>
      <c r="T3" s="2609"/>
      <c r="U3" s="2609"/>
      <c r="V3" s="2609"/>
      <c r="W3" s="2609"/>
      <c r="X3" s="2609"/>
      <c r="Y3" s="1418"/>
      <c r="Z3" s="1418"/>
    </row>
    <row r="4" spans="2:27">
      <c r="E4" s="2609"/>
      <c r="F4" s="2609"/>
      <c r="G4" s="2609"/>
      <c r="H4" s="2609"/>
      <c r="I4" s="2609"/>
      <c r="J4" s="2609"/>
      <c r="K4" s="2609"/>
      <c r="L4" s="2609"/>
      <c r="M4" s="2609"/>
      <c r="N4" s="2609"/>
      <c r="O4" s="2609"/>
      <c r="P4" s="2609"/>
      <c r="Q4" s="2609"/>
      <c r="R4" s="2609"/>
      <c r="S4" s="2609"/>
      <c r="T4" s="2609"/>
      <c r="U4" s="2609"/>
      <c r="V4" s="2609"/>
      <c r="W4" s="2609"/>
      <c r="X4" s="2609"/>
      <c r="Y4" s="1418"/>
      <c r="Z4" s="1418"/>
    </row>
    <row r="5" spans="2:27">
      <c r="E5" s="2609"/>
      <c r="F5" s="2609"/>
      <c r="G5" s="2609"/>
      <c r="H5" s="2609"/>
      <c r="I5" s="2609"/>
      <c r="J5" s="2609"/>
      <c r="K5" s="2609"/>
      <c r="L5" s="2609"/>
      <c r="M5" s="2609"/>
      <c r="N5" s="2609"/>
      <c r="O5" s="2609"/>
      <c r="P5" s="2609"/>
      <c r="Q5" s="2609"/>
      <c r="R5" s="2609"/>
      <c r="S5" s="2609"/>
      <c r="T5" s="2609"/>
      <c r="U5" s="2609"/>
      <c r="V5" s="2609"/>
      <c r="W5" s="2609"/>
      <c r="X5" s="2609"/>
      <c r="Y5" s="1418"/>
      <c r="Z5" s="1418"/>
    </row>
    <row r="7" spans="2:27" ht="13.8" thickBot="1"/>
    <row r="8" spans="2:27">
      <c r="B8" s="63"/>
      <c r="C8" s="64"/>
      <c r="D8" s="64"/>
      <c r="E8" s="64"/>
      <c r="F8" s="64"/>
      <c r="G8" s="64"/>
      <c r="H8" s="64"/>
      <c r="I8" s="64"/>
      <c r="J8" s="64"/>
      <c r="K8" s="64"/>
      <c r="L8" s="64"/>
      <c r="M8" s="64"/>
      <c r="N8" s="64"/>
      <c r="O8" s="64"/>
      <c r="P8" s="64"/>
      <c r="Q8" s="64"/>
      <c r="R8" s="64"/>
      <c r="S8" s="64"/>
      <c r="T8" s="64"/>
      <c r="U8" s="64"/>
      <c r="V8" s="64"/>
      <c r="W8" s="64"/>
      <c r="X8" s="64"/>
      <c r="Y8" s="64"/>
      <c r="Z8" s="64"/>
      <c r="AA8" s="70"/>
    </row>
    <row r="9" spans="2:27">
      <c r="B9" s="65"/>
      <c r="C9" s="2645" t="s">
        <v>3831</v>
      </c>
      <c r="D9" s="2645"/>
      <c r="E9" s="2645"/>
      <c r="F9" s="2645"/>
      <c r="G9" s="2645"/>
      <c r="H9" s="2645"/>
      <c r="I9" s="2645"/>
      <c r="J9" s="2645"/>
      <c r="K9" s="2645"/>
      <c r="L9" s="2645"/>
      <c r="M9" s="2645"/>
      <c r="N9" s="2645"/>
      <c r="O9" s="2645"/>
      <c r="P9" s="2645"/>
      <c r="Q9" s="2645"/>
      <c r="R9" s="2645"/>
      <c r="S9" s="2645"/>
      <c r="T9" s="2645"/>
      <c r="AA9" s="66"/>
    </row>
    <row r="10" spans="2:27" ht="54.75" customHeight="1">
      <c r="B10" s="65"/>
      <c r="C10" s="2651" t="s">
        <v>2702</v>
      </c>
      <c r="D10" s="2652"/>
      <c r="E10" s="2652"/>
      <c r="F10" s="2652"/>
      <c r="G10" s="2653"/>
      <c r="H10" s="1300"/>
      <c r="I10" s="1300"/>
      <c r="J10" s="1300"/>
      <c r="K10" s="1300"/>
      <c r="L10" s="1300"/>
      <c r="M10" s="1300"/>
      <c r="N10" s="1300"/>
      <c r="O10" s="1300"/>
      <c r="P10" s="1300"/>
      <c r="Q10" s="1300"/>
      <c r="R10" s="1301" t="s">
        <v>3600</v>
      </c>
      <c r="S10" s="1301" t="s">
        <v>3603</v>
      </c>
      <c r="T10" s="1301" t="s">
        <v>3552</v>
      </c>
      <c r="U10" s="1301" t="s">
        <v>3604</v>
      </c>
      <c r="V10" s="1301" t="s">
        <v>3601</v>
      </c>
      <c r="W10" s="1301" t="s">
        <v>3605</v>
      </c>
      <c r="X10" s="1301" t="s">
        <v>3602</v>
      </c>
      <c r="Y10" s="1301" t="s">
        <v>3819</v>
      </c>
      <c r="Z10" s="1301" t="s">
        <v>3820</v>
      </c>
      <c r="AA10" s="66"/>
    </row>
    <row r="11" spans="2:27" ht="43.5" customHeight="1">
      <c r="B11" s="65"/>
      <c r="C11" s="2646" t="s">
        <v>2699</v>
      </c>
      <c r="D11" s="2647"/>
      <c r="E11" s="2647"/>
      <c r="F11" s="2647"/>
      <c r="G11" s="2647"/>
      <c r="H11" s="2647"/>
      <c r="I11" s="2647"/>
      <c r="J11" s="2647"/>
      <c r="K11" s="2647"/>
      <c r="L11" s="2647"/>
      <c r="M11" s="2647"/>
      <c r="N11" s="2647"/>
      <c r="O11" s="2647"/>
      <c r="P11" s="2647"/>
      <c r="Q11" s="2647"/>
      <c r="R11" s="104" t="s">
        <v>1897</v>
      </c>
      <c r="S11" s="1302">
        <f>T11/T15</f>
        <v>3.9873823409918241E-2</v>
      </c>
      <c r="T11" s="1303">
        <f>SUM('+9 programa'!H209)</f>
        <v>2858.5156999999999</v>
      </c>
      <c r="U11" s="1302">
        <f>V11/V15</f>
        <v>4.2162148127096975E-2</v>
      </c>
      <c r="V11" s="1304">
        <f>SUM('+9 programa'!I209)</f>
        <v>3319.0779999999995</v>
      </c>
      <c r="W11" s="1302">
        <f>X11/X15</f>
        <v>7.1421486604885315E-2</v>
      </c>
      <c r="X11" s="1304">
        <f>SUM('+9 programa'!L209)</f>
        <v>6253.945999999999</v>
      </c>
      <c r="Y11" s="1302">
        <f>Z11/Z15</f>
        <v>4.8971963763225511E-2</v>
      </c>
      <c r="Z11" s="1304">
        <f>'+9 programa'!N209</f>
        <v>3741.8110000000001</v>
      </c>
      <c r="AA11" s="66"/>
    </row>
    <row r="12" spans="2:27" ht="90" customHeight="1">
      <c r="B12" s="65"/>
      <c r="C12" s="2646" t="s">
        <v>2700</v>
      </c>
      <c r="D12" s="2647"/>
      <c r="E12" s="2647"/>
      <c r="F12" s="2647"/>
      <c r="G12" s="2647"/>
      <c r="H12" s="2647"/>
      <c r="I12" s="2647"/>
      <c r="J12" s="2647"/>
      <c r="K12" s="2647"/>
      <c r="L12" s="2647"/>
      <c r="M12" s="2647"/>
      <c r="N12" s="2647"/>
      <c r="O12" s="2647"/>
      <c r="P12" s="2647"/>
      <c r="Q12" s="2647"/>
      <c r="R12" s="92" t="s">
        <v>2697</v>
      </c>
      <c r="S12" s="1305">
        <f>T12/T15</f>
        <v>0.76272554064726639</v>
      </c>
      <c r="T12" s="1306">
        <f>SUM('1 programa '!K218,'2 programa '!K371,'+3 programa'!K89,'4 programa'!K130,'+5 programa'!K114,'6 programa'!L289,'7 programa'!K177)</f>
        <v>54679.053732</v>
      </c>
      <c r="U12" s="1305">
        <f>V12/V15</f>
        <v>0.75941915060117826</v>
      </c>
      <c r="V12" s="575">
        <f>SUM('1 programa '!L218,'2 programa '!L371,'+3 programa'!L89,'4 programa'!L130,'+5 programa'!L114,'6 programa'!M289,'7 programa'!L177)</f>
        <v>59782.803</v>
      </c>
      <c r="W12" s="1305">
        <f>X12/X15</f>
        <v>0.63722972721670101</v>
      </c>
      <c r="X12" s="1306">
        <f>SUM('1 programa '!O218,'2 programa '!O371,'+3 programa'!O89,'4 programa'!O130,'+5 programa'!O114,'6 programa'!P289,'7 programa'!O177)</f>
        <v>55798.338749999995</v>
      </c>
      <c r="Y12" s="1305">
        <f>Z12/Z15</f>
        <v>0.69702388474197285</v>
      </c>
      <c r="Z12" s="1303">
        <f>SUM('1 programa '!Q218,'2 programa '!Q371,'+3 programa'!Q89,'4 programa'!Q130,'+5 programa'!Q114,'6 programa'!R289,'7 programa'!Q177)</f>
        <v>53257.648637499995</v>
      </c>
      <c r="AA12" s="66"/>
    </row>
    <row r="13" spans="2:27" ht="46.5" customHeight="1">
      <c r="B13" s="65"/>
      <c r="C13" s="2648" t="s">
        <v>2701</v>
      </c>
      <c r="D13" s="2649"/>
      <c r="E13" s="2649"/>
      <c r="F13" s="2649"/>
      <c r="G13" s="2649"/>
      <c r="H13" s="2649"/>
      <c r="I13" s="2649"/>
      <c r="J13" s="2649"/>
      <c r="K13" s="2649"/>
      <c r="L13" s="2649"/>
      <c r="M13" s="2649"/>
      <c r="N13" s="2649"/>
      <c r="O13" s="2649"/>
      <c r="P13" s="2649"/>
      <c r="Q13" s="2650"/>
      <c r="R13" s="92" t="s">
        <v>2698</v>
      </c>
      <c r="S13" s="1305">
        <f>T13/T15</f>
        <v>0.19740063594281523</v>
      </c>
      <c r="T13" s="1306">
        <f>SUM('8 programa'!K169,'10 programa'!K297)</f>
        <v>14151.460000000001</v>
      </c>
      <c r="U13" s="1305">
        <f>V13/V15</f>
        <v>0.19841870127172481</v>
      </c>
      <c r="V13" s="575">
        <f>SUM('8 programa'!L169,'10 programa'!L297)</f>
        <v>15619.866999999998</v>
      </c>
      <c r="W13" s="1305">
        <f>X13/X15</f>
        <v>0.29134878617841381</v>
      </c>
      <c r="X13" s="1306">
        <f>SUM('8 programa'!O169,'10 programa'!O297)</f>
        <v>25511.644500000002</v>
      </c>
      <c r="Y13" s="1305">
        <f>Z13/Z15</f>
        <v>0.2540041514948016</v>
      </c>
      <c r="Z13" s="1303">
        <f>SUM('8 programa'!Q169,'10 programa'!Q297)</f>
        <v>19407.747925</v>
      </c>
      <c r="AA13" s="66"/>
    </row>
    <row r="14" spans="2:27">
      <c r="B14" s="65"/>
      <c r="AA14" s="66"/>
    </row>
    <row r="15" spans="2:27" ht="16.2" hidden="1" customHeight="1">
      <c r="B15" s="65"/>
      <c r="T15" s="150">
        <f>SUM(T11,T12,T13)</f>
        <v>71689.02943200001</v>
      </c>
      <c r="V15" s="150">
        <f t="shared" ref="V15:X15" si="0">SUM(V11,V12,V13)</f>
        <v>78721.747999999992</v>
      </c>
      <c r="W15" s="150"/>
      <c r="X15" s="150">
        <f t="shared" si="0"/>
        <v>87563.929249999986</v>
      </c>
      <c r="Y15" s="150"/>
      <c r="Z15" s="150">
        <f>SUM(Z11,Z12,Z13)</f>
        <v>76407.2075625</v>
      </c>
      <c r="AA15" s="66"/>
    </row>
    <row r="16" spans="2:27" ht="13.8" thickBot="1">
      <c r="B16" s="67"/>
      <c r="C16" s="68"/>
      <c r="D16" s="68"/>
      <c r="E16" s="68"/>
      <c r="F16" s="68"/>
      <c r="G16" s="68"/>
      <c r="H16" s="68"/>
      <c r="I16" s="68"/>
      <c r="J16" s="68"/>
      <c r="K16" s="68"/>
      <c r="L16" s="68"/>
      <c r="M16" s="68"/>
      <c r="N16" s="68"/>
      <c r="O16" s="68"/>
      <c r="P16" s="68"/>
      <c r="Q16" s="68"/>
      <c r="R16" s="68"/>
      <c r="S16" s="1299"/>
      <c r="T16" s="68"/>
      <c r="U16" s="1299"/>
      <c r="V16" s="68"/>
      <c r="W16" s="68"/>
      <c r="X16" s="68"/>
      <c r="Y16" s="68"/>
      <c r="Z16" s="68"/>
      <c r="AA16" s="69"/>
    </row>
    <row r="17" spans="20:29">
      <c r="AB17" s="1298"/>
    </row>
    <row r="18" spans="20:29">
      <c r="AC18" s="1298"/>
    </row>
    <row r="19" spans="20:29">
      <c r="T19" s="1298"/>
    </row>
  </sheetData>
  <sheetProtection algorithmName="SHA-512" hashValue="dwaWJjj/C5uly52SCaTDpFsijWH8AACoRIn+lhN4hHZlGUvAf6qXieUm/hU6I1Q1hAceFJyJw1st5GSULesFqA==" saltValue="WtNgZtD2868IbnAs82wqEg==" spinCount="100000" sheet="1" objects="1" scenarios="1"/>
  <mergeCells count="6">
    <mergeCell ref="E3:X5"/>
    <mergeCell ref="C9:T9"/>
    <mergeCell ref="C12:Q12"/>
    <mergeCell ref="C11:Q11"/>
    <mergeCell ref="C13:Q13"/>
    <mergeCell ref="C10:G10"/>
  </mergeCells>
  <pageMargins left="0.7" right="0.7" top="0.75" bottom="0.75" header="0.3" footer="0.3"/>
  <pageSetup paperSize="9" scale="5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2FD3D-7FBD-44AB-B0DC-E15D5EF00E31}">
  <sheetPr>
    <pageSetUpPr fitToPage="1"/>
  </sheetPr>
  <dimension ref="A2:O56"/>
  <sheetViews>
    <sheetView zoomScale="155" zoomScaleNormal="155" zoomScaleSheetLayoutView="100" workbookViewId="0">
      <selection activeCell="W10" sqref="W10"/>
    </sheetView>
  </sheetViews>
  <sheetFormatPr defaultColWidth="8.88671875" defaultRowHeight="13.2"/>
  <cols>
    <col min="1" max="1" width="8.88671875" style="130"/>
    <col min="2" max="2" width="10.44140625" style="130" customWidth="1"/>
    <col min="3" max="13" width="8.88671875" style="130"/>
    <col min="14" max="14" width="9.88671875" style="130" customWidth="1"/>
    <col min="15" max="15" width="0.109375" style="130" customWidth="1"/>
    <col min="16" max="16" width="3.44140625" style="130" customWidth="1"/>
    <col min="17" max="16384" width="8.88671875" style="130"/>
  </cols>
  <sheetData>
    <row r="2" spans="1:15" ht="13.8" thickBot="1"/>
    <row r="3" spans="1:15" ht="39" customHeight="1">
      <c r="B3" s="2657" t="s">
        <v>3639</v>
      </c>
      <c r="C3" s="2658"/>
      <c r="D3" s="2658"/>
      <c r="E3" s="2658"/>
      <c r="F3" s="2658"/>
      <c r="G3" s="2658"/>
      <c r="H3" s="2658"/>
      <c r="I3" s="2658"/>
      <c r="J3" s="2658"/>
      <c r="K3" s="2658"/>
      <c r="L3" s="2658"/>
      <c r="M3" s="2658"/>
      <c r="N3" s="2658"/>
      <c r="O3" s="2659"/>
    </row>
    <row r="4" spans="1:15" hidden="1">
      <c r="B4" s="2660"/>
      <c r="C4" s="2661"/>
      <c r="D4" s="2661"/>
      <c r="E4" s="2661"/>
      <c r="F4" s="2661"/>
      <c r="G4" s="2661"/>
      <c r="H4" s="2661"/>
      <c r="I4" s="2661"/>
      <c r="J4" s="2661"/>
      <c r="K4" s="2661"/>
      <c r="L4" s="2661"/>
      <c r="M4" s="2661"/>
      <c r="N4" s="2661"/>
      <c r="O4" s="2662"/>
    </row>
    <row r="5" spans="1:15" ht="72" customHeight="1">
      <c r="B5" s="861"/>
      <c r="C5" s="2666" t="s">
        <v>3821</v>
      </c>
      <c r="D5" s="2667"/>
      <c r="E5" s="2667"/>
      <c r="F5" s="2667"/>
      <c r="G5" s="2667"/>
      <c r="H5" s="2667"/>
      <c r="I5" s="2667"/>
      <c r="J5" s="2667"/>
      <c r="K5" s="2667"/>
      <c r="L5" s="2667"/>
      <c r="M5" s="2667"/>
      <c r="N5" s="2667"/>
      <c r="O5" s="2668"/>
    </row>
    <row r="6" spans="1:15" ht="23.4" customHeight="1">
      <c r="A6" s="131"/>
      <c r="B6" s="862"/>
      <c r="C6" s="2664" t="s">
        <v>3822</v>
      </c>
      <c r="D6" s="2664"/>
      <c r="E6" s="2664"/>
      <c r="F6" s="2664"/>
      <c r="G6" s="2664"/>
      <c r="H6" s="2664"/>
      <c r="I6" s="2664"/>
      <c r="J6" s="2664"/>
      <c r="K6" s="2664"/>
      <c r="L6" s="2664"/>
      <c r="M6" s="2664"/>
      <c r="N6" s="2664"/>
      <c r="O6" s="2669"/>
    </row>
    <row r="7" spans="1:15" ht="17.25" customHeight="1">
      <c r="A7" s="131"/>
      <c r="B7" s="863" t="s">
        <v>2532</v>
      </c>
      <c r="C7" s="2672" t="s">
        <v>2533</v>
      </c>
      <c r="D7" s="2672"/>
      <c r="E7" s="2672"/>
      <c r="F7" s="2672"/>
      <c r="G7" s="2672"/>
      <c r="H7" s="2672"/>
      <c r="I7" s="2672"/>
      <c r="J7" s="2672"/>
      <c r="K7" s="2672"/>
      <c r="L7" s="2672"/>
      <c r="M7" s="2672"/>
      <c r="N7" s="2672"/>
      <c r="O7" s="2670"/>
    </row>
    <row r="8" spans="1:15" ht="15.6" customHeight="1">
      <c r="A8" s="131"/>
      <c r="B8" s="864" t="s">
        <v>2388</v>
      </c>
      <c r="C8" s="2663" t="str">
        <f>'[1]II skyrius'!D10</f>
        <v xml:space="preserve">Gerinti  investicinės aplinkos patrauklumą ir didinti ekonominį potencialą </v>
      </c>
      <c r="D8" s="2663"/>
      <c r="E8" s="2663"/>
      <c r="F8" s="2663"/>
      <c r="G8" s="2663"/>
      <c r="H8" s="2663"/>
      <c r="I8" s="2663"/>
      <c r="J8" s="2663"/>
      <c r="K8" s="2663"/>
      <c r="L8" s="2663"/>
      <c r="M8" s="2663"/>
      <c r="N8" s="2663"/>
      <c r="O8" s="2670"/>
    </row>
    <row r="9" spans="1:15" ht="22.95" customHeight="1">
      <c r="A9" s="131"/>
      <c r="B9" s="865"/>
      <c r="C9" s="2665" t="s">
        <v>3279</v>
      </c>
      <c r="D9" s="2665"/>
      <c r="E9" s="2665"/>
      <c r="F9" s="2665"/>
      <c r="G9" s="2665"/>
      <c r="H9" s="2665"/>
      <c r="I9" s="2665"/>
      <c r="J9" s="2665"/>
      <c r="K9" s="2665"/>
      <c r="L9" s="2665"/>
      <c r="M9" s="2665"/>
      <c r="N9" s="2665"/>
      <c r="O9" s="2670"/>
    </row>
    <row r="10" spans="1:15" ht="22.95" customHeight="1">
      <c r="A10" s="131"/>
      <c r="B10" s="865"/>
      <c r="C10" s="2665" t="s">
        <v>1258</v>
      </c>
      <c r="D10" s="2665"/>
      <c r="E10" s="2665"/>
      <c r="F10" s="2665"/>
      <c r="G10" s="2665"/>
      <c r="H10" s="2665"/>
      <c r="I10" s="2665"/>
      <c r="J10" s="2665"/>
      <c r="K10" s="2665"/>
      <c r="L10" s="2665"/>
      <c r="M10" s="2665"/>
      <c r="N10" s="2665"/>
      <c r="O10" s="2670"/>
    </row>
    <row r="11" spans="1:15" ht="13.95" customHeight="1">
      <c r="A11" s="131"/>
      <c r="B11" s="864" t="s">
        <v>2390</v>
      </c>
      <c r="C11" s="2664" t="str">
        <f>'[1]II skyrius'!D18</f>
        <v xml:space="preserve"> Didinti turistinį savivaldybės patrauklumą, teikiant viešąsias paslaugas bei plėtojant viešąją turizmo infrastruktūrą</v>
      </c>
      <c r="D11" s="2664"/>
      <c r="E11" s="2664"/>
      <c r="F11" s="2664"/>
      <c r="G11" s="2664"/>
      <c r="H11" s="2664"/>
      <c r="I11" s="2664"/>
      <c r="J11" s="2664"/>
      <c r="K11" s="2664"/>
      <c r="L11" s="2664"/>
      <c r="M11" s="2664"/>
      <c r="N11" s="2664"/>
      <c r="O11" s="2670"/>
    </row>
    <row r="12" spans="1:15" ht="13.95" customHeight="1">
      <c r="A12" s="131"/>
      <c r="B12" s="865"/>
      <c r="C12" s="2665" t="s">
        <v>2389</v>
      </c>
      <c r="D12" s="2665"/>
      <c r="E12" s="2665"/>
      <c r="F12" s="2665"/>
      <c r="G12" s="2665"/>
      <c r="H12" s="2665"/>
      <c r="I12" s="2665"/>
      <c r="J12" s="2665"/>
      <c r="K12" s="2665"/>
      <c r="L12" s="2665"/>
      <c r="M12" s="2665"/>
      <c r="N12" s="2665"/>
      <c r="O12" s="2670"/>
    </row>
    <row r="13" spans="1:15" ht="22.2" customHeight="1">
      <c r="A13" s="131"/>
      <c r="B13" s="865"/>
      <c r="C13" s="2665" t="s">
        <v>4327</v>
      </c>
      <c r="D13" s="2665"/>
      <c r="E13" s="2665"/>
      <c r="F13" s="2665"/>
      <c r="G13" s="2665"/>
      <c r="H13" s="2665"/>
      <c r="I13" s="2665"/>
      <c r="J13" s="2665"/>
      <c r="K13" s="2665"/>
      <c r="L13" s="2665"/>
      <c r="M13" s="2665"/>
      <c r="N13" s="2665"/>
      <c r="O13" s="2670"/>
    </row>
    <row r="14" spans="1:15" ht="15.6" customHeight="1">
      <c r="A14" s="131"/>
      <c r="B14" s="865"/>
      <c r="C14" s="2665" t="s">
        <v>3641</v>
      </c>
      <c r="D14" s="2665"/>
      <c r="E14" s="2665"/>
      <c r="F14" s="2665"/>
      <c r="G14" s="2665"/>
      <c r="H14" s="2665"/>
      <c r="I14" s="2665"/>
      <c r="J14" s="2665"/>
      <c r="K14" s="2665"/>
      <c r="L14" s="2665"/>
      <c r="M14" s="2665"/>
      <c r="N14" s="2665"/>
      <c r="O14" s="2670"/>
    </row>
    <row r="15" spans="1:15" ht="15.6" customHeight="1">
      <c r="A15" s="131"/>
      <c r="B15" s="866" t="s">
        <v>2534</v>
      </c>
      <c r="C15" s="2672" t="s">
        <v>3642</v>
      </c>
      <c r="D15" s="2672"/>
      <c r="E15" s="2672"/>
      <c r="F15" s="2672"/>
      <c r="G15" s="2672"/>
      <c r="H15" s="2672"/>
      <c r="I15" s="2672"/>
      <c r="J15" s="2672"/>
      <c r="K15" s="2672"/>
      <c r="L15" s="2672"/>
      <c r="M15" s="2672"/>
      <c r="N15" s="2672"/>
      <c r="O15" s="2670"/>
    </row>
    <row r="16" spans="1:15" ht="38.4" customHeight="1">
      <c r="A16" s="131"/>
      <c r="B16" s="864" t="s">
        <v>2391</v>
      </c>
      <c r="C16" s="2664" t="str">
        <f>'[1]II skyrius'!D22</f>
        <v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v>
      </c>
      <c r="D16" s="2664"/>
      <c r="E16" s="2664"/>
      <c r="F16" s="2664"/>
      <c r="G16" s="2664"/>
      <c r="H16" s="2664"/>
      <c r="I16" s="2664"/>
      <c r="J16" s="2664"/>
      <c r="K16" s="2664"/>
      <c r="L16" s="2664"/>
      <c r="M16" s="2664"/>
      <c r="N16" s="2664"/>
      <c r="O16" s="2670"/>
    </row>
    <row r="17" spans="1:15" ht="13.95" customHeight="1">
      <c r="A17" s="131"/>
      <c r="B17" s="865"/>
      <c r="C17" s="2665" t="s">
        <v>3643</v>
      </c>
      <c r="D17" s="2665"/>
      <c r="E17" s="2665"/>
      <c r="F17" s="2665"/>
      <c r="G17" s="2665"/>
      <c r="H17" s="2665"/>
      <c r="I17" s="2665"/>
      <c r="J17" s="2665"/>
      <c r="K17" s="2665"/>
      <c r="L17" s="2665"/>
      <c r="M17" s="2665"/>
      <c r="N17" s="2665"/>
      <c r="O17" s="2670"/>
    </row>
    <row r="18" spans="1:15" ht="13.2" customHeight="1">
      <c r="A18" s="131"/>
      <c r="B18" s="865"/>
      <c r="C18" s="2673" t="s">
        <v>2392</v>
      </c>
      <c r="D18" s="2673"/>
      <c r="E18" s="2673"/>
      <c r="F18" s="2673"/>
      <c r="G18" s="2673"/>
      <c r="H18" s="2673"/>
      <c r="I18" s="2673"/>
      <c r="J18" s="2673"/>
      <c r="K18" s="2673"/>
      <c r="L18" s="2673"/>
      <c r="M18" s="2673"/>
      <c r="N18" s="2673"/>
      <c r="O18" s="2670"/>
    </row>
    <row r="19" spans="1:15" ht="12" customHeight="1">
      <c r="A19" s="131"/>
      <c r="B19" s="865"/>
      <c r="C19" s="2665" t="s">
        <v>2393</v>
      </c>
      <c r="D19" s="2665"/>
      <c r="E19" s="2665"/>
      <c r="F19" s="2665"/>
      <c r="G19" s="2665"/>
      <c r="H19" s="2665"/>
      <c r="I19" s="2665"/>
      <c r="J19" s="2665"/>
      <c r="K19" s="2665"/>
      <c r="L19" s="2665"/>
      <c r="M19" s="2665"/>
      <c r="N19" s="2665"/>
      <c r="O19" s="2670"/>
    </row>
    <row r="20" spans="1:15" ht="13.95" customHeight="1">
      <c r="A20" s="131"/>
      <c r="B20" s="865"/>
      <c r="C20" s="2665" t="s">
        <v>4328</v>
      </c>
      <c r="D20" s="2665"/>
      <c r="E20" s="2665"/>
      <c r="F20" s="2665"/>
      <c r="G20" s="2665"/>
      <c r="H20" s="2665"/>
      <c r="I20" s="2665"/>
      <c r="J20" s="2665"/>
      <c r="K20" s="2665"/>
      <c r="L20" s="2665"/>
      <c r="M20" s="2665"/>
      <c r="N20" s="2665"/>
      <c r="O20" s="2670"/>
    </row>
    <row r="21" spans="1:15" ht="13.95" customHeight="1">
      <c r="A21" s="131"/>
      <c r="B21" s="865"/>
      <c r="C21" s="2675" t="s">
        <v>4329</v>
      </c>
      <c r="D21" s="2676"/>
      <c r="E21" s="2676"/>
      <c r="F21" s="2676"/>
      <c r="G21" s="2676"/>
      <c r="H21" s="2676"/>
      <c r="I21" s="2676"/>
      <c r="J21" s="2676"/>
      <c r="K21" s="2676"/>
      <c r="L21" s="2676"/>
      <c r="M21" s="2676"/>
      <c r="N21" s="2677"/>
      <c r="O21" s="2670"/>
    </row>
    <row r="22" spans="1:15" ht="14.4" customHeight="1">
      <c r="A22" s="131"/>
      <c r="B22" s="865"/>
      <c r="C22" s="2665" t="s">
        <v>2394</v>
      </c>
      <c r="D22" s="2665"/>
      <c r="E22" s="2665"/>
      <c r="F22" s="2665"/>
      <c r="G22" s="2665"/>
      <c r="H22" s="2665"/>
      <c r="I22" s="2665"/>
      <c r="J22" s="2665"/>
      <c r="K22" s="2665"/>
      <c r="L22" s="2665"/>
      <c r="M22" s="2665"/>
      <c r="N22" s="2665"/>
      <c r="O22" s="2670"/>
    </row>
    <row r="23" spans="1:15" ht="27" customHeight="1">
      <c r="A23" s="131"/>
      <c r="B23" s="864" t="s">
        <v>2395</v>
      </c>
      <c r="C23" s="2664" t="str">
        <f>'[1]II skyrius'!D30</f>
        <v>Sudaryti sąlygas visų amžiaus grupių ir galimybių visaginiečiams jų sveikai gyvensenai, fiziniam aktyvumui, sportavimui bei siekti, kad tai taptų savivaldybės bendruomenės gyvensenos dalimi</v>
      </c>
      <c r="D23" s="2664"/>
      <c r="E23" s="2664"/>
      <c r="F23" s="2664"/>
      <c r="G23" s="2664"/>
      <c r="H23" s="2664"/>
      <c r="I23" s="2664"/>
      <c r="J23" s="2664"/>
      <c r="K23" s="2664"/>
      <c r="L23" s="2664"/>
      <c r="M23" s="2664"/>
      <c r="N23" s="2664"/>
      <c r="O23" s="2670"/>
    </row>
    <row r="24" spans="1:15" ht="14.4" customHeight="1">
      <c r="A24" s="131"/>
      <c r="B24" s="865"/>
      <c r="C24" s="2665" t="s">
        <v>2397</v>
      </c>
      <c r="D24" s="2665"/>
      <c r="E24" s="2665"/>
      <c r="F24" s="2665"/>
      <c r="G24" s="2665"/>
      <c r="H24" s="2665"/>
      <c r="I24" s="2665"/>
      <c r="J24" s="2665"/>
      <c r="K24" s="2665"/>
      <c r="L24" s="2665"/>
      <c r="M24" s="2665"/>
      <c r="N24" s="2665"/>
      <c r="O24" s="2670"/>
    </row>
    <row r="25" spans="1:15" ht="13.2" customHeight="1">
      <c r="A25" s="131"/>
      <c r="B25" s="865"/>
      <c r="C25" s="2665" t="s">
        <v>2396</v>
      </c>
      <c r="D25" s="2665"/>
      <c r="E25" s="2665"/>
      <c r="F25" s="2665"/>
      <c r="G25" s="2665"/>
      <c r="H25" s="2665"/>
      <c r="I25" s="2665"/>
      <c r="J25" s="2665"/>
      <c r="K25" s="2665"/>
      <c r="L25" s="2665"/>
      <c r="M25" s="2665"/>
      <c r="N25" s="2665"/>
      <c r="O25" s="2670"/>
    </row>
    <row r="26" spans="1:15" ht="16.2" customHeight="1">
      <c r="A26" s="131"/>
      <c r="B26" s="864" t="s">
        <v>2398</v>
      </c>
      <c r="C26" s="2664" t="str">
        <f>'[1]II skyrius'!D36</f>
        <v>Įgyvendinti valstybinę kultūros politiką ir formuoti regioninį identitetą, stiprinti pilietiškumą ir bendruomenės į(si)traukimą į kūrybines, kultūrines veiklas</v>
      </c>
      <c r="D26" s="2664"/>
      <c r="E26" s="2664"/>
      <c r="F26" s="2664"/>
      <c r="G26" s="2664"/>
      <c r="H26" s="2664"/>
      <c r="I26" s="2664"/>
      <c r="J26" s="2664"/>
      <c r="K26" s="2664"/>
      <c r="L26" s="2664"/>
      <c r="M26" s="2664"/>
      <c r="N26" s="2664"/>
      <c r="O26" s="2670"/>
    </row>
    <row r="27" spans="1:15" ht="13.2" customHeight="1">
      <c r="A27" s="131"/>
      <c r="B27" s="865"/>
      <c r="C27" s="2665" t="s">
        <v>2399</v>
      </c>
      <c r="D27" s="2665"/>
      <c r="E27" s="2665"/>
      <c r="F27" s="2665"/>
      <c r="G27" s="2665"/>
      <c r="H27" s="2665"/>
      <c r="I27" s="2665"/>
      <c r="J27" s="2665"/>
      <c r="K27" s="2665"/>
      <c r="L27" s="2665"/>
      <c r="M27" s="2665"/>
      <c r="N27" s="2665"/>
      <c r="O27" s="2670"/>
    </row>
    <row r="28" spans="1:15" ht="13.2" customHeight="1">
      <c r="A28" s="131"/>
      <c r="B28" s="865"/>
      <c r="C28" s="2665" t="s">
        <v>2400</v>
      </c>
      <c r="D28" s="2665"/>
      <c r="E28" s="2665"/>
      <c r="F28" s="2665"/>
      <c r="G28" s="2665"/>
      <c r="H28" s="2665"/>
      <c r="I28" s="2665"/>
      <c r="J28" s="2665"/>
      <c r="K28" s="2665"/>
      <c r="L28" s="2665"/>
      <c r="M28" s="2665"/>
      <c r="N28" s="2665"/>
      <c r="O28" s="2670"/>
    </row>
    <row r="29" spans="1:15" ht="16.2" customHeight="1">
      <c r="A29" s="131"/>
      <c r="B29" s="864" t="s">
        <v>2401</v>
      </c>
      <c r="C29" s="2664" t="str">
        <f>'[1]II skyrius'!D43</f>
        <v>Stiprinti ir puoselėti gyventojų sveikatą</v>
      </c>
      <c r="D29" s="2664"/>
      <c r="E29" s="2664"/>
      <c r="F29" s="2664"/>
      <c r="G29" s="2664"/>
      <c r="H29" s="2664"/>
      <c r="I29" s="2664"/>
      <c r="J29" s="2664"/>
      <c r="K29" s="2664"/>
      <c r="L29" s="2664"/>
      <c r="M29" s="2664"/>
      <c r="N29" s="2664"/>
      <c r="O29" s="2670"/>
    </row>
    <row r="30" spans="1:15" ht="21.6" customHeight="1">
      <c r="A30" s="131"/>
      <c r="B30" s="865"/>
      <c r="C30" s="2665" t="s">
        <v>3644</v>
      </c>
      <c r="D30" s="2665"/>
      <c r="E30" s="2665"/>
      <c r="F30" s="2665"/>
      <c r="G30" s="2665"/>
      <c r="H30" s="2665"/>
      <c r="I30" s="2665"/>
      <c r="J30" s="2665"/>
      <c r="K30" s="2665"/>
      <c r="L30" s="2665"/>
      <c r="M30" s="2665"/>
      <c r="N30" s="2665"/>
      <c r="O30" s="2670"/>
    </row>
    <row r="31" spans="1:15">
      <c r="A31" s="131"/>
      <c r="B31" s="864" t="s">
        <v>2402</v>
      </c>
      <c r="C31" s="2664" t="str">
        <f>'[1]II skyrius'!D47</f>
        <v>Pagerinti  ir plėsti socialinių paslaugų kokybę ir prieinamumą bei sukurti jų plėtrai reikalingą  infrastruktūrą</v>
      </c>
      <c r="D31" s="2664"/>
      <c r="E31" s="2664"/>
      <c r="F31" s="2664"/>
      <c r="G31" s="2664"/>
      <c r="H31" s="2664"/>
      <c r="I31" s="2664"/>
      <c r="J31" s="2664"/>
      <c r="K31" s="2664"/>
      <c r="L31" s="2664"/>
      <c r="M31" s="2664"/>
      <c r="N31" s="2664"/>
      <c r="O31" s="2670"/>
    </row>
    <row r="32" spans="1:15" ht="13.2" customHeight="1">
      <c r="A32" s="131"/>
      <c r="B32" s="865"/>
      <c r="C32" s="2665" t="s">
        <v>2403</v>
      </c>
      <c r="D32" s="2665"/>
      <c r="E32" s="2665"/>
      <c r="F32" s="2665"/>
      <c r="G32" s="2665"/>
      <c r="H32" s="2665"/>
      <c r="I32" s="2665"/>
      <c r="J32" s="2665"/>
      <c r="K32" s="2665"/>
      <c r="L32" s="2665"/>
      <c r="M32" s="2665"/>
      <c r="N32" s="2665"/>
      <c r="O32" s="2670"/>
    </row>
    <row r="33" spans="1:15" ht="13.2" customHeight="1">
      <c r="A33" s="131"/>
      <c r="B33" s="865"/>
      <c r="C33" s="2665" t="s">
        <v>2404</v>
      </c>
      <c r="D33" s="2665"/>
      <c r="E33" s="2665"/>
      <c r="F33" s="2665"/>
      <c r="G33" s="2665"/>
      <c r="H33" s="2665"/>
      <c r="I33" s="2665"/>
      <c r="J33" s="2665"/>
      <c r="K33" s="2665"/>
      <c r="L33" s="2665"/>
      <c r="M33" s="2665"/>
      <c r="N33" s="2665"/>
      <c r="O33" s="2670"/>
    </row>
    <row r="34" spans="1:15" ht="13.95" customHeight="1">
      <c r="A34" s="131"/>
      <c r="B34" s="864" t="s">
        <v>2405</v>
      </c>
      <c r="C34" s="2664" t="str">
        <f>'[1]II skyrius'!D49</f>
        <v>Sudaryti galimybes jaunimui atvykti, dirbti ir gyventi Visagino savivaldybėje</v>
      </c>
      <c r="D34" s="2664"/>
      <c r="E34" s="2664"/>
      <c r="F34" s="2664"/>
      <c r="G34" s="2664"/>
      <c r="H34" s="2664"/>
      <c r="I34" s="2664"/>
      <c r="J34" s="2664"/>
      <c r="K34" s="2664"/>
      <c r="L34" s="2664"/>
      <c r="M34" s="2664"/>
      <c r="N34" s="2664"/>
      <c r="O34" s="2670"/>
    </row>
    <row r="35" spans="1:15" ht="13.95" customHeight="1">
      <c r="A35" s="131"/>
      <c r="B35" s="865"/>
      <c r="C35" s="2665" t="s">
        <v>2406</v>
      </c>
      <c r="D35" s="2665"/>
      <c r="E35" s="2665"/>
      <c r="F35" s="2665"/>
      <c r="G35" s="2665"/>
      <c r="H35" s="2665"/>
      <c r="I35" s="2665"/>
      <c r="J35" s="2665"/>
      <c r="K35" s="2665"/>
      <c r="L35" s="2665"/>
      <c r="M35" s="2665"/>
      <c r="N35" s="2665"/>
      <c r="O35" s="2670"/>
    </row>
    <row r="36" spans="1:15" ht="25.95" customHeight="1">
      <c r="A36" s="131"/>
      <c r="B36" s="864" t="s">
        <v>2407</v>
      </c>
      <c r="C36" s="2664" t="str">
        <f>'[1]II skyrius'!D52</f>
        <v xml:space="preserve">Gyventojų socialinio, pilietinio aktyvumo, dalyvavimo savanoriškoje, visuomeninėje veikloje, tarpusavio pasitikėjimo, bendruomenės socialinės atsakomybės ir įsitraukimo didinimas  </v>
      </c>
      <c r="D36" s="2664"/>
      <c r="E36" s="2664"/>
      <c r="F36" s="2664"/>
      <c r="G36" s="2664"/>
      <c r="H36" s="2664"/>
      <c r="I36" s="2664"/>
      <c r="J36" s="2664"/>
      <c r="K36" s="2664"/>
      <c r="L36" s="2664"/>
      <c r="M36" s="2664"/>
      <c r="N36" s="2664"/>
      <c r="O36" s="2670"/>
    </row>
    <row r="37" spans="1:15" ht="24" customHeight="1">
      <c r="A37" s="131"/>
      <c r="B37" s="865"/>
      <c r="C37" s="2665" t="s">
        <v>3645</v>
      </c>
      <c r="D37" s="2665"/>
      <c r="E37" s="2665"/>
      <c r="F37" s="2665"/>
      <c r="G37" s="2665"/>
      <c r="H37" s="2665"/>
      <c r="I37" s="2665"/>
      <c r="J37" s="2665"/>
      <c r="K37" s="2665"/>
      <c r="L37" s="2665"/>
      <c r="M37" s="2665"/>
      <c r="N37" s="2665"/>
      <c r="O37" s="2670"/>
    </row>
    <row r="38" spans="1:15" ht="25.95" customHeight="1">
      <c r="A38" s="131"/>
      <c r="B38" s="865"/>
      <c r="C38" s="2665" t="s">
        <v>3646</v>
      </c>
      <c r="D38" s="2665"/>
      <c r="E38" s="2665"/>
      <c r="F38" s="2665"/>
      <c r="G38" s="2665"/>
      <c r="H38" s="2665"/>
      <c r="I38" s="2665"/>
      <c r="J38" s="2665"/>
      <c r="K38" s="2665"/>
      <c r="L38" s="2665"/>
      <c r="M38" s="2665"/>
      <c r="N38" s="2665"/>
      <c r="O38" s="2670"/>
    </row>
    <row r="39" spans="1:15" ht="17.399999999999999" customHeight="1">
      <c r="A39" s="131"/>
      <c r="B39" s="864" t="s">
        <v>2408</v>
      </c>
      <c r="C39" s="2664" t="str">
        <f>'[1]II skyrius'!D56</f>
        <v>Tobulinti viešojo valdymo sistemą, didinti jos efektyvumą ir atvirumą</v>
      </c>
      <c r="D39" s="2664"/>
      <c r="E39" s="2664"/>
      <c r="F39" s="2664"/>
      <c r="G39" s="2664"/>
      <c r="H39" s="2664"/>
      <c r="I39" s="2664"/>
      <c r="J39" s="2664"/>
      <c r="K39" s="2664"/>
      <c r="L39" s="2664"/>
      <c r="M39" s="2664"/>
      <c r="N39" s="2664"/>
      <c r="O39" s="2670"/>
    </row>
    <row r="40" spans="1:15" ht="12" customHeight="1">
      <c r="A40" s="131"/>
      <c r="B40" s="865"/>
      <c r="C40" s="2665" t="s">
        <v>3647</v>
      </c>
      <c r="D40" s="2665"/>
      <c r="E40" s="2665"/>
      <c r="F40" s="2665"/>
      <c r="G40" s="2665"/>
      <c r="H40" s="2665"/>
      <c r="I40" s="2665"/>
      <c r="J40" s="2665"/>
      <c r="K40" s="2665"/>
      <c r="L40" s="2665"/>
      <c r="M40" s="2665"/>
      <c r="N40" s="2665"/>
      <c r="O40" s="2670"/>
    </row>
    <row r="41" spans="1:15" ht="14.4" customHeight="1">
      <c r="A41" s="131"/>
      <c r="B41" s="865"/>
      <c r="C41" s="2665" t="s">
        <v>2409</v>
      </c>
      <c r="D41" s="2665"/>
      <c r="E41" s="2665"/>
      <c r="F41" s="2665"/>
      <c r="G41" s="2665"/>
      <c r="H41" s="2665"/>
      <c r="I41" s="2665"/>
      <c r="J41" s="2665"/>
      <c r="K41" s="2665"/>
      <c r="L41" s="2665"/>
      <c r="M41" s="2665"/>
      <c r="N41" s="2665"/>
      <c r="O41" s="2670"/>
    </row>
    <row r="42" spans="1:15" ht="14.4" hidden="1" customHeight="1" thickBot="1">
      <c r="A42" s="131"/>
      <c r="B42" s="865"/>
      <c r="C42" s="2678" t="s">
        <v>3303</v>
      </c>
      <c r="D42" s="2678"/>
      <c r="E42" s="2678"/>
      <c r="F42" s="2678"/>
      <c r="G42" s="2678"/>
      <c r="H42" s="2678"/>
      <c r="I42" s="2678"/>
      <c r="J42" s="2678"/>
      <c r="K42" s="2678"/>
      <c r="L42" s="2678"/>
      <c r="M42" s="2678"/>
      <c r="N42" s="2678"/>
      <c r="O42" s="2670"/>
    </row>
    <row r="43" spans="1:15" ht="14.4" customHeight="1">
      <c r="A43" s="131"/>
      <c r="B43" s="863" t="s">
        <v>2535</v>
      </c>
      <c r="C43" s="2672" t="s">
        <v>2536</v>
      </c>
      <c r="D43" s="2672"/>
      <c r="E43" s="2672"/>
      <c r="F43" s="2672"/>
      <c r="G43" s="2672"/>
      <c r="H43" s="2672"/>
      <c r="I43" s="2672"/>
      <c r="J43" s="2672"/>
      <c r="K43" s="2672"/>
      <c r="L43" s="2672"/>
      <c r="M43" s="2672"/>
      <c r="N43" s="2672"/>
      <c r="O43" s="2670"/>
    </row>
    <row r="44" spans="1:15" ht="15" customHeight="1">
      <c r="A44" s="131"/>
      <c r="B44" s="864" t="s">
        <v>2410</v>
      </c>
      <c r="C44" s="2664" t="str">
        <f>'[1]II skyrius'!D64</f>
        <v>Vykdyti kryptingą darnaus judumo politiką savivaldybėje</v>
      </c>
      <c r="D44" s="2664"/>
      <c r="E44" s="2664"/>
      <c r="F44" s="2664"/>
      <c r="G44" s="2664"/>
      <c r="H44" s="2664"/>
      <c r="I44" s="2664"/>
      <c r="J44" s="2664"/>
      <c r="K44" s="2664"/>
      <c r="L44" s="2664"/>
      <c r="M44" s="2664"/>
      <c r="N44" s="2664"/>
      <c r="O44" s="2670"/>
    </row>
    <row r="45" spans="1:15" ht="10.95" customHeight="1">
      <c r="A45" s="131"/>
      <c r="B45" s="864"/>
      <c r="C45" s="2674" t="str">
        <f>'[1]II skyrius'!D65</f>
        <v>Skatinti bemotorio transporto pasirinkimą ir pėsčiųjų judumą</v>
      </c>
      <c r="D45" s="2674"/>
      <c r="E45" s="2674"/>
      <c r="F45" s="2674"/>
      <c r="G45" s="2674"/>
      <c r="H45" s="2674"/>
      <c r="I45" s="2674"/>
      <c r="J45" s="2674"/>
      <c r="K45" s="2674"/>
      <c r="L45" s="2674"/>
      <c r="M45" s="2674"/>
      <c r="N45" s="2674"/>
      <c r="O45" s="2670"/>
    </row>
    <row r="46" spans="1:15" ht="13.2" customHeight="1">
      <c r="A46" s="131"/>
      <c r="B46" s="865"/>
      <c r="C46" s="2665" t="s">
        <v>2411</v>
      </c>
      <c r="D46" s="2665"/>
      <c r="E46" s="2665"/>
      <c r="F46" s="2665"/>
      <c r="G46" s="2665"/>
      <c r="H46" s="2665"/>
      <c r="I46" s="2665"/>
      <c r="J46" s="2665"/>
      <c r="K46" s="2665"/>
      <c r="L46" s="2665"/>
      <c r="M46" s="2665"/>
      <c r="N46" s="2665"/>
      <c r="O46" s="2670"/>
    </row>
    <row r="47" spans="1:15" ht="12.6" hidden="1" customHeight="1">
      <c r="A47" s="131"/>
      <c r="B47" s="865"/>
      <c r="C47" s="2665" t="s">
        <v>2457</v>
      </c>
      <c r="D47" s="2665"/>
      <c r="E47" s="2665"/>
      <c r="F47" s="2665"/>
      <c r="G47" s="2665"/>
      <c r="H47" s="2665"/>
      <c r="I47" s="2665"/>
      <c r="J47" s="2665"/>
      <c r="K47" s="2665"/>
      <c r="L47" s="2665"/>
      <c r="M47" s="2665"/>
      <c r="N47" s="2665"/>
      <c r="O47" s="2670"/>
    </row>
    <row r="48" spans="1:15" ht="12.6" customHeight="1">
      <c r="A48" s="131"/>
      <c r="B48" s="865"/>
      <c r="C48" s="2665" t="s">
        <v>2412</v>
      </c>
      <c r="D48" s="2665"/>
      <c r="E48" s="2665"/>
      <c r="F48" s="2665"/>
      <c r="G48" s="2665"/>
      <c r="H48" s="2665"/>
      <c r="I48" s="2665"/>
      <c r="J48" s="2665"/>
      <c r="K48" s="2665"/>
      <c r="L48" s="2665"/>
      <c r="M48" s="2665"/>
      <c r="N48" s="2665"/>
      <c r="O48" s="2670"/>
    </row>
    <row r="49" spans="1:15">
      <c r="A49" s="131"/>
      <c r="B49" s="864" t="s">
        <v>2413</v>
      </c>
      <c r="C49" s="2664" t="str">
        <f>'[1]II skyrius'!D68</f>
        <v>Skatinti tvarų miesto teritorijos vystymą</v>
      </c>
      <c r="D49" s="2664"/>
      <c r="E49" s="2664"/>
      <c r="F49" s="2664"/>
      <c r="G49" s="2664"/>
      <c r="H49" s="2664"/>
      <c r="I49" s="2664"/>
      <c r="J49" s="2664"/>
      <c r="K49" s="2664"/>
      <c r="L49" s="2664"/>
      <c r="M49" s="2664"/>
      <c r="N49" s="2664"/>
      <c r="O49" s="2670"/>
    </row>
    <row r="50" spans="1:15" ht="13.2" customHeight="1">
      <c r="A50" s="131"/>
      <c r="B50" s="865"/>
      <c r="C50" s="2665" t="s">
        <v>2415</v>
      </c>
      <c r="D50" s="2665"/>
      <c r="E50" s="2665"/>
      <c r="F50" s="2665"/>
      <c r="G50" s="2665"/>
      <c r="H50" s="2665"/>
      <c r="I50" s="2665"/>
      <c r="J50" s="2665"/>
      <c r="K50" s="2665"/>
      <c r="L50" s="2665"/>
      <c r="M50" s="2665"/>
      <c r="N50" s="2665"/>
      <c r="O50" s="2670"/>
    </row>
    <row r="51" spans="1:15" ht="13.95" customHeight="1">
      <c r="A51" s="131"/>
      <c r="B51" s="865"/>
      <c r="C51" s="2673" t="s">
        <v>3648</v>
      </c>
      <c r="D51" s="2673"/>
      <c r="E51" s="2673"/>
      <c r="F51" s="2673"/>
      <c r="G51" s="2673"/>
      <c r="H51" s="2673"/>
      <c r="I51" s="2673"/>
      <c r="J51" s="2673"/>
      <c r="K51" s="2673"/>
      <c r="L51" s="2673"/>
      <c r="M51" s="2673"/>
      <c r="N51" s="2673"/>
      <c r="O51" s="2670"/>
    </row>
    <row r="52" spans="1:15">
      <c r="A52" s="131"/>
      <c r="B52" s="864" t="s">
        <v>2414</v>
      </c>
      <c r="C52" s="2664" t="str">
        <f>'[1]II skyrius'!D72</f>
        <v>Skatinti žaliąją savivaldybės plėtrą</v>
      </c>
      <c r="D52" s="2664"/>
      <c r="E52" s="2664"/>
      <c r="F52" s="2664"/>
      <c r="G52" s="2664"/>
      <c r="H52" s="2664"/>
      <c r="I52" s="2664"/>
      <c r="J52" s="2664"/>
      <c r="K52" s="2664"/>
      <c r="L52" s="2664"/>
      <c r="M52" s="2664"/>
      <c r="N52" s="2664"/>
      <c r="O52" s="2670"/>
    </row>
    <row r="53" spans="1:15" ht="13.2" customHeight="1">
      <c r="A53" s="131"/>
      <c r="B53" s="865"/>
      <c r="C53" s="2665" t="s">
        <v>4693</v>
      </c>
      <c r="D53" s="2665"/>
      <c r="E53" s="2665"/>
      <c r="F53" s="2665"/>
      <c r="G53" s="2665"/>
      <c r="H53" s="2665"/>
      <c r="I53" s="2665"/>
      <c r="J53" s="2665"/>
      <c r="K53" s="2665"/>
      <c r="L53" s="2665"/>
      <c r="M53" s="2665"/>
      <c r="N53" s="2665"/>
      <c r="O53" s="2670"/>
    </row>
    <row r="54" spans="1:15" ht="18.75" hidden="1" customHeight="1">
      <c r="A54" s="131"/>
      <c r="B54" s="865"/>
      <c r="C54" s="2665" t="s">
        <v>4330</v>
      </c>
      <c r="D54" s="2665"/>
      <c r="E54" s="2665"/>
      <c r="F54" s="2665"/>
      <c r="G54" s="2665"/>
      <c r="H54" s="2665"/>
      <c r="I54" s="2665"/>
      <c r="J54" s="2665"/>
      <c r="K54" s="2665"/>
      <c r="L54" s="2665"/>
      <c r="M54" s="2665"/>
      <c r="N54" s="2665"/>
      <c r="O54" s="2670"/>
    </row>
    <row r="55" spans="1:15" ht="24.6" customHeight="1" thickBot="1">
      <c r="A55" s="131"/>
      <c r="B55" s="867"/>
      <c r="C55" s="2654" t="s">
        <v>3649</v>
      </c>
      <c r="D55" s="2655"/>
      <c r="E55" s="2655"/>
      <c r="F55" s="2655"/>
      <c r="G55" s="2655"/>
      <c r="H55" s="2655"/>
      <c r="I55" s="2655"/>
      <c r="J55" s="2655"/>
      <c r="K55" s="2655"/>
      <c r="L55" s="2655"/>
      <c r="M55" s="2655"/>
      <c r="N55" s="2656"/>
      <c r="O55" s="2671"/>
    </row>
    <row r="56" spans="1:15" hidden="1">
      <c r="A56" s="131"/>
      <c r="B56" s="859"/>
      <c r="C56" s="859"/>
      <c r="D56" s="859"/>
      <c r="E56" s="859"/>
      <c r="F56" s="859"/>
      <c r="G56" s="859"/>
      <c r="H56" s="859"/>
      <c r="I56" s="859"/>
      <c r="J56" s="859"/>
      <c r="K56" s="859"/>
      <c r="L56" s="859"/>
      <c r="M56" s="859"/>
      <c r="N56" s="859"/>
      <c r="O56" s="860"/>
    </row>
  </sheetData>
  <sheetProtection algorithmName="SHA-512" hashValue="ApmRtqzoOQnOkVhO5YaIiOz3WRQro4jMBYpxENVV23g0WHwruzPXwR/At4Ls4o9TGtOAhu5RP4Rxv5DstAH4Pg==" saltValue="VJ/OycYviFUk6aHIXqKA4g==" spinCount="100000" sheet="1" objects="1" scenarios="1"/>
  <mergeCells count="54">
    <mergeCell ref="C42:N42"/>
    <mergeCell ref="C34:N34"/>
    <mergeCell ref="C36:N36"/>
    <mergeCell ref="C35:N35"/>
    <mergeCell ref="C32:N32"/>
    <mergeCell ref="C33:N33"/>
    <mergeCell ref="C7:N7"/>
    <mergeCell ref="C15:N15"/>
    <mergeCell ref="C17:N17"/>
    <mergeCell ref="C29:N29"/>
    <mergeCell ref="C31:N31"/>
    <mergeCell ref="C28:N28"/>
    <mergeCell ref="C26:N26"/>
    <mergeCell ref="C30:N30"/>
    <mergeCell ref="C27:N27"/>
    <mergeCell ref="C23:N23"/>
    <mergeCell ref="C14:N14"/>
    <mergeCell ref="C19:N19"/>
    <mergeCell ref="C20:N20"/>
    <mergeCell ref="C22:N22"/>
    <mergeCell ref="C18:N18"/>
    <mergeCell ref="C21:N21"/>
    <mergeCell ref="C53:N53"/>
    <mergeCell ref="C54:N54"/>
    <mergeCell ref="C41:N41"/>
    <mergeCell ref="C37:N37"/>
    <mergeCell ref="C38:N38"/>
    <mergeCell ref="C40:N40"/>
    <mergeCell ref="C39:N39"/>
    <mergeCell ref="C44:N44"/>
    <mergeCell ref="C49:N49"/>
    <mergeCell ref="C52:N52"/>
    <mergeCell ref="C47:N47"/>
    <mergeCell ref="C50:N50"/>
    <mergeCell ref="C51:N51"/>
    <mergeCell ref="C46:N46"/>
    <mergeCell ref="C48:N48"/>
    <mergeCell ref="C45:N45"/>
    <mergeCell ref="C55:N55"/>
    <mergeCell ref="B3:O3"/>
    <mergeCell ref="B4:O4"/>
    <mergeCell ref="C8:N8"/>
    <mergeCell ref="C11:N11"/>
    <mergeCell ref="C16:N16"/>
    <mergeCell ref="C6:N6"/>
    <mergeCell ref="C13:N13"/>
    <mergeCell ref="C9:N9"/>
    <mergeCell ref="C10:N10"/>
    <mergeCell ref="C12:N12"/>
    <mergeCell ref="C5:O5"/>
    <mergeCell ref="O6:O55"/>
    <mergeCell ref="C43:N43"/>
    <mergeCell ref="C24:N24"/>
    <mergeCell ref="C25:N25"/>
  </mergeCells>
  <pageMargins left="0.7" right="0.7" top="0.75" bottom="0.75" header="0.3" footer="0.3"/>
  <pageSetup paperSize="9" scale="6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E01DC-FC68-49B7-B2D7-D2255C50C2B6}">
  <dimension ref="D1:AK64"/>
  <sheetViews>
    <sheetView topLeftCell="D1" zoomScale="160" zoomScaleNormal="160" zoomScaleSheetLayoutView="106" workbookViewId="0">
      <selection activeCell="AO10" sqref="AO10"/>
    </sheetView>
  </sheetViews>
  <sheetFormatPr defaultColWidth="9.109375" defaultRowHeight="18" customHeight="1"/>
  <cols>
    <col min="1" max="3" width="0" style="103" hidden="1" customWidth="1"/>
    <col min="4" max="5" width="9.109375" style="103"/>
    <col min="6" max="6" width="8.33203125" style="103" customWidth="1"/>
    <col min="7" max="7" width="30.6640625" style="103" customWidth="1"/>
    <col min="8" max="11" width="15.6640625" style="103" hidden="1" customWidth="1"/>
    <col min="12" max="12" width="16.5546875" style="103" customWidth="1"/>
    <col min="13" max="13" width="6.77734375" style="103" hidden="1" customWidth="1"/>
    <col min="14" max="14" width="14.6640625" style="1492" hidden="1" customWidth="1"/>
    <col min="15" max="15" width="16.44140625" style="103" customWidth="1"/>
    <col min="16" max="16" width="16.44140625" style="1492" hidden="1" customWidth="1"/>
    <col min="17" max="17" width="16.44140625" style="103" customWidth="1"/>
    <col min="18" max="18" width="16.44140625" style="1492" hidden="1" customWidth="1"/>
    <col min="19" max="19" width="17.21875" style="283" hidden="1" customWidth="1"/>
    <col min="20" max="20" width="11.5546875" style="103" hidden="1" customWidth="1"/>
    <col min="21" max="21" width="5.21875" style="103" hidden="1" customWidth="1"/>
    <col min="22" max="22" width="12.109375" style="103" hidden="1" customWidth="1"/>
    <col min="23" max="23" width="11.5546875" style="103" hidden="1" customWidth="1"/>
    <col min="24" max="24" width="9.5546875" style="103" hidden="1" customWidth="1"/>
    <col min="25" max="25" width="19.6640625" style="103" hidden="1" customWidth="1"/>
    <col min="26" max="33" width="9.109375" style="103" hidden="1" customWidth="1"/>
    <col min="34" max="35" width="9.109375" style="103" customWidth="1"/>
    <col min="36" max="37" width="9.5546875" style="103" customWidth="1"/>
    <col min="38" max="38" width="9.109375" style="103" customWidth="1"/>
    <col min="39" max="16384" width="9.109375" style="103"/>
  </cols>
  <sheetData>
    <row r="1" spans="4:34" ht="18.600000000000001" customHeight="1" thickBot="1"/>
    <row r="2" spans="4:34" ht="7.8" customHeight="1">
      <c r="E2" s="2685"/>
      <c r="F2" s="2686"/>
      <c r="G2" s="2686"/>
      <c r="H2" s="2686"/>
      <c r="I2" s="2686"/>
      <c r="J2" s="2686"/>
      <c r="K2" s="2686"/>
      <c r="L2" s="2686"/>
      <c r="M2" s="2686"/>
      <c r="N2" s="2686"/>
      <c r="O2" s="2686"/>
      <c r="P2" s="2686"/>
      <c r="Q2" s="2686"/>
      <c r="R2" s="2686"/>
      <c r="S2" s="2686"/>
      <c r="T2" s="2686"/>
      <c r="U2" s="2686"/>
      <c r="V2" s="2686"/>
      <c r="W2" s="2686"/>
      <c r="X2" s="2686"/>
      <c r="Y2" s="2686"/>
      <c r="Z2" s="2686"/>
      <c r="AA2" s="2686"/>
      <c r="AB2" s="2686"/>
      <c r="AC2" s="2686"/>
      <c r="AD2" s="2686"/>
      <c r="AE2" s="2686"/>
      <c r="AF2" s="2686"/>
      <c r="AG2" s="2686"/>
      <c r="AH2" s="2687"/>
    </row>
    <row r="3" spans="4:34" ht="26.4" customHeight="1">
      <c r="E3" s="277"/>
      <c r="F3" s="2684" t="s">
        <v>3640</v>
      </c>
      <c r="G3" s="2684"/>
      <c r="H3" s="2684"/>
      <c r="I3" s="2684"/>
      <c r="J3" s="2684"/>
      <c r="K3" s="2684"/>
      <c r="L3" s="2684"/>
      <c r="M3" s="2684"/>
      <c r="N3" s="2684"/>
      <c r="O3" s="2684"/>
      <c r="P3" s="1773"/>
      <c r="Q3" s="824"/>
      <c r="R3" s="1773"/>
      <c r="AH3" s="832"/>
    </row>
    <row r="4" spans="4:34" ht="47.4" customHeight="1">
      <c r="E4" s="277"/>
      <c r="F4" s="2683" t="s">
        <v>3833</v>
      </c>
      <c r="G4" s="2683"/>
      <c r="H4" s="2683"/>
      <c r="I4" s="2683"/>
      <c r="J4" s="2683"/>
      <c r="K4" s="2683"/>
      <c r="L4" s="2683"/>
      <c r="M4" s="2683"/>
      <c r="N4" s="2683"/>
      <c r="O4" s="2683"/>
      <c r="P4" s="1774"/>
      <c r="Q4" s="1419"/>
      <c r="R4" s="1774"/>
      <c r="AH4" s="832"/>
    </row>
    <row r="5" spans="4:34" ht="13.2" customHeight="1">
      <c r="E5" s="277"/>
      <c r="F5" s="162"/>
      <c r="G5" s="162"/>
      <c r="H5" s="162"/>
      <c r="I5" s="162"/>
      <c r="J5" s="162"/>
      <c r="K5" s="162"/>
      <c r="L5" s="162"/>
      <c r="M5" s="162"/>
      <c r="N5" s="1759"/>
      <c r="O5" s="162"/>
      <c r="P5" s="1759"/>
      <c r="Q5" s="162"/>
      <c r="R5" s="1759"/>
      <c r="AH5" s="832"/>
    </row>
    <row r="6" spans="4:34" ht="31.8" customHeight="1">
      <c r="E6" s="277"/>
      <c r="F6" s="162"/>
      <c r="G6" s="162"/>
      <c r="H6" s="162"/>
      <c r="I6" s="162"/>
      <c r="J6" s="162"/>
      <c r="K6" s="162"/>
      <c r="L6" s="162"/>
      <c r="M6" s="162"/>
      <c r="N6" s="1759"/>
      <c r="O6" s="162"/>
      <c r="P6" s="1759"/>
      <c r="Q6" s="162"/>
      <c r="R6" s="1759"/>
      <c r="AH6" s="832"/>
    </row>
    <row r="7" spans="4:34" ht="22.8" customHeight="1">
      <c r="E7" s="277"/>
      <c r="F7" s="162"/>
      <c r="G7" s="162"/>
      <c r="H7" s="162"/>
      <c r="I7" s="162"/>
      <c r="J7" s="162"/>
      <c r="K7" s="162"/>
      <c r="L7" s="162"/>
      <c r="M7" s="162"/>
      <c r="N7" s="1759"/>
      <c r="O7" s="162"/>
      <c r="P7" s="1759"/>
      <c r="Q7" s="162"/>
      <c r="R7" s="1759"/>
      <c r="AH7" s="832"/>
    </row>
    <row r="8" spans="4:34" ht="28.2" customHeight="1">
      <c r="E8" s="277"/>
      <c r="F8" s="162"/>
      <c r="G8" s="162"/>
      <c r="H8" s="162"/>
      <c r="I8" s="162"/>
      <c r="J8" s="162"/>
      <c r="K8" s="162"/>
      <c r="L8" s="162"/>
      <c r="M8" s="162"/>
      <c r="N8" s="1759"/>
      <c r="O8" s="162"/>
      <c r="P8" s="1759"/>
      <c r="Q8" s="162"/>
      <c r="R8" s="1759"/>
      <c r="AH8" s="832"/>
    </row>
    <row r="9" spans="4:34" ht="33" customHeight="1">
      <c r="E9" s="277"/>
      <c r="AH9" s="832"/>
    </row>
    <row r="10" spans="4:34" ht="61.8" customHeight="1">
      <c r="E10" s="277"/>
      <c r="L10" s="162"/>
      <c r="M10" s="162"/>
      <c r="N10" s="1759"/>
      <c r="O10" s="162"/>
      <c r="P10" s="1759"/>
      <c r="Q10" s="162"/>
      <c r="R10" s="1759"/>
      <c r="AH10" s="832"/>
    </row>
    <row r="11" spans="4:34" ht="24" customHeight="1">
      <c r="E11" s="277"/>
      <c r="F11" s="2689" t="s">
        <v>3834</v>
      </c>
      <c r="G11" s="2689"/>
      <c r="H11" s="2689"/>
      <c r="I11" s="2689"/>
      <c r="J11" s="2689"/>
      <c r="K11" s="2689"/>
      <c r="L11" s="2689"/>
      <c r="M11" s="2689"/>
      <c r="N11" s="2689"/>
      <c r="O11" s="2689"/>
      <c r="P11" s="2689"/>
      <c r="Q11" s="2689"/>
      <c r="R11" s="2689"/>
      <c r="S11" s="2689"/>
      <c r="AH11" s="832"/>
    </row>
    <row r="12" spans="4:34" ht="47.4" customHeight="1">
      <c r="D12" s="278"/>
      <c r="E12" s="833"/>
      <c r="F12" s="846" t="s">
        <v>718</v>
      </c>
      <c r="G12" s="846" t="s">
        <v>719</v>
      </c>
      <c r="H12" s="847" t="s">
        <v>2417</v>
      </c>
      <c r="I12" s="2680" t="s">
        <v>2882</v>
      </c>
      <c r="J12" s="2680" t="s">
        <v>2883</v>
      </c>
      <c r="K12" s="847" t="s">
        <v>2418</v>
      </c>
      <c r="L12" s="847" t="s">
        <v>2419</v>
      </c>
      <c r="M12" s="847"/>
      <c r="N12" s="1760" t="s">
        <v>4060</v>
      </c>
      <c r="O12" s="848" t="s">
        <v>3483</v>
      </c>
      <c r="P12" s="1760" t="s">
        <v>4061</v>
      </c>
      <c r="Q12" s="848" t="s">
        <v>3832</v>
      </c>
      <c r="R12" s="1760" t="s">
        <v>4062</v>
      </c>
      <c r="U12" s="221"/>
      <c r="V12" s="221">
        <v>2025</v>
      </c>
      <c r="W12" s="221">
        <v>2026</v>
      </c>
      <c r="X12" s="221">
        <v>2027</v>
      </c>
      <c r="Y12" s="221">
        <v>2028</v>
      </c>
      <c r="Z12" s="274"/>
      <c r="AA12" s="274"/>
      <c r="AB12" s="274"/>
      <c r="AC12" s="274"/>
      <c r="AD12" s="274"/>
      <c r="AE12" s="274"/>
      <c r="AF12" s="274"/>
      <c r="AH12" s="832"/>
    </row>
    <row r="13" spans="4:34" ht="18" customHeight="1">
      <c r="D13" s="278"/>
      <c r="E13" s="833"/>
      <c r="F13" s="849">
        <v>1</v>
      </c>
      <c r="G13" s="849">
        <v>2</v>
      </c>
      <c r="H13" s="849">
        <v>3</v>
      </c>
      <c r="I13" s="2680"/>
      <c r="J13" s="2680"/>
      <c r="K13" s="849">
        <v>4</v>
      </c>
      <c r="L13" s="849">
        <v>5</v>
      </c>
      <c r="M13" s="849"/>
      <c r="N13" s="1761">
        <v>5</v>
      </c>
      <c r="O13" s="849">
        <v>5</v>
      </c>
      <c r="P13" s="1761">
        <v>5</v>
      </c>
      <c r="Q13" s="849">
        <v>5</v>
      </c>
      <c r="R13" s="1761">
        <v>5</v>
      </c>
      <c r="U13" s="221">
        <v>1</v>
      </c>
      <c r="V13" s="333">
        <f t="shared" ref="V13:V22" si="0">K14</f>
        <v>6147.3010000000004</v>
      </c>
      <c r="W13" s="333">
        <f t="shared" ref="W13:W22" si="1">L14</f>
        <v>6754.7480000000014</v>
      </c>
      <c r="X13" s="333">
        <f t="shared" ref="X13:X22" si="2">O14</f>
        <v>7219.5275000000011</v>
      </c>
      <c r="Y13" s="333">
        <f t="shared" ref="Y13:Y22" si="3">Q14</f>
        <v>7725.2131750000008</v>
      </c>
      <c r="Z13" s="280"/>
      <c r="AA13" s="280"/>
      <c r="AB13" s="280"/>
      <c r="AC13" s="280"/>
      <c r="AD13" s="280"/>
      <c r="AE13" s="280"/>
      <c r="AF13" s="280"/>
      <c r="AH13" s="832"/>
    </row>
    <row r="14" spans="4:34" ht="18" customHeight="1">
      <c r="D14" s="278"/>
      <c r="E14" s="833"/>
      <c r="F14" s="850">
        <v>1</v>
      </c>
      <c r="G14" s="844" t="s">
        <v>1699</v>
      </c>
      <c r="H14" s="851">
        <f>SUM('1 programa '!H218)</f>
        <v>5799.304000000001</v>
      </c>
      <c r="I14" s="852">
        <f t="shared" ref="I14:I24" si="4">K14/H14-1</f>
        <v>6.0006683560647867E-2</v>
      </c>
      <c r="J14" s="853">
        <f>SUM('1 programa '!J218)</f>
        <v>6358.1909999999998</v>
      </c>
      <c r="K14" s="851">
        <f>SUM('1 programa '!K218)</f>
        <v>6147.3010000000004</v>
      </c>
      <c r="L14" s="851">
        <f>SUM('1 programa '!L218)</f>
        <v>6754.7480000000014</v>
      </c>
      <c r="M14" s="852">
        <f>(L14-K14)/K14</f>
        <v>9.8815236149978822E-2</v>
      </c>
      <c r="N14" s="1762">
        <f>'1 programa '!M218</f>
        <v>6571.295000000001</v>
      </c>
      <c r="O14" s="851">
        <f>SUM('1 programa '!O218)</f>
        <v>7219.5275000000011</v>
      </c>
      <c r="P14" s="1762">
        <f>SUM('1 programa '!P218)</f>
        <v>6871.8489999999993</v>
      </c>
      <c r="Q14" s="851">
        <f>'1 programa '!Q218</f>
        <v>7725.2131750000008</v>
      </c>
      <c r="R14" s="1762">
        <f>'1 programa '!R218</f>
        <v>7005.5240000000013</v>
      </c>
      <c r="S14" s="826">
        <f>H14-'Suvestinė pagal FŠ'!DG7</f>
        <v>-1420.2235000000001</v>
      </c>
      <c r="U14" s="221">
        <v>2</v>
      </c>
      <c r="V14" s="333">
        <f t="shared" si="0"/>
        <v>24211.255000000001</v>
      </c>
      <c r="W14" s="333">
        <f t="shared" si="1"/>
        <v>23592.529000000002</v>
      </c>
      <c r="X14" s="333">
        <f t="shared" si="2"/>
        <v>22234.657749999998</v>
      </c>
      <c r="Y14" s="333">
        <f t="shared" si="3"/>
        <v>21967.733237499997</v>
      </c>
      <c r="Z14" s="280"/>
      <c r="AA14" s="280"/>
      <c r="AB14" s="280"/>
      <c r="AC14" s="280"/>
      <c r="AD14" s="280"/>
      <c r="AE14" s="280"/>
      <c r="AF14" s="280"/>
      <c r="AH14" s="832"/>
    </row>
    <row r="15" spans="4:34" ht="18" customHeight="1">
      <c r="D15" s="278"/>
      <c r="E15" s="833"/>
      <c r="F15" s="850">
        <v>2</v>
      </c>
      <c r="G15" s="844" t="s">
        <v>2877</v>
      </c>
      <c r="H15" s="851">
        <f>'2 programa '!H371</f>
        <v>21438.918999999998</v>
      </c>
      <c r="I15" s="852">
        <f t="shared" si="4"/>
        <v>0.12931323636233727</v>
      </c>
      <c r="J15" s="853">
        <f>'2 programa '!J371</f>
        <v>11458.420999999998</v>
      </c>
      <c r="K15" s="851">
        <f>'2 programa '!K371</f>
        <v>24211.255000000001</v>
      </c>
      <c r="L15" s="851">
        <f>'2 programa '!L371</f>
        <v>23592.529000000002</v>
      </c>
      <c r="M15" s="852">
        <f>(L15-K15)/K15</f>
        <v>-2.5555304753925343E-2</v>
      </c>
      <c r="N15" s="1762">
        <f>'2 programa '!M371</f>
        <v>21998.871999999999</v>
      </c>
      <c r="O15" s="851">
        <f>'2 programa '!O371</f>
        <v>22234.657749999998</v>
      </c>
      <c r="P15" s="1762">
        <f>'2 programa '!P371</f>
        <v>13625.101999999999</v>
      </c>
      <c r="Q15" s="851">
        <f>'2 programa '!Q371</f>
        <v>21967.733237499997</v>
      </c>
      <c r="R15" s="1762">
        <f>'2 programa '!R371</f>
        <v>20525.09</v>
      </c>
      <c r="S15" s="826">
        <f>H15-'Suvestinė pagal FŠ'!DG11</f>
        <v>-795.73875000000044</v>
      </c>
      <c r="U15" s="221">
        <v>3</v>
      </c>
      <c r="V15" s="333">
        <f t="shared" si="0"/>
        <v>1836.4610000000002</v>
      </c>
      <c r="W15" s="333">
        <f t="shared" si="1"/>
        <v>2423.0640000000003</v>
      </c>
      <c r="X15" s="333">
        <f t="shared" si="2"/>
        <v>1986.5150000000001</v>
      </c>
      <c r="Y15" s="333">
        <f t="shared" si="3"/>
        <v>2074.5632500000002</v>
      </c>
      <c r="Z15" s="280"/>
      <c r="AA15" s="280"/>
      <c r="AB15" s="280"/>
      <c r="AC15" s="280"/>
      <c r="AD15" s="280"/>
      <c r="AE15" s="280"/>
      <c r="AF15" s="280"/>
      <c r="AH15" s="832"/>
    </row>
    <row r="16" spans="4:34" ht="18" customHeight="1">
      <c r="D16" s="278"/>
      <c r="E16" s="833"/>
      <c r="F16" s="850">
        <v>3</v>
      </c>
      <c r="G16" s="844" t="s">
        <v>1860</v>
      </c>
      <c r="H16" s="851">
        <f>'+3 programa'!H89</f>
        <v>1600.8449999999998</v>
      </c>
      <c r="I16" s="852">
        <f t="shared" si="4"/>
        <v>0.14718226936399237</v>
      </c>
      <c r="J16" s="853">
        <f>'+3 programa'!J89</f>
        <v>178</v>
      </c>
      <c r="K16" s="851">
        <f>'+3 programa'!K89</f>
        <v>1836.4610000000002</v>
      </c>
      <c r="L16" s="851">
        <f>'+3 programa'!L89</f>
        <v>2423.0640000000003</v>
      </c>
      <c r="M16" s="852">
        <f>(L16-K16)/K16</f>
        <v>0.31942034162446137</v>
      </c>
      <c r="N16" s="1762">
        <f>'+3 programa'!M89</f>
        <v>2857.2440000000001</v>
      </c>
      <c r="O16" s="851">
        <f>'+3 programa'!O89</f>
        <v>1986.5150000000001</v>
      </c>
      <c r="P16" s="1762">
        <f>'+3 programa'!P89</f>
        <v>2496.2800000000002</v>
      </c>
      <c r="Q16" s="851">
        <f>'+3 programa'!Q89</f>
        <v>2074.5632500000002</v>
      </c>
      <c r="R16" s="1762">
        <f>'+3 programa'!R89</f>
        <v>2709.7550000000001</v>
      </c>
      <c r="S16" s="826">
        <f>H16-'Suvestinė pagal FŠ'!DG15</f>
        <v>-385.6700000000003</v>
      </c>
      <c r="U16" s="221">
        <v>4</v>
      </c>
      <c r="V16" s="333">
        <f t="shared" si="0"/>
        <v>2237.616</v>
      </c>
      <c r="W16" s="333">
        <f t="shared" si="1"/>
        <v>2612.5429999999997</v>
      </c>
      <c r="X16" s="333">
        <f t="shared" si="2"/>
        <v>2739.3395000000005</v>
      </c>
      <c r="Y16" s="333">
        <f t="shared" si="3"/>
        <v>2956.560375</v>
      </c>
      <c r="Z16" s="274"/>
      <c r="AA16" s="280"/>
      <c r="AB16" s="274"/>
      <c r="AC16" s="280"/>
      <c r="AD16" s="274"/>
      <c r="AE16" s="280"/>
      <c r="AF16" s="274"/>
      <c r="AH16" s="832"/>
    </row>
    <row r="17" spans="4:36" ht="23.25" customHeight="1">
      <c r="D17" s="278"/>
      <c r="E17" s="833"/>
      <c r="F17" s="850">
        <v>4</v>
      </c>
      <c r="G17" s="844" t="s">
        <v>1861</v>
      </c>
      <c r="H17" s="851">
        <f>'4 programa'!H130</f>
        <v>2002.1569999999999</v>
      </c>
      <c r="I17" s="852">
        <f t="shared" si="4"/>
        <v>0.11760266552523113</v>
      </c>
      <c r="J17" s="853">
        <f>'4 programa'!J130</f>
        <v>1981.18</v>
      </c>
      <c r="K17" s="851">
        <f>'4 programa'!K130</f>
        <v>2237.616</v>
      </c>
      <c r="L17" s="851">
        <f>'4 programa'!L130</f>
        <v>2612.5429999999997</v>
      </c>
      <c r="M17" s="852">
        <f t="shared" ref="M17:M40" si="5">(L17-K17)/K17</f>
        <v>0.16755645293919944</v>
      </c>
      <c r="N17" s="1762">
        <f>'4 programa'!M130</f>
        <v>2814.2949999999992</v>
      </c>
      <c r="O17" s="851">
        <f>'4 programa'!O130</f>
        <v>2739.3395000000005</v>
      </c>
      <c r="P17" s="1762">
        <f>'4 programa'!P130</f>
        <v>2759.7350000000001</v>
      </c>
      <c r="Q17" s="851">
        <f>'4 programa'!Q130</f>
        <v>2956.560375</v>
      </c>
      <c r="R17" s="1762">
        <f>'4 programa'!R130</f>
        <v>2831.9039999999995</v>
      </c>
      <c r="S17" s="826">
        <f>H17-'Suvestinė pagal FŠ'!DG19</f>
        <v>-737.18250000000057</v>
      </c>
      <c r="U17" s="221">
        <v>5</v>
      </c>
      <c r="V17" s="333">
        <f t="shared" si="0"/>
        <v>669.02500000000009</v>
      </c>
      <c r="W17" s="333">
        <f t="shared" si="1"/>
        <v>760.43</v>
      </c>
      <c r="X17" s="333">
        <f t="shared" si="2"/>
        <v>722.45399999999995</v>
      </c>
      <c r="Y17" s="333">
        <f t="shared" si="3"/>
        <v>560.70399999999995</v>
      </c>
      <c r="AH17" s="832"/>
    </row>
    <row r="18" spans="4:36" ht="18" customHeight="1">
      <c r="D18" s="278"/>
      <c r="E18" s="833"/>
      <c r="F18" s="850">
        <v>5</v>
      </c>
      <c r="G18" s="844" t="s">
        <v>1862</v>
      </c>
      <c r="H18" s="851">
        <f>'+5 programa'!H114</f>
        <v>331.95600000000002</v>
      </c>
      <c r="I18" s="852">
        <f t="shared" si="4"/>
        <v>1.015402643723867</v>
      </c>
      <c r="J18" s="853">
        <f>'+5 programa'!J114</f>
        <v>792</v>
      </c>
      <c r="K18" s="851">
        <f>'+5 programa'!K114</f>
        <v>669.02500000000009</v>
      </c>
      <c r="L18" s="851">
        <f>'+5 programa'!L114</f>
        <v>760.43</v>
      </c>
      <c r="M18" s="852">
        <f t="shared" si="5"/>
        <v>0.13662419192107894</v>
      </c>
      <c r="N18" s="1762">
        <f>'+5 programa'!M114</f>
        <v>804.03000000000009</v>
      </c>
      <c r="O18" s="851">
        <f>'+5 programa'!O114</f>
        <v>722.45399999999995</v>
      </c>
      <c r="P18" s="1762">
        <f>'+5 programa'!P114</f>
        <v>682.45399999999995</v>
      </c>
      <c r="Q18" s="851">
        <f>'+5 programa'!Q114</f>
        <v>560.70399999999995</v>
      </c>
      <c r="R18" s="1762">
        <f>'+5 programa'!R114</f>
        <v>574.70399999999995</v>
      </c>
      <c r="S18" s="826">
        <f>H18-'Suvestinė pagal FŠ'!DG23</f>
        <v>-390.49799999999993</v>
      </c>
      <c r="U18" s="221">
        <v>6</v>
      </c>
      <c r="V18" s="333">
        <f t="shared" si="0"/>
        <v>17768.559000000001</v>
      </c>
      <c r="W18" s="333">
        <f t="shared" si="1"/>
        <v>21427.352999999999</v>
      </c>
      <c r="X18" s="333">
        <f t="shared" si="2"/>
        <v>19970.692000000003</v>
      </c>
      <c r="Y18" s="333">
        <f t="shared" si="3"/>
        <v>17253.613600000001</v>
      </c>
      <c r="AH18" s="832"/>
    </row>
    <row r="19" spans="4:36" ht="18" customHeight="1">
      <c r="D19" s="278"/>
      <c r="E19" s="833"/>
      <c r="F19" s="850">
        <v>6</v>
      </c>
      <c r="G19" s="850" t="s">
        <v>1863</v>
      </c>
      <c r="H19" s="851">
        <f>'6 programa'!I289</f>
        <v>14477.561999999998</v>
      </c>
      <c r="I19" s="852">
        <f t="shared" si="4"/>
        <v>0.22731707175559013</v>
      </c>
      <c r="J19" s="853">
        <f>'6 programa'!K289</f>
        <v>16758.780999999999</v>
      </c>
      <c r="K19" s="851">
        <f>'6 programa'!L289</f>
        <v>17768.559000000001</v>
      </c>
      <c r="L19" s="851">
        <f>'6 programa'!M289</f>
        <v>21427.352999999999</v>
      </c>
      <c r="M19" s="852">
        <f t="shared" si="5"/>
        <v>0.20591394046078795</v>
      </c>
      <c r="N19" s="1762">
        <f>'6 programa'!N289</f>
        <v>20806.59</v>
      </c>
      <c r="O19" s="851">
        <f>'6 programa'!P289</f>
        <v>19970.692000000003</v>
      </c>
      <c r="P19" s="1762">
        <f>'6 programa'!Q289</f>
        <v>19456.852999999999</v>
      </c>
      <c r="Q19" s="851">
        <f>'6 programa'!R289</f>
        <v>17253.613600000001</v>
      </c>
      <c r="R19" s="1762">
        <f>'6 programa'!S289</f>
        <v>16948.684000000001</v>
      </c>
      <c r="S19" s="826">
        <f>H19-'Suvestinė pagal FŠ'!DG27</f>
        <v>-5493.1300000000047</v>
      </c>
      <c r="U19" s="221">
        <v>7</v>
      </c>
      <c r="V19" s="333">
        <f t="shared" si="0"/>
        <v>1808.8367319999998</v>
      </c>
      <c r="W19" s="333">
        <f t="shared" si="1"/>
        <v>2212.136</v>
      </c>
      <c r="X19" s="333">
        <f t="shared" si="2"/>
        <v>925.15300000000002</v>
      </c>
      <c r="Y19" s="333">
        <f t="shared" si="3"/>
        <v>719.26100000000008</v>
      </c>
      <c r="AH19" s="832"/>
    </row>
    <row r="20" spans="4:36" ht="21" customHeight="1">
      <c r="D20" s="278"/>
      <c r="E20" s="833"/>
      <c r="F20" s="850">
        <v>7</v>
      </c>
      <c r="G20" s="844" t="s">
        <v>1864</v>
      </c>
      <c r="H20" s="851" t="e">
        <f>'7 programa'!H177</f>
        <v>#REF!</v>
      </c>
      <c r="I20" s="852" t="e">
        <f t="shared" si="4"/>
        <v>#REF!</v>
      </c>
      <c r="J20" s="853">
        <f>'7 programa'!J177</f>
        <v>1621.9134640000002</v>
      </c>
      <c r="K20" s="851">
        <f>'7 programa'!K177</f>
        <v>1808.8367319999998</v>
      </c>
      <c r="L20" s="851">
        <f>'7 programa'!L177</f>
        <v>2212.136</v>
      </c>
      <c r="M20" s="852">
        <f t="shared" si="5"/>
        <v>0.22296056955570509</v>
      </c>
      <c r="N20" s="1762">
        <f>'7 programa'!M177</f>
        <v>2028.989</v>
      </c>
      <c r="O20" s="851">
        <f>'7 programa'!O177</f>
        <v>925.15300000000002</v>
      </c>
      <c r="P20" s="1762">
        <f>'7 programa'!P177</f>
        <v>916.86</v>
      </c>
      <c r="Q20" s="851">
        <f>'7 programa'!Q177</f>
        <v>719.26100000000008</v>
      </c>
      <c r="R20" s="1762">
        <f>'7 programa'!R177</f>
        <v>710.96799999999996</v>
      </c>
      <c r="S20" s="826" t="e">
        <f>H20-'Suvestinė pagal FŠ'!DG31</f>
        <v>#REF!</v>
      </c>
      <c r="U20" s="221">
        <v>8</v>
      </c>
      <c r="V20" s="333">
        <f t="shared" si="0"/>
        <v>5190.3639999999996</v>
      </c>
      <c r="W20" s="333">
        <f t="shared" si="1"/>
        <v>6117.924</v>
      </c>
      <c r="X20" s="333">
        <f t="shared" si="2"/>
        <v>6586.0839999999998</v>
      </c>
      <c r="Y20" s="333">
        <f t="shared" si="3"/>
        <v>5514.7174500000001</v>
      </c>
      <c r="AH20" s="832"/>
    </row>
    <row r="21" spans="4:36" ht="18" customHeight="1">
      <c r="D21" s="278"/>
      <c r="E21" s="833"/>
      <c r="F21" s="850">
        <v>8</v>
      </c>
      <c r="G21" s="844" t="s">
        <v>1865</v>
      </c>
      <c r="H21" s="851">
        <f>'8 programa'!H169</f>
        <v>4399.3050000000012</v>
      </c>
      <c r="I21" s="852">
        <f t="shared" si="4"/>
        <v>0.17981453888739196</v>
      </c>
      <c r="J21" s="853">
        <f>'8 programa'!J169</f>
        <v>4476.9369999999999</v>
      </c>
      <c r="K21" s="851">
        <f>'8 programa'!K169</f>
        <v>5190.3639999999996</v>
      </c>
      <c r="L21" s="851">
        <f>'8 programa'!L169</f>
        <v>6117.924</v>
      </c>
      <c r="M21" s="852">
        <f t="shared" si="5"/>
        <v>0.1787080829013149</v>
      </c>
      <c r="N21" s="1762">
        <f>'8 programa'!M169</f>
        <v>6110.0829999999996</v>
      </c>
      <c r="O21" s="851">
        <f>'8 programa'!O169</f>
        <v>6586.0839999999998</v>
      </c>
      <c r="P21" s="1762">
        <f>'8 programa'!P169</f>
        <v>6463.6180000000004</v>
      </c>
      <c r="Q21" s="851">
        <f>'8 programa'!Q169</f>
        <v>5514.7174500000001</v>
      </c>
      <c r="R21" s="1762">
        <f>'8 programa'!R169</f>
        <v>5509.7430000000004</v>
      </c>
      <c r="S21" s="826">
        <f>H21-'Suvestinė pagal FŠ'!DG35</f>
        <v>-2186.7789999999986</v>
      </c>
      <c r="U21" s="221">
        <v>9</v>
      </c>
      <c r="V21" s="333">
        <f t="shared" si="0"/>
        <v>2858.5156999999999</v>
      </c>
      <c r="W21" s="333">
        <f t="shared" si="1"/>
        <v>3319.0779999999995</v>
      </c>
      <c r="X21" s="333">
        <f t="shared" si="2"/>
        <v>6253.945999999999</v>
      </c>
      <c r="Y21" s="333">
        <f t="shared" si="3"/>
        <v>3741.8110000000001</v>
      </c>
      <c r="AH21" s="832"/>
    </row>
    <row r="22" spans="4:36" ht="18" customHeight="1">
      <c r="D22" s="278"/>
      <c r="E22" s="833"/>
      <c r="F22" s="850">
        <v>9</v>
      </c>
      <c r="G22" s="844" t="s">
        <v>1866</v>
      </c>
      <c r="H22" s="851">
        <f>SUM('+9 programa'!E209)</f>
        <v>2019.7590000000002</v>
      </c>
      <c r="I22" s="852">
        <f t="shared" si="4"/>
        <v>0.41527563437023907</v>
      </c>
      <c r="J22" s="853">
        <f>SUM('+9 programa'!G209)</f>
        <v>2169.125</v>
      </c>
      <c r="K22" s="851">
        <f>SUM('+9 programa'!H209)</f>
        <v>2858.5156999999999</v>
      </c>
      <c r="L22" s="851">
        <f>SUM('+9 programa'!I209)</f>
        <v>3319.0779999999995</v>
      </c>
      <c r="M22" s="852">
        <f t="shared" si="5"/>
        <v>0.16111938793969177</v>
      </c>
      <c r="N22" s="1762">
        <f>'+9 programa'!J209</f>
        <v>3239.7010000000009</v>
      </c>
      <c r="O22" s="851">
        <f>SUM('+9 programa'!L209)</f>
        <v>6253.945999999999</v>
      </c>
      <c r="P22" s="1762">
        <f>SUM('+9 programa'!M209)</f>
        <v>6193.4470000000001</v>
      </c>
      <c r="Q22" s="851">
        <f>'+9 programa'!N209</f>
        <v>3741.8110000000001</v>
      </c>
      <c r="R22" s="1762">
        <f>'+9 programa'!O209</f>
        <v>3688.893</v>
      </c>
      <c r="S22" s="827">
        <f>H22-'Suvestinė pagal FŠ'!DG39</f>
        <v>-4234.186999999999</v>
      </c>
      <c r="U22" s="221">
        <v>10</v>
      </c>
      <c r="V22" s="333">
        <f t="shared" si="0"/>
        <v>8961.0960000000014</v>
      </c>
      <c r="W22" s="333">
        <f t="shared" si="1"/>
        <v>9501.9429999999993</v>
      </c>
      <c r="X22" s="333">
        <f t="shared" si="2"/>
        <v>18925.560500000003</v>
      </c>
      <c r="Y22" s="333">
        <f t="shared" si="3"/>
        <v>13893.030475</v>
      </c>
      <c r="AH22" s="832"/>
    </row>
    <row r="23" spans="4:36" ht="18" customHeight="1">
      <c r="D23" s="278"/>
      <c r="E23" s="833"/>
      <c r="F23" s="850">
        <v>10</v>
      </c>
      <c r="G23" s="844" t="s">
        <v>1867</v>
      </c>
      <c r="H23" s="851" t="e">
        <f>'10 programa'!H297</f>
        <v>#REF!</v>
      </c>
      <c r="I23" s="852" t="e">
        <f t="shared" si="4"/>
        <v>#REF!</v>
      </c>
      <c r="J23" s="853">
        <f>'10 programa'!J297</f>
        <v>6900.2710000000006</v>
      </c>
      <c r="K23" s="851">
        <f>'10 programa'!K297</f>
        <v>8961.0960000000014</v>
      </c>
      <c r="L23" s="851">
        <f>'10 programa'!L297</f>
        <v>9501.9429999999993</v>
      </c>
      <c r="M23" s="852">
        <f t="shared" si="5"/>
        <v>6.0355005682340403E-2</v>
      </c>
      <c r="N23" s="1762">
        <f>'10 programa'!M297</f>
        <v>12741.474</v>
      </c>
      <c r="O23" s="851">
        <f>'10 programa'!O297</f>
        <v>18925.560500000003</v>
      </c>
      <c r="P23" s="1762">
        <f>'10 programa'!P297</f>
        <v>18532.589</v>
      </c>
      <c r="Q23" s="851">
        <f>'10 programa'!Q297</f>
        <v>13893.030475</v>
      </c>
      <c r="R23" s="1762">
        <f>'10 programa'!R297</f>
        <v>13807.419</v>
      </c>
      <c r="S23" s="826" t="e">
        <f>H23-'Suvestinė pagal FŠ'!DG43</f>
        <v>#REF!</v>
      </c>
      <c r="V23" s="281"/>
      <c r="Z23" s="281"/>
      <c r="AH23" s="832"/>
    </row>
    <row r="24" spans="4:36" ht="18" customHeight="1">
      <c r="D24" s="278"/>
      <c r="E24" s="833"/>
      <c r="F24" s="1404"/>
      <c r="G24" s="1405" t="s">
        <v>1067</v>
      </c>
      <c r="H24" s="1406" t="e">
        <f>SUM(H14:H23)</f>
        <v>#REF!</v>
      </c>
      <c r="I24" s="1407" t="e">
        <f t="shared" si="4"/>
        <v>#REF!</v>
      </c>
      <c r="J24" s="1408">
        <f>SUM(J14:J23)</f>
        <v>52694.819463999993</v>
      </c>
      <c r="K24" s="1406">
        <f>SUM(K14:K23)</f>
        <v>71689.02943200001</v>
      </c>
      <c r="L24" s="1406">
        <f t="shared" ref="L24:R24" si="6">SUM(L14:L23)</f>
        <v>78721.747999999992</v>
      </c>
      <c r="M24" s="1950">
        <f>(L24-K24)/K24</f>
        <v>9.8100345669637004E-2</v>
      </c>
      <c r="N24" s="1406">
        <f>SUM(N14:N23)</f>
        <v>79972.573000000004</v>
      </c>
      <c r="O24" s="1406">
        <f>SUM(O14:O23)</f>
        <v>87563.929250000001</v>
      </c>
      <c r="P24" s="1763">
        <f t="shared" si="6"/>
        <v>77998.787000000011</v>
      </c>
      <c r="Q24" s="1406">
        <f>SUM(Q14:Q23)</f>
        <v>76407.2075625</v>
      </c>
      <c r="R24" s="1406">
        <f t="shared" si="6"/>
        <v>74312.683999999994</v>
      </c>
      <c r="S24" s="826"/>
      <c r="V24" s="281"/>
      <c r="Z24" s="281"/>
      <c r="AH24" s="832"/>
    </row>
    <row r="25" spans="4:36" ht="18" customHeight="1">
      <c r="D25" s="278"/>
      <c r="E25" s="833"/>
      <c r="F25" s="2688" t="s">
        <v>720</v>
      </c>
      <c r="G25" s="2688"/>
      <c r="H25" s="1409" t="e">
        <f>SUM(H27,H29,H34,H35,H36,H37,)</f>
        <v>#REF!</v>
      </c>
      <c r="I25" s="1409"/>
      <c r="J25" s="1410">
        <f t="shared" ref="J25" si="7">SUM(J27,J29,J34,J35,J36,J37,)</f>
        <v>45131.928464000004</v>
      </c>
      <c r="K25" s="1409">
        <f>SUM(K27,K29,K34,K35,K36,K37,)</f>
        <v>64146.138432000007</v>
      </c>
      <c r="L25" s="1409">
        <f>SUM(L27,L29,L34,L35,L36,L37,)</f>
        <v>70433.225999999995</v>
      </c>
      <c r="M25" s="852">
        <f>(L25-K25)/K25</f>
        <v>9.8011941508603817E-2</v>
      </c>
      <c r="N25" s="1764">
        <f>SUM(N27,N29,N34,N35,N36,N37,)</f>
        <v>72097.87000000001</v>
      </c>
      <c r="O25" s="1409">
        <f t="shared" ref="O25:Q25" si="8">SUM(O27,O29,O34,O35,O36,O37,)</f>
        <v>79108.208249999996</v>
      </c>
      <c r="P25" s="1764">
        <f t="shared" si="8"/>
        <v>70329.673999999999</v>
      </c>
      <c r="Q25" s="1873">
        <f t="shared" si="8"/>
        <v>68403.437562499996</v>
      </c>
      <c r="R25" s="1764">
        <f>SUM(R27,R29,R34,R35,R36,R37,)</f>
        <v>66873.559000000008</v>
      </c>
      <c r="V25" s="281"/>
      <c r="Z25" s="281"/>
      <c r="AH25" s="832"/>
    </row>
    <row r="26" spans="4:36" ht="18" customHeight="1">
      <c r="D26" s="278"/>
      <c r="E26" s="833"/>
      <c r="F26" s="2674" t="s">
        <v>721</v>
      </c>
      <c r="G26" s="2674"/>
      <c r="H26" s="838"/>
      <c r="I26" s="838"/>
      <c r="J26" s="854"/>
      <c r="K26" s="838"/>
      <c r="L26" s="838"/>
      <c r="M26" s="852"/>
      <c r="N26" s="1765"/>
      <c r="O26" s="1816"/>
      <c r="P26" s="1765"/>
      <c r="Q26" s="1874"/>
      <c r="R26" s="1765"/>
      <c r="T26" s="281"/>
      <c r="Z26" s="281"/>
      <c r="AH26" s="832"/>
      <c r="AJ26" s="281"/>
    </row>
    <row r="27" spans="4:36" ht="21" customHeight="1">
      <c r="D27" s="278"/>
      <c r="E27" s="833"/>
      <c r="F27" s="2674" t="s">
        <v>3588</v>
      </c>
      <c r="G27" s="2674"/>
      <c r="H27" s="839" t="e">
        <f>SUM('1 programa '!H209,'2 programa '!H361,'+3 programa'!H80,'4 programa'!H122,'+5 programa'!H107,'6 programa'!I280,'7 programa'!H168,'8 programa'!H160,'+9 programa'!E200,'10 programa'!H290)</f>
        <v>#REF!</v>
      </c>
      <c r="I27" s="855" t="e">
        <f>K27/H27-1</f>
        <v>#REF!</v>
      </c>
      <c r="J27" s="856">
        <f>SUM('1 programa '!J209,'2 programa '!J361,'+3 programa'!J80,'4 programa'!J122,'+5 programa'!J107,'6 programa'!K280,'7 programa'!J168,'8 programa'!J160,'+9 programa'!G200,'10 programa'!J290)</f>
        <v>29348.839732</v>
      </c>
      <c r="K27" s="839">
        <f>SUM('1 programa '!K209,'2 programa '!K361,'+3 programa'!K80,'4 programa'!K122,'+5 programa'!K107,'6 programa'!L280,'7 programa'!K168,'8 programa'!K160,'+9 programa'!H200,'10 programa'!K290)</f>
        <v>29317.726999999999</v>
      </c>
      <c r="L27" s="839">
        <f>SUM('1 programa '!L209,'2 programa '!L361,'+3 programa'!L80,'4 programa'!L122,'+5 programa'!L107,'6 programa'!M280,'7 programa'!L168,'8 programa'!L160,'+9 programa'!I200,'10 programa'!L290)</f>
        <v>32017.370000000003</v>
      </c>
      <c r="M27" s="2529">
        <f>(L27-K27)/K27</f>
        <v>9.2082275000377883E-2</v>
      </c>
      <c r="N27" s="1766">
        <f>SUM('1 programa '!M209,'2 programa '!M361,'+3 programa'!M80,'4 programa'!M122,'+5 programa'!M107,'6 programa'!N280,'7 programa'!M168,'8 programa'!M160,'+9 programa'!J200,'10 programa'!M290)</f>
        <v>45626.143000000004</v>
      </c>
      <c r="O27" s="839">
        <f>SUM('1 programa '!O209,'2 programa '!O361,'+3 programa'!O80,'4 programa'!O122,'+5 programa'!O107,'6 programa'!P280,'7 programa'!O168,'8 programa'!O160,'+9 programa'!L200,'10 programa'!O290)</f>
        <v>47377.358250000005</v>
      </c>
      <c r="P27" s="1766">
        <f>SUM('1 programa '!P209,'2 programa '!P361,'+3 programa'!P80,'4 programa'!P122,'+5 programa'!P107,'6 programa'!Q280,'7 programa'!P168,'8 programa'!P160,'+9 programa'!M200,'10 programa'!P290)</f>
        <v>42614.544000000002</v>
      </c>
      <c r="Q27" s="2530">
        <f>SUM('1 programa '!Q209,'2 programa '!Q361,'+3 programa'!Q80,'4 programa'!Q122,'+5 programa'!Q107,'6 programa'!R280,'7 programa'!Q168,'8 programa'!Q160,'+9 programa'!N200,'10 programa'!Q290)</f>
        <v>46461.029562499993</v>
      </c>
      <c r="R27" s="1766">
        <f>SUM('1 programa '!R209,'2 programa '!R361,'+3 programa'!R80,'4 programa'!R122,'+5 programa'!R107,'6 programa'!S280,'7 programa'!R168,'8 programa'!R160,'+9 programa'!O200,'10 programa'!R290)</f>
        <v>44778.561999999998</v>
      </c>
      <c r="S27" s="828"/>
      <c r="T27" s="281"/>
      <c r="U27" s="281"/>
      <c r="V27" s="281"/>
      <c r="W27" s="281"/>
      <c r="Z27" s="281"/>
      <c r="AH27" s="832"/>
      <c r="AJ27" s="281"/>
    </row>
    <row r="28" spans="4:36" ht="23.4" customHeight="1">
      <c r="D28" s="278"/>
      <c r="E28" s="833"/>
      <c r="F28" s="2679" t="s">
        <v>3715</v>
      </c>
      <c r="G28" s="2679"/>
      <c r="H28" s="841">
        <f>'7 programa'!H169+'8 programa'!H161</f>
        <v>58</v>
      </c>
      <c r="I28" s="857">
        <f>K28/H28-1</f>
        <v>1.2125344827586209</v>
      </c>
      <c r="J28" s="858"/>
      <c r="K28" s="841">
        <f>SUM('7 programa'!K169,'7 programa'!K170,'8 programa'!K161,'8 programa'!K162,)</f>
        <v>128.327</v>
      </c>
      <c r="L28" s="841">
        <f>SUM('7 programa'!L169,'7 programa'!L170,'8 programa'!L161,'8 programa'!L162,)</f>
        <v>92.87</v>
      </c>
      <c r="M28" s="2529">
        <f t="shared" si="5"/>
        <v>-0.27630194736883112</v>
      </c>
      <c r="N28" s="841">
        <f>SUM('8 programa'!M161,'8 programa'!M162,'7 programa'!M169,'7 programa'!M170,)</f>
        <v>112.64999999999999</v>
      </c>
      <c r="O28" s="841">
        <f>SUM('7 programa'!O169,'7 programa'!O170,'8 programa'!O161,'8 programa'!O162,)</f>
        <v>87.2</v>
      </c>
      <c r="P28" s="1767">
        <f>SUM('7 programa'!O169,'7 programa'!O170,'8 programa'!O161,'8 programa'!O162,)</f>
        <v>87.2</v>
      </c>
      <c r="Q28" s="2531">
        <f>SUM('7 programa'!Q169,'7 programa'!Q170,'8 programa'!Q161,'8 programa'!Q162,)</f>
        <v>87.2</v>
      </c>
      <c r="R28" s="1767">
        <f>SUM('7 programa'!Q169,'7 programa'!Q170,'8 programa'!Q161,'8 programa'!Q162,)</f>
        <v>87.2</v>
      </c>
      <c r="T28" s="281"/>
      <c r="U28" s="281"/>
      <c r="V28" s="1423"/>
      <c r="W28" s="281"/>
      <c r="AH28" s="832"/>
    </row>
    <row r="29" spans="4:36" ht="18" customHeight="1">
      <c r="D29" s="278"/>
      <c r="E29" s="833"/>
      <c r="F29" s="2681" t="s">
        <v>3589</v>
      </c>
      <c r="G29" s="2681"/>
      <c r="H29" s="2362">
        <f>SUM('1 programa '!H210,,'2 programa '!H362,'+3 programa'!H81,'4 programa'!H123,'+5 programa'!H108,'6 programa'!I281,'7 programa'!H171,'8 programa'!H163,'+9 programa'!E201,'10 programa'!H291)</f>
        <v>13182.072000000002</v>
      </c>
      <c r="I29" s="2363">
        <f>K29/H29-1</f>
        <v>0.18299566259386224</v>
      </c>
      <c r="J29" s="2362">
        <f>SUM('1 programa '!J210,,'2 programa '!J362,'+3 programa'!J81,'4 programa'!J123,'+5 programa'!J108,'6 programa'!K281,'7 programa'!J171,'8 programa'!J163,'+9 programa'!G201,'10 programa'!J291)</f>
        <v>3321.3269999999998</v>
      </c>
      <c r="K29" s="2532">
        <f>SUM('1 programa '!K210,,'2 programa '!K362,'+3 programa'!K81,'4 programa'!K123,'+5 programa'!K108,'6 programa'!L281,'7 programa'!K171,'8 programa'!K163,'+9 programa'!H201,'10 programa'!K291)</f>
        <v>15594.334000000001</v>
      </c>
      <c r="L29" s="2532">
        <f>SUM(L30,L31,L32,L33)</f>
        <v>16302.986999999997</v>
      </c>
      <c r="M29" s="2529">
        <f t="shared" si="5"/>
        <v>4.5442979482162985E-2</v>
      </c>
      <c r="N29" s="1869">
        <f>SUM(N30,N31,N32,N33,)</f>
        <v>15732.023000000001</v>
      </c>
      <c r="O29" s="2532">
        <f>SUM(O30,O31,O32,O33,)</f>
        <v>16302.986999999997</v>
      </c>
      <c r="P29" s="1869">
        <f t="shared" ref="P29" si="9">SUM(P30,P31,P32,P33,)</f>
        <v>14782.240999999998</v>
      </c>
      <c r="Q29" s="2533">
        <f>SUM(Q30,Q31,Q32,Q33,)</f>
        <v>16302.986999999997</v>
      </c>
      <c r="R29" s="1869">
        <f>SUM(R30,R31,R32,R33,)</f>
        <v>16743.878000000001</v>
      </c>
      <c r="U29" s="281"/>
      <c r="V29" s="281"/>
      <c r="W29" s="281"/>
      <c r="Z29" s="1422"/>
      <c r="AH29" s="832"/>
      <c r="AJ29" s="281"/>
    </row>
    <row r="30" spans="4:36" ht="21" customHeight="1">
      <c r="D30" s="278"/>
      <c r="E30" s="833"/>
      <c r="F30" s="2679" t="s">
        <v>3590</v>
      </c>
      <c r="G30" s="2679"/>
      <c r="H30" s="2331"/>
      <c r="I30" s="2364"/>
      <c r="J30" s="2332"/>
      <c r="K30" s="2534">
        <f>SUM('1 programa '!K211,'6 programa'!L282,'7 programa'!K171,'+9 programa'!H202,)</f>
        <v>2613.384</v>
      </c>
      <c r="L30" s="2534">
        <f>SUM('1 programa '!L211,'6 programa'!M282,'7 programa'!L171,'+9 programa'!I202,)</f>
        <v>3033.4839999999995</v>
      </c>
      <c r="M30" s="2529">
        <f t="shared" si="5"/>
        <v>0.16074943444974005</v>
      </c>
      <c r="N30" s="1769">
        <f>SUM('1 programa '!M211,'6 programa'!N282,'7 programa'!M171,'+9 programa'!J202,)</f>
        <v>3160.1570000000002</v>
      </c>
      <c r="O30" s="2534">
        <f>SUM('1 programa '!O211,'6 programa'!P282,'7 programa'!O171,'8 programa'!O163,'+9 programa'!L202)</f>
        <v>3033.4839999999995</v>
      </c>
      <c r="P30" s="1769">
        <f>SUM('1 programa '!P211,'6 programa'!Q282,'7 programa'!P171,'8 programa'!P163,'+9 programa'!M202)</f>
        <v>3240.2139999999999</v>
      </c>
      <c r="Q30" s="2535">
        <f>SUM('1 programa '!Q211,'6 programa'!R282,'7 programa'!Q171,'8 programa'!Q163,'+9 programa'!N202)</f>
        <v>3033.4839999999995</v>
      </c>
      <c r="R30" s="1769">
        <f>SUM('1 programa '!R211,'6 programa'!S282,'7 programa'!R171,'8 programa'!R163,'+9 programa'!O202)</f>
        <v>3283.8119999999999</v>
      </c>
      <c r="U30" s="281"/>
      <c r="V30" s="281"/>
      <c r="W30" s="281"/>
      <c r="AH30" s="832"/>
      <c r="AJ30" s="281"/>
    </row>
    <row r="31" spans="4:36" ht="18" customHeight="1">
      <c r="D31" s="278"/>
      <c r="E31" s="833"/>
      <c r="F31" s="2679" t="s">
        <v>3560</v>
      </c>
      <c r="G31" s="2679"/>
      <c r="H31" s="2331"/>
      <c r="I31" s="2364"/>
      <c r="J31" s="2332"/>
      <c r="K31" s="2534">
        <f>SUM('2 programa '!K363,'+3 programa'!K82)</f>
        <v>10540</v>
      </c>
      <c r="L31" s="2534">
        <f>SUM('2 programa '!L363,'+3 programa'!L82)</f>
        <v>11317.699999999999</v>
      </c>
      <c r="M31" s="2529">
        <f t="shared" si="5"/>
        <v>7.3785578747627978E-2</v>
      </c>
      <c r="N31" s="1769">
        <f>SUM('2 programa '!M363,'+3 programa'!M82)</f>
        <v>10697.184999999999</v>
      </c>
      <c r="O31" s="2534">
        <f>SUM('2 programa '!O363,'+3 programa'!O82)</f>
        <v>11317.699999999999</v>
      </c>
      <c r="P31" s="1769">
        <f>SUM('2 programa '!P363,'+3 programa'!P81)</f>
        <v>9758.3399999999983</v>
      </c>
      <c r="Q31" s="2535">
        <f>SUM('2 programa '!Q363,'+3 programa'!Q82)</f>
        <v>11317.699999999999</v>
      </c>
      <c r="R31" s="1769">
        <f>SUM('2 programa '!R363,'+3 programa'!R81)</f>
        <v>11591.867000000002</v>
      </c>
      <c r="T31" s="281"/>
      <c r="U31" s="281"/>
      <c r="V31" s="281"/>
      <c r="W31" s="281"/>
      <c r="AH31" s="832"/>
      <c r="AJ31" s="281"/>
    </row>
    <row r="32" spans="4:36" ht="42.75" customHeight="1">
      <c r="D32" s="278"/>
      <c r="E32" s="833"/>
      <c r="F32" s="2679" t="s">
        <v>3591</v>
      </c>
      <c r="G32" s="2679"/>
      <c r="H32" s="2331"/>
      <c r="I32" s="2364"/>
      <c r="J32" s="2332"/>
      <c r="K32" s="2534">
        <f>SUM('2 programa '!K364)</f>
        <v>40.200000000000003</v>
      </c>
      <c r="L32" s="2534">
        <f>SUM('2 programa '!L364)</f>
        <v>35.799999999999997</v>
      </c>
      <c r="M32" s="2529">
        <f>(L32-K32)/K32</f>
        <v>-0.1094527363184081</v>
      </c>
      <c r="N32" s="1769">
        <f>SUM('2 programa '!M364)</f>
        <v>41.1</v>
      </c>
      <c r="O32" s="2534">
        <f>'2 programa '!O364</f>
        <v>35.799999999999997</v>
      </c>
      <c r="P32" s="1769">
        <f>'2 programa '!P364</f>
        <v>35.799999999999997</v>
      </c>
      <c r="Q32" s="2535">
        <f>'2 programa '!Q364</f>
        <v>35.799999999999997</v>
      </c>
      <c r="R32" s="1769">
        <f>'2 programa '!R364</f>
        <v>45.4</v>
      </c>
      <c r="U32" s="281">
        <f>L27+L37+L36</f>
        <v>43818.048000000003</v>
      </c>
      <c r="V32" s="281"/>
      <c r="W32" s="281"/>
      <c r="Z32" s="281"/>
      <c r="AH32" s="832"/>
      <c r="AJ32" s="281"/>
    </row>
    <row r="33" spans="4:37" ht="18" customHeight="1">
      <c r="D33" s="278"/>
      <c r="E33" s="833"/>
      <c r="F33" s="2679" t="s">
        <v>3592</v>
      </c>
      <c r="G33" s="2679"/>
      <c r="H33" s="2331"/>
      <c r="I33" s="2364"/>
      <c r="J33" s="2332"/>
      <c r="K33" s="2534">
        <f>SUM('1 programa '!K212,'2 programa '!K365,'4 programa'!K123,'+5 programa'!K108,'6 programa'!L283,'+9 programa'!H203,'10 programa'!K291)</f>
        <v>2400.75</v>
      </c>
      <c r="L33" s="2534">
        <f>SUM('1 programa '!L212,'2 programa '!L365,'4 programa'!L123,'+5 programa'!L108,'6 programa'!M283,'+9 programa'!I203,'10 programa'!L291,'+3 programa'!L83)</f>
        <v>1916.0029999999999</v>
      </c>
      <c r="M33" s="2529">
        <f t="shared" si="5"/>
        <v>-0.20191481828595234</v>
      </c>
      <c r="N33" s="1769">
        <f>SUM('1 programa '!M212,'2 programa '!M364,'+3 programa'!M83,'4 programa'!M124,'+5 programa'!M108,'6 programa'!N283,'+9 programa'!J203,'10 programa'!M291,)</f>
        <v>1833.5810000000001</v>
      </c>
      <c r="O33" s="2534">
        <f>SUM('1 programa '!O212,'2 programa '!O365,'+3 programa'!O83,'4 programa'!O123,'+5 programa'!O108,'6 programa'!P283,'+9 programa'!L203,'10 programa'!O291)</f>
        <v>1916.0029999999999</v>
      </c>
      <c r="P33" s="2534">
        <f>SUM('1 programa '!P212,'2 programa '!P364,'+3 programa'!P83,'4 programa'!P124,'+5 programa'!P108,'6 programa'!Q283,'+9 programa'!M203,'10 programa'!P291)</f>
        <v>1747.8869999999999</v>
      </c>
      <c r="Q33" s="2534">
        <f>SUM('1 programa '!Q212,'2 programa '!Q365,'+3 programa'!Q83,'4 programa'!Q123,'+5 programa'!Q108,'6 programa'!R283,'+9 programa'!N203,'10 programa'!Q291)</f>
        <v>1916.0029999999999</v>
      </c>
      <c r="R33" s="1769">
        <f>SUM('1 programa '!R212,'2 programa '!R365,'4 programa'!R123,'+5 programa'!R108,'6 programa'!S283,'+9 programa'!O203,'10 programa'!R291)</f>
        <v>1822.799</v>
      </c>
      <c r="S33" s="283" t="s">
        <v>4444</v>
      </c>
      <c r="T33" s="281"/>
      <c r="U33" s="281"/>
      <c r="V33" s="281"/>
      <c r="W33" s="281"/>
      <c r="AH33" s="832"/>
      <c r="AJ33" s="281"/>
    </row>
    <row r="34" spans="4:37" ht="18" customHeight="1">
      <c r="D34" s="278"/>
      <c r="E34" s="833"/>
      <c r="F34" s="2674" t="s">
        <v>3716</v>
      </c>
      <c r="G34" s="2674"/>
      <c r="H34" s="840">
        <f>SUM('1 programa '!H213,'2 programa '!H366,'+3 programa'!H84,'4 programa'!H125,'+5 programa'!H109,'6 programa'!I284,'7 programa'!H172,'8 programa'!H164,'+9 programa'!E204,'10 programa'!H292)</f>
        <v>1550.0000000000002</v>
      </c>
      <c r="I34" s="842">
        <f t="shared" ref="I34:I40" si="10">K34/H34-1</f>
        <v>0.13990645161290316</v>
      </c>
      <c r="J34" s="843">
        <f>SUM('1 programa '!J213,'2 programa '!J366,'+3 programa'!J84,'4 programa'!J125,'+5 programa'!J109,'6 programa'!K284,'7 programa'!J172,'8 programa'!J164,'+9 programa'!G204,'10 programa'!J292)</f>
        <v>969.84300000000007</v>
      </c>
      <c r="K34" s="840">
        <f>SUM('1 programa '!K213,'2 programa '!K366,'+3 programa'!K84,'4 programa'!K125,'+5 programa'!K109,'6 programa'!L284,'7 programa'!K172,'8 programa'!K164,'+9 programa'!H204,'10 programa'!K292)</f>
        <v>1766.855</v>
      </c>
      <c r="L34" s="840">
        <f>SUM('1 programa '!L213,'2 programa '!L366,'+3 programa'!L84,'4 programa'!L125,'+5 programa'!L109,'6 programa'!M284,'7 programa'!L172,'8 programa'!L164,'+9 programa'!I204,'10 programa'!L292)</f>
        <v>1792.2120000000002</v>
      </c>
      <c r="M34" s="2529">
        <f t="shared" si="5"/>
        <v>1.4351488945046537E-2</v>
      </c>
      <c r="N34" s="1768">
        <f>SUM('1 programa '!M213,'2 programa '!M366,'+3 programa'!M84,'4 programa'!M125,'+5 programa'!M109,'6 programa'!N284,'7 programa'!M172,'8 programa'!M164,'+9 programa'!J204,'10 programa'!M292)</f>
        <v>1668.65</v>
      </c>
      <c r="O34" s="840">
        <f>SUM('1 programa '!O213,'2 programa '!O366,'4 programa'!O125,'+5 programa'!O109,'6 programa'!P284,'7 programa'!O172,'8 programa'!O164,'+9 programa'!L204,'10 programa'!O292)</f>
        <v>1710.6699999999998</v>
      </c>
      <c r="P34" s="1768">
        <f>SUM('1 programa '!P213,'2 programa '!P366,'4 programa'!P125,'+5 programa'!P109,'6 programa'!Q284,'7 programa'!P172,'8 programa'!P164,'+9 programa'!M204,'10 programa'!P292)</f>
        <v>1710.6699999999998</v>
      </c>
      <c r="Q34" s="840">
        <f>SUM('1 programa '!Q213,'2 programa '!Q366,'4 programa'!Q125,'+5 programa'!Q109,'6 programa'!R284,'7 programa'!Q172,'8 programa'!Q164,'+9 programa'!N204,'10 programa'!Q292)</f>
        <v>1745.8700000000001</v>
      </c>
      <c r="R34" s="1768">
        <f>SUM('1 programa '!R213,'2 programa '!R366,'4 programa'!R125,'+5 programa'!R109,'6 programa'!S284,'7 programa'!R172,'8 programa'!R164,'+9 programa'!O204,'10 programa'!R292)</f>
        <v>1745.8700000000001</v>
      </c>
      <c r="S34" s="829"/>
      <c r="T34" s="281"/>
      <c r="U34" s="281"/>
      <c r="V34" s="281"/>
      <c r="AH34" s="832"/>
      <c r="AJ34" s="281"/>
      <c r="AK34" s="281"/>
    </row>
    <row r="35" spans="4:37" ht="21.75" customHeight="1">
      <c r="D35" s="278"/>
      <c r="E35" s="833"/>
      <c r="F35" s="2674" t="s">
        <v>3717</v>
      </c>
      <c r="G35" s="2674"/>
      <c r="H35" s="840" t="e">
        <f>SUM('1 programa '!H214,'2 programa '!H367,'+3 programa'!H85,'4 programa'!H126,'+5 programa'!H110,'6 programa'!I285,'7 programa'!H173,'8 programa'!H165,'+9 programa'!E205,'10 programa'!H293)</f>
        <v>#REF!</v>
      </c>
      <c r="I35" s="842" t="e">
        <f t="shared" si="10"/>
        <v>#REF!</v>
      </c>
      <c r="J35" s="843">
        <f>SUM('1 programa '!J214,'2 programa '!J367,'+3 programa'!J85,'4 programa'!J126,'+5 programa'!J110,'6 programa'!K285,'7 programa'!J173,'8 programa'!J165,'+9 programa'!G205,'10 programa'!J293)</f>
        <v>9050.3027320000001</v>
      </c>
      <c r="K35" s="840">
        <f>SUM('1 programa '!K214,'2 programa '!K367,'+3 programa'!K85,'4 programa'!K126,'+5 programa'!K110,'6 programa'!L285,'7 programa'!K173,'8 programa'!K165,'+9 programa'!H205,'10 programa'!K293)</f>
        <v>9658.4624320000003</v>
      </c>
      <c r="L35" s="840">
        <f>SUM('1 programa '!L214,'2 programa '!L367,'+3 programa'!L85,'4 programa'!L126,'+5 programa'!L110,'6 programa'!M285,'7 programa'!L173,'8 programa'!L165,'+9 programa'!I205,'10 programa'!L293)</f>
        <v>8519.9789999999994</v>
      </c>
      <c r="M35" s="2529">
        <f t="shared" si="5"/>
        <v>-0.11787418960475808</v>
      </c>
      <c r="N35" s="1768">
        <f>SUM('1 programa '!M214,'2 programa '!M367,'+3 programa'!M85,'4 programa'!M126,'+5 programa'!M110,'6 programa'!N285,'7 programa'!M173,'8 programa'!M165,'+9 programa'!J205,'10 programa'!M293)</f>
        <v>9071.0540000000001</v>
      </c>
      <c r="O35" s="840">
        <f>SUM('1 programa '!O214,'2 programa '!O367,'+3 programa'!O85,'4 programa'!O126,'+5 programa'!O110,'6 programa'!P285,'7 programa'!O173,'8 programa'!O165,'+9 programa'!L205,'10 programa'!O293)</f>
        <v>11608.651</v>
      </c>
      <c r="P35" s="1768">
        <f>SUM('1 programa '!P214,'2 programa '!P367,'+3 programa'!P85,'4 programa'!P126,'+5 programa'!P110,'6 programa'!Q285,'7 programa'!P173,'8 programa'!P165,'+9 programa'!M205,'10 programa'!P293)</f>
        <v>11222.219000000001</v>
      </c>
      <c r="Q35" s="1875">
        <f>SUM('1 programa '!Q214,'2 programa '!Q367,'+3 programa'!Q85,'4 programa'!Q126,'+5 programa'!Q110,'6 programa'!R285,'7 programa'!Q173,'8 programa'!Q165,'+9 programa'!N205,'10 programa'!Q293)</f>
        <v>3605.2490000000003</v>
      </c>
      <c r="R35" s="1768">
        <f>SUM('1 programa '!R214,'2 programa '!R367,'+3 programa'!R85,'4 programa'!R126,'+5 programa'!R110,'6 programa'!S285,'7 programa'!R173,'8 programa'!R165,'+9 programa'!O205,'10 programa'!R293)</f>
        <v>3605.2490000000003</v>
      </c>
      <c r="S35" s="829"/>
      <c r="T35" s="281"/>
      <c r="U35" s="1422"/>
      <c r="V35" s="281"/>
      <c r="AH35" s="832"/>
      <c r="AJ35" s="281"/>
      <c r="AK35" s="281"/>
    </row>
    <row r="36" spans="4:37" ht="18" customHeight="1">
      <c r="D36" s="278"/>
      <c r="E36" s="833"/>
      <c r="F36" s="2674" t="s">
        <v>724</v>
      </c>
      <c r="G36" s="2674"/>
      <c r="H36" s="840">
        <f>SUM('1 programa '!H215,'2 programa '!H368,'+3 programa'!H86,'4 programa'!H127,'+5 programa'!H111,'6 programa'!I286,'7 programa'!H174,'8 programa'!H166,'+9 programa'!E206,'10 programa'!H294)</f>
        <v>325.05700000000002</v>
      </c>
      <c r="I36" s="842">
        <f t="shared" si="10"/>
        <v>-0.91936798776829909</v>
      </c>
      <c r="J36" s="843">
        <f>SUM('1 programa '!J215,'2 programa '!J368,'+3 programa'!J86,'4 programa'!J127,'+5 programa'!J111,'6 programa'!K286,'7 programa'!J174,'8 programa'!J166,'+9 programa'!G206,'10 programa'!J294)</f>
        <v>26.213999999999999</v>
      </c>
      <c r="K36" s="840">
        <f>SUM('1 programa '!K215,'2 programa '!K368,'+3 programa'!K86,'4 programa'!K127,'+5 programa'!K111,'6 programa'!L286,'7 programa'!K174,'8 programa'!K166,'+9 programa'!H206,'10 programa'!K294)</f>
        <v>26.21</v>
      </c>
      <c r="L36" s="840">
        <f>SUM('1 programa '!L215,'2 programa '!L368,'+3 programa'!L86,'4 programa'!L127,'+5 programa'!L111,'6 programa'!M286,'7 programa'!L174,'8 programa'!L166,'+9 programa'!I206,'10 programa'!L294,)</f>
        <v>2525.3440000000001</v>
      </c>
      <c r="M36" s="852">
        <f t="shared" si="5"/>
        <v>95.350400610454017</v>
      </c>
      <c r="N36" s="1768">
        <f>SUM('1 programa '!M215,'2 programa '!M368,'+3 programa'!M86,'4 programa'!M127,'+5 programa'!M111,'6 programa'!N286,'7 programa'!M174,'8 programa'!M166,'+9 programa'!J206,'10 programa'!M294)</f>
        <v>0</v>
      </c>
      <c r="O36" s="840">
        <f>SUM('1 programa '!O215,'2 programa '!O368,'+3 programa'!O86,'4 programa'!O127,'+5 programa'!O111,'6 programa'!P286,'7 programa'!O174,'8 programa'!O166,'+9 programa'!L206,'10 programa'!O294,'+5 programa'!O77)</f>
        <v>2108.5420000000004</v>
      </c>
      <c r="P36" s="1768">
        <f>SUM('1 programa '!P215,'2 programa '!P368,'+3 programa'!P86,'4 programa'!P127,'+5 programa'!P111,'6 programa'!Q286,'7 programa'!P174,'8 programa'!P166,'+9 programa'!M206,'10 programa'!P294)</f>
        <v>0</v>
      </c>
      <c r="Q36" s="1875">
        <f>SUM('1 programa '!Q215,'2 programa '!Q368,'+3 programa'!Q86,'4 programa'!Q127,'+5 programa'!Q111,'6 programa'!R286,'7 programa'!Q174,'8 programa'!Q166,'+9 programa'!N206,'10 programa'!Q294,'+5 programa'!Q77)</f>
        <v>288.30200000000002</v>
      </c>
      <c r="R36" s="1768">
        <f>SUM('1 programa '!R215,'2 programa '!R368,'+3 programa'!R86,'4 programa'!R127,'+5 programa'!R111,'6 programa'!S286,'7 programa'!R174,'8 programa'!R166,'+9 programa'!O206,'10 programa'!R294)</f>
        <v>0</v>
      </c>
      <c r="S36" s="829"/>
      <c r="T36" s="281"/>
      <c r="U36" s="281"/>
      <c r="V36" s="281"/>
      <c r="W36" s="281"/>
      <c r="X36" s="281"/>
      <c r="AH36" s="832"/>
    </row>
    <row r="37" spans="4:37" ht="20.25" customHeight="1">
      <c r="D37" s="278"/>
      <c r="E37" s="833"/>
      <c r="F37" s="2674" t="s">
        <v>725</v>
      </c>
      <c r="G37" s="2674"/>
      <c r="H37" s="840" t="e">
        <f>SUM('1 programa '!H216,'2 programa '!H369,'+3 programa'!H87,'4 programa'!H128,'+5 programa'!H112,'6 programa'!I287,'7 programa'!H175,'8 programa'!H167,'+9 programa'!E207,'10 programa'!H295)</f>
        <v>#REF!</v>
      </c>
      <c r="I37" s="842" t="e">
        <f t="shared" si="10"/>
        <v>#REF!</v>
      </c>
      <c r="J37" s="843">
        <f>SUM('1 programa '!J216,'2 programa '!J369,'+3 programa'!J87,'4 programa'!J128,'+5 programa'!J112,'6 programa'!K287,'7 programa'!J175,'8 programa'!J167,'+9 programa'!G207,'10 programa'!J295)</f>
        <v>2415.402</v>
      </c>
      <c r="K37" s="840">
        <f>SUM('1 programa '!K216,'2 programa '!K369,'+3 programa'!K87,'4 programa'!K128,'+5 programa'!K112,'6 programa'!L287,'7 programa'!K175,'8 programa'!K167,'+9 programa'!H207,'10 programa'!K295)</f>
        <v>7782.5499999999993</v>
      </c>
      <c r="L37" s="840">
        <f>SUM('1 programa '!L216,'2 programa '!L369,'+3 programa'!L87,'4 programa'!L128,'+5 programa'!L112,'6 programa'!M287,'7 programa'!L175,'8 programa'!L167,'+9 programa'!I207,'10 programa'!L295)</f>
        <v>9275.3340000000007</v>
      </c>
      <c r="M37" s="852">
        <f t="shared" si="5"/>
        <v>0.19181168126128345</v>
      </c>
      <c r="N37" s="1768">
        <f>SUM('1 programa '!M216,'2 programa '!M369,'+3 programa'!M87,'4 programa'!M128,'+5 programa'!M112,'6 programa'!N287,'7 programa'!M175,'8 programa'!M167,'+9 programa'!J207,'10 programa'!M295)</f>
        <v>0</v>
      </c>
      <c r="O37" s="840">
        <f>SUM('1 programa '!O216,'2 programa '!O369,'+3 programa'!O87,'4 programa'!O128,'+5 programa'!O112,'6 programa'!P287,'7 programa'!O175,'8 programa'!O167,'+9 programa'!L207,'10 programa'!O295)</f>
        <v>0</v>
      </c>
      <c r="P37" s="1768">
        <f>SUM('1 programa '!P216,'2 programa '!P369,'+3 programa'!P87,'4 programa'!P128,'+5 programa'!P112,'6 programa'!Q287,'7 programa'!P175,'8 programa'!P167,'+9 programa'!M207,'10 programa'!P295)</f>
        <v>0</v>
      </c>
      <c r="Q37" s="1875">
        <f>SUM('1 programa '!Q216,'2 programa '!Q369,'+3 programa'!Q87,'4 programa'!Q128,'+5 programa'!Q112,'6 programa'!R287,'7 programa'!Q175,'8 programa'!Q167,'+9 programa'!N207,'10 programa'!Q295)</f>
        <v>0</v>
      </c>
      <c r="R37" s="1768">
        <f>SUM('1 programa '!R216,'2 programa '!R369,'+3 programa'!R87,'4 programa'!R128,'+5 programa'!R112,'6 programa'!S287,'7 programa'!R175,'8 programa'!R167,'+9 programa'!O207,'10 programa'!R295)</f>
        <v>0</v>
      </c>
      <c r="T37" s="281">
        <v>9359.36</v>
      </c>
      <c r="U37" s="281"/>
      <c r="V37" s="1423"/>
      <c r="W37" s="281"/>
      <c r="X37" s="281"/>
      <c r="AH37" s="832"/>
    </row>
    <row r="38" spans="4:37" ht="31.5" customHeight="1">
      <c r="D38" s="278"/>
      <c r="E38" s="833"/>
      <c r="F38" s="2681" t="s">
        <v>726</v>
      </c>
      <c r="G38" s="2681"/>
      <c r="H38" s="840">
        <f>SUM('1 programa '!H217,'2 programa '!H370,'+3 programa'!H88,'4 programa'!H129,'+5 programa'!H113,'6 programa'!I288,'7 programa'!H176,'8 programa'!H168,'+9 programa'!E208,'10 programa'!H296)</f>
        <v>6892.3219999999992</v>
      </c>
      <c r="I38" s="842">
        <f t="shared" si="10"/>
        <v>9.4390395573509478E-2</v>
      </c>
      <c r="J38" s="843">
        <f>SUM('1 programa '!J217,'2 programa '!J370,'+3 programa'!J88,'4 programa'!J129,'+5 programa'!J113,'6 programa'!K288,'7 programa'!J176,'8 programa'!J168,'+9 programa'!G208,'10 programa'!J296)</f>
        <v>7542.8910000000005</v>
      </c>
      <c r="K38" s="840">
        <f>SUM('1 programa '!K217,'2 programa '!K370,'+3 programa'!K88,'4 programa'!K129,'+5 programa'!K113,'6 programa'!L288,'7 programa'!K176,'8 programa'!K168,'+9 programa'!H208,'10 programa'!K296)</f>
        <v>7542.8910000000005</v>
      </c>
      <c r="L38" s="840">
        <f>SUM('1 programa '!L217,'2 programa '!L370,'+3 programa'!L88,'4 programa'!L129,'+5 programa'!L113,'6 programa'!M288,'7 programa'!L176,'8 programa'!L168,'+9 programa'!I208,'10 programa'!L296)</f>
        <v>8288.5220000000008</v>
      </c>
      <c r="M38" s="852">
        <f t="shared" si="5"/>
        <v>9.885215098561019E-2</v>
      </c>
      <c r="N38" s="1768">
        <f>SUM('1 programa '!M217,'2 programa '!M370,'+3 programa'!M88,'4 programa'!M129,'+5 programa'!M113,'6 programa'!N288,'7 programa'!M176,'8 programa'!M168,'+9 programa'!J208,'10 programa'!M296)</f>
        <v>7834.1329999999998</v>
      </c>
      <c r="O38" s="840">
        <f>SUM('1 programa '!O217,'2 programa '!O370,'+3 programa'!O88,'4 programa'!O129,'+5 programa'!O113,'6 programa'!P288,'7 programa'!O176,'8 programa'!O168,'+9 programa'!L208,'10 programa'!O296)</f>
        <v>8455.7209999999995</v>
      </c>
      <c r="P38" s="1768">
        <f>SUM('1 programa '!P217,'2 programa '!P370,'+3 programa'!P88,'4 programa'!P129,'+5 programa'!P113,'6 programa'!Q288,'7 programa'!P176,'8 programa'!P168,'+9 programa'!M208,'10 programa'!P296)</f>
        <v>7532.0569999999998</v>
      </c>
      <c r="Q38" s="1875">
        <f>SUM('1 programa '!Q217,'2 programa '!Q370,'+3 programa'!Q88,'4 programa'!Q129,'+5 programa'!Q113,'6 programa'!R288,'7 programa'!Q176,'8 programa'!Q168,'+9 programa'!N208,'10 programa'!Q296)</f>
        <v>8003.77</v>
      </c>
      <c r="R38" s="1768">
        <f>SUM('1 programa '!R217,'2 programa '!R370,'+3 programa'!R88,'4 programa'!R129,'+5 programa'!R113,'6 programa'!S288,'7 programa'!R176,'8 programa'!R168,'+9 programa'!O208,'10 programa'!R296)</f>
        <v>7439.125</v>
      </c>
      <c r="S38" s="829"/>
      <c r="T38" s="1422">
        <f>T37-L37</f>
        <v>84.02599999999984</v>
      </c>
      <c r="U38" s="281"/>
      <c r="V38" s="281"/>
      <c r="W38" s="281"/>
      <c r="Y38" s="281"/>
      <c r="AA38" s="281"/>
      <c r="AH38" s="832"/>
    </row>
    <row r="39" spans="4:37" ht="24.75" customHeight="1">
      <c r="D39" s="278"/>
      <c r="E39" s="833"/>
      <c r="F39" s="2682" t="s">
        <v>3689</v>
      </c>
      <c r="G39" s="2682"/>
      <c r="H39" s="1411" t="e">
        <f>SUM('1 programa '!H218,'2 programa '!H371,'+3 programa'!H89,'4 programa'!H130,'+5 programa'!H114,'6 programa'!I289,'7 programa'!H177,'8 programa'!H169,'+9 programa'!E209,'10 programa'!H297)</f>
        <v>#REF!</v>
      </c>
      <c r="I39" s="1412" t="e">
        <f t="shared" si="10"/>
        <v>#REF!</v>
      </c>
      <c r="J39" s="1413">
        <f>SUM('1 programa '!J218,'2 programa '!J371,'+3 programa'!J89,'4 programa'!J130,'+5 programa'!J114,'6 programa'!K289,'7 programa'!J177,'8 programa'!J169,'+9 programa'!G209,'10 programa'!J297)</f>
        <v>52694.819463999993</v>
      </c>
      <c r="K39" s="1411">
        <f>SUM('1 programa '!K218,'2 programa '!K371,'+3 programa'!K89,'4 programa'!K130,'+5 programa'!K114,'6 programa'!L289,'7 programa'!K177,'8 programa'!K169,'+9 programa'!H209,'10 programa'!K297)</f>
        <v>71689.02943200001</v>
      </c>
      <c r="L39" s="1411">
        <f>SUM('1 programa '!L218,'2 programa '!L371,'+3 programa'!L89,'4 programa'!L130,'+5 programa'!L114,'6 programa'!M289,'7 programa'!L177,'8 programa'!L169,'+9 programa'!I209,'10 programa'!L297)</f>
        <v>78721.747999999992</v>
      </c>
      <c r="M39" s="852">
        <f t="shared" si="5"/>
        <v>9.8100345669637004E-2</v>
      </c>
      <c r="N39" s="1411">
        <f>SUM(N27,N29,N34,N35,N36,N37,N38)</f>
        <v>79932.003000000012</v>
      </c>
      <c r="O39" s="1411">
        <f>SUM('1 programa '!O218,'2 programa '!O371,'+3 programa'!O89,'4 programa'!O130,'+5 programa'!O114,'6 programa'!P289,'7 programa'!O177,'8 programa'!O169,'+9 programa'!L209,'10 programa'!O297)</f>
        <v>87563.929250000001</v>
      </c>
      <c r="P39" s="1770">
        <f>SUM(P27,P29,P34,P35,P36,P37,P38)</f>
        <v>77861.731</v>
      </c>
      <c r="Q39" s="1411">
        <f>SUM(Q25+Q38)</f>
        <v>76407.2075625</v>
      </c>
      <c r="R39" s="1411">
        <f>SUM(R25+R38)</f>
        <v>74312.684000000008</v>
      </c>
      <c r="S39" s="829"/>
      <c r="T39" s="1422"/>
      <c r="U39" s="1422"/>
      <c r="V39" s="281"/>
      <c r="AH39" s="832"/>
    </row>
    <row r="40" spans="4:37" ht="22.5" customHeight="1">
      <c r="D40" s="278"/>
      <c r="E40" s="833"/>
      <c r="F40" s="2674" t="s">
        <v>2728</v>
      </c>
      <c r="G40" s="2674"/>
      <c r="H40" s="840">
        <f>SUM('1 programa '!H219,'2 programa '!H372,'+3 programa'!H90,'4 programa'!H131,'+5 programa'!H115,'6 programa'!I290,'7 programa'!H178,'8 programa'!H170,'+9 programa'!E210,'10 programa'!H298)</f>
        <v>3553.578</v>
      </c>
      <c r="I40" s="842">
        <f t="shared" si="10"/>
        <v>1.4944903418470061</v>
      </c>
      <c r="J40" s="843">
        <f>SUM('1 programa '!J219,'2 programa '!J372,'+3 programa'!J90,'4 programa'!J131,'+5 programa'!J115,'6 programa'!K290,'7 programa'!J178,'8 programa'!J170,'+9 programa'!G210,'10 programa'!J298)</f>
        <v>9282.5760000000009</v>
      </c>
      <c r="K40" s="840">
        <f>SUM('1 programa '!K219,'2 programa '!K372,'+3 programa'!K90,'4 programa'!K131,'+5 programa'!K115,'6 programa'!L290,'7 programa'!K178,'8 programa'!K170,'+9 programa'!H210,'10 programa'!K298)</f>
        <v>8864.366</v>
      </c>
      <c r="L40" s="840">
        <f>SUM('1 programa '!L219,'2 programa '!L372,'+3 programa'!L90,'4 programa'!L131,'+5 programa'!L115,'6 programa'!M290,'7 programa'!L178,'8 programa'!L170,'+9 programa'!I210,'10 programa'!L298)</f>
        <v>9968.4309999999987</v>
      </c>
      <c r="M40" s="852">
        <f t="shared" si="5"/>
        <v>0.12455092671038162</v>
      </c>
      <c r="N40" s="1768">
        <f>SUM('1 programa '!M219,'2 programa '!M372,'+3 programa'!M90,'4 programa'!M131,'+5 programa'!M115,'6 programa'!N290,'7 programa'!M178,'8 programa'!M170,'+9 programa'!J210,'10 programa'!M298)</f>
        <v>9889.8250000000007</v>
      </c>
      <c r="O40" s="840">
        <f>SUM('1 programa '!O219,'2 programa '!O372,'+3 programa'!O90,'4 programa'!O131,'+5 programa'!O115,'6 programa'!P290,'7 programa'!O178,'8 programa'!O170,'+9 programa'!L210,'10 programa'!O298)</f>
        <v>12589.157999999999</v>
      </c>
      <c r="P40" s="1768">
        <f>SUM('1 programa '!P219,'2 programa '!P372,'+3 programa'!P90,'4 programa'!P131,'+5 programa'!P115,'6 programa'!Q290,'7 programa'!P178,'8 programa'!P170,'+9 programa'!M210,'10 programa'!P298)</f>
        <v>12227.535</v>
      </c>
      <c r="Q40" s="840">
        <f>SUM('1 programa '!Q219,'2 programa '!Q372,'+3 programa'!Q90,'4 programa'!Q131,'+5 programa'!Q115,'6 programa'!R290,'7 programa'!Q178,'8 programa'!Q170,'+9 programa'!N210,'10 programa'!Q298)</f>
        <v>3351.0890000000004</v>
      </c>
      <c r="R40" s="1768">
        <f>SUM('1 programa '!R219,'2 programa '!R372,'+3 programa'!R90,'4 programa'!R131,'+5 programa'!R115,'6 programa'!S290,'7 programa'!R178,'8 programa'!R170,'+9 programa'!O210,'10 programa'!R298)</f>
        <v>3351.0890000000004</v>
      </c>
      <c r="T40" s="281"/>
      <c r="U40" s="281"/>
      <c r="V40" s="281"/>
      <c r="W40" s="281"/>
      <c r="AH40" s="832"/>
    </row>
    <row r="41" spans="4:37" ht="27" customHeight="1">
      <c r="D41" s="278"/>
      <c r="E41" s="833"/>
      <c r="F41" s="2674" t="s">
        <v>727</v>
      </c>
      <c r="G41" s="2674"/>
      <c r="H41" s="845"/>
      <c r="I41" s="845"/>
      <c r="J41" s="845"/>
      <c r="K41" s="845">
        <v>0.22</v>
      </c>
      <c r="L41" s="845">
        <f>(L39-K39)/K39</f>
        <v>9.8100345669637004E-2</v>
      </c>
      <c r="M41" s="845"/>
      <c r="N41" s="1771"/>
      <c r="O41" s="845">
        <f>(O39-L39)/L39</f>
        <v>0.11232196279483034</v>
      </c>
      <c r="P41" s="1771"/>
      <c r="Q41" s="845">
        <f>(Q39-O39)/O39</f>
        <v>-0.12741230073911972</v>
      </c>
      <c r="R41" s="1771"/>
      <c r="S41" s="283">
        <f>T38</f>
        <v>84.02599999999984</v>
      </c>
      <c r="U41" s="1422"/>
      <c r="V41" s="281"/>
      <c r="AA41" s="281"/>
      <c r="AH41" s="832"/>
    </row>
    <row r="42" spans="4:37" ht="27.75" hidden="1" customHeight="1">
      <c r="D42" s="278"/>
      <c r="E42" s="833"/>
      <c r="F42" s="278"/>
      <c r="G42" s="830" t="s">
        <v>2420</v>
      </c>
      <c r="H42" s="278"/>
      <c r="I42" s="278"/>
      <c r="J42" s="278"/>
      <c r="K42" s="278"/>
      <c r="L42" s="278"/>
      <c r="M42" s="278"/>
      <c r="N42" s="1871">
        <f>N24-N39</f>
        <v>40.569999999992433</v>
      </c>
      <c r="O42" s="1871">
        <f>O24-O39</f>
        <v>0</v>
      </c>
      <c r="P42" s="1871">
        <f>P24-P39</f>
        <v>137.05600000001141</v>
      </c>
      <c r="Q42" s="1871">
        <f>Q24-Q39</f>
        <v>0</v>
      </c>
      <c r="R42" s="1871">
        <f>R39-R24</f>
        <v>0</v>
      </c>
      <c r="AA42" s="1422"/>
      <c r="AH42" s="832"/>
    </row>
    <row r="43" spans="4:37" ht="3" customHeight="1">
      <c r="E43" s="277"/>
      <c r="G43" s="831"/>
      <c r="K43" s="281"/>
      <c r="AH43" s="832"/>
    </row>
    <row r="44" spans="4:37" ht="18" hidden="1" customHeight="1" thickBot="1">
      <c r="E44" s="834"/>
      <c r="F44" s="835"/>
      <c r="G44" s="835"/>
      <c r="H44" s="835"/>
      <c r="I44" s="835"/>
      <c r="J44" s="835"/>
      <c r="K44" s="1872">
        <f>K24-K39</f>
        <v>0</v>
      </c>
      <c r="L44" s="1872">
        <f>L24-L39</f>
        <v>0</v>
      </c>
      <c r="M44" s="1872"/>
      <c r="N44" s="1772"/>
      <c r="O44" s="835"/>
      <c r="P44" s="1772"/>
      <c r="Q44" s="835"/>
      <c r="R44" s="1772"/>
      <c r="S44" s="836"/>
      <c r="T44" s="835"/>
      <c r="U44" s="835"/>
      <c r="V44" s="835"/>
      <c r="W44" s="835"/>
      <c r="X44" s="835"/>
      <c r="Y44" s="835"/>
      <c r="Z44" s="835"/>
      <c r="AA44" s="835"/>
      <c r="AB44" s="835"/>
      <c r="AC44" s="835"/>
      <c r="AD44" s="835"/>
      <c r="AE44" s="835"/>
      <c r="AF44" s="835"/>
      <c r="AG44" s="835"/>
      <c r="AH44" s="837"/>
    </row>
    <row r="45" spans="4:37" ht="18" customHeight="1">
      <c r="H45" s="281"/>
      <c r="I45" s="281"/>
      <c r="J45" s="281"/>
      <c r="K45" s="281"/>
    </row>
    <row r="46" spans="4:37" ht="18" customHeight="1">
      <c r="K46" s="2612"/>
      <c r="L46" s="2612"/>
      <c r="R46" s="1775"/>
      <c r="W46" s="281"/>
    </row>
    <row r="47" spans="4:37" ht="18" hidden="1" customHeight="1">
      <c r="G47" s="281"/>
      <c r="K47" s="279"/>
      <c r="L47" s="279"/>
      <c r="N47" s="1775"/>
      <c r="O47" s="281"/>
      <c r="P47" s="1775"/>
      <c r="Q47" s="281"/>
      <c r="R47" s="1775"/>
      <c r="S47" s="283">
        <f>U51</f>
        <v>0</v>
      </c>
      <c r="T47" s="281"/>
    </row>
    <row r="48" spans="4:37" ht="18" hidden="1" customHeight="1">
      <c r="G48" s="281"/>
      <c r="K48" s="2536">
        <f>L27+L36+L37</f>
        <v>43818.048000000003</v>
      </c>
      <c r="L48" s="2536">
        <f>'Suvestinė pagal FŠ'!G62</f>
        <v>43725.178</v>
      </c>
      <c r="N48" s="1775"/>
      <c r="P48" s="1775"/>
      <c r="Q48" s="281"/>
    </row>
    <row r="49" spans="7:22" ht="18" hidden="1" customHeight="1">
      <c r="K49" s="279"/>
      <c r="L49" s="279"/>
      <c r="P49" s="1775"/>
    </row>
    <row r="50" spans="7:22" ht="18" hidden="1" customHeight="1">
      <c r="G50" s="281"/>
      <c r="K50" s="2536">
        <f>K48-L48</f>
        <v>92.870000000002619</v>
      </c>
      <c r="L50" s="2536"/>
      <c r="T50" s="281"/>
      <c r="V50" s="281"/>
    </row>
    <row r="51" spans="7:22" ht="18" hidden="1" customHeight="1">
      <c r="G51" s="274"/>
      <c r="H51" s="274"/>
      <c r="I51" s="274"/>
      <c r="J51" s="274"/>
      <c r="K51" s="279"/>
      <c r="L51" s="279"/>
      <c r="M51" s="274"/>
      <c r="N51" s="1540"/>
      <c r="O51" s="274"/>
      <c r="P51" s="1540"/>
      <c r="Q51" s="274"/>
      <c r="R51" s="1540"/>
      <c r="S51" s="282"/>
      <c r="T51" s="274"/>
      <c r="U51" s="274"/>
      <c r="V51" s="274"/>
    </row>
    <row r="52" spans="7:22" ht="18" hidden="1" customHeight="1">
      <c r="G52" s="274"/>
      <c r="H52" s="274"/>
      <c r="I52" s="274"/>
      <c r="J52" s="274"/>
      <c r="K52" s="279"/>
      <c r="L52" s="279"/>
      <c r="M52" s="287"/>
      <c r="N52" s="279"/>
      <c r="O52" s="274"/>
      <c r="P52" s="1542"/>
      <c r="Q52" s="274"/>
      <c r="R52" s="1540"/>
      <c r="S52" s="282"/>
      <c r="T52" s="280"/>
      <c r="U52" s="274"/>
      <c r="V52" s="274"/>
    </row>
    <row r="53" spans="7:22" ht="18" hidden="1" customHeight="1">
      <c r="G53" s="2537">
        <f>K50-L28</f>
        <v>2.6147972675971687E-12</v>
      </c>
      <c r="H53" s="274"/>
      <c r="I53" s="274"/>
      <c r="J53" s="274"/>
      <c r="K53" s="2537"/>
      <c r="L53" s="1965"/>
      <c r="M53" s="280"/>
      <c r="N53" s="1540"/>
      <c r="O53" s="274"/>
      <c r="P53" s="1540"/>
      <c r="Q53" s="280"/>
      <c r="R53" s="1540"/>
      <c r="S53" s="282"/>
      <c r="T53" s="280"/>
      <c r="U53" s="280"/>
      <c r="V53" s="274"/>
    </row>
    <row r="54" spans="7:22" ht="39" hidden="1" customHeight="1">
      <c r="G54" s="274"/>
      <c r="H54" s="274"/>
      <c r="I54" s="274"/>
      <c r="J54" s="274"/>
      <c r="K54" s="1051"/>
      <c r="L54" s="1965"/>
      <c r="M54" s="274"/>
      <c r="N54" s="2537"/>
      <c r="O54" s="274"/>
      <c r="Q54" s="274"/>
      <c r="R54" s="1540"/>
      <c r="S54" s="282"/>
      <c r="T54" s="274"/>
      <c r="U54" s="280"/>
      <c r="V54" s="274"/>
    </row>
    <row r="55" spans="7:22" ht="18" customHeight="1">
      <c r="G55" s="274"/>
      <c r="H55" s="274"/>
      <c r="I55" s="274"/>
      <c r="J55" s="274"/>
      <c r="K55" s="274"/>
      <c r="L55" s="280"/>
      <c r="M55" s="274"/>
      <c r="N55" s="1540"/>
      <c r="O55" s="274"/>
      <c r="P55" s="1540"/>
      <c r="Q55" s="274"/>
      <c r="R55" s="1540"/>
      <c r="S55" s="282"/>
      <c r="T55" s="274"/>
      <c r="U55" s="274"/>
      <c r="V55" s="274"/>
    </row>
    <row r="56" spans="7:22" ht="18" customHeight="1">
      <c r="G56" s="274"/>
      <c r="H56" s="274"/>
      <c r="I56" s="274"/>
      <c r="J56" s="274"/>
      <c r="K56" s="274"/>
      <c r="L56" s="280"/>
      <c r="M56" s="274"/>
      <c r="N56" s="2537"/>
      <c r="O56" s="274"/>
      <c r="P56" s="1540"/>
      <c r="Q56" s="274"/>
      <c r="R56" s="1540"/>
      <c r="S56" s="282"/>
      <c r="T56" s="274"/>
      <c r="U56" s="274"/>
      <c r="V56" s="274"/>
    </row>
    <row r="57" spans="7:22" ht="18" customHeight="1">
      <c r="G57" s="274"/>
      <c r="H57" s="274"/>
      <c r="I57" s="274"/>
      <c r="J57" s="274"/>
      <c r="K57" s="274"/>
      <c r="L57" s="280"/>
      <c r="M57" s="274"/>
      <c r="N57" s="1540"/>
      <c r="O57" s="274"/>
      <c r="P57" s="1540"/>
      <c r="Q57" s="274"/>
      <c r="R57" s="1540"/>
      <c r="S57" s="282"/>
      <c r="T57" s="274"/>
      <c r="U57" s="274"/>
      <c r="V57" s="274"/>
    </row>
    <row r="58" spans="7:22" ht="18" customHeight="1">
      <c r="L58" s="280"/>
    </row>
    <row r="59" spans="7:22" ht="18" customHeight="1">
      <c r="K59" s="279"/>
      <c r="L59" s="1965"/>
    </row>
    <row r="60" spans="7:22" ht="18" customHeight="1">
      <c r="L60" s="281"/>
    </row>
    <row r="61" spans="7:22" ht="18" customHeight="1">
      <c r="L61" s="281"/>
    </row>
    <row r="64" spans="7:22" ht="18" customHeight="1">
      <c r="L64" s="281"/>
    </row>
  </sheetData>
  <sheetProtection algorithmName="SHA-512" hashValue="OIpcsIHDbgMTp7ZbShn+/qdHS36N8rnJc1Mu9OB/YfIHOY2pk+B0kP4HoX7Yd4/9Sv71HTfYtSkVw4JbxLiAKA==" saltValue="D+WOo7DmcMItXu5GFgabjw==" spinCount="100000" sheet="1" objects="1" scenarios="1"/>
  <mergeCells count="24">
    <mergeCell ref="F33:G33"/>
    <mergeCell ref="F40:G40"/>
    <mergeCell ref="F4:O4"/>
    <mergeCell ref="F3:O3"/>
    <mergeCell ref="E2:AH2"/>
    <mergeCell ref="F25:G25"/>
    <mergeCell ref="F26:G26"/>
    <mergeCell ref="F11:S11"/>
    <mergeCell ref="K46:L46"/>
    <mergeCell ref="F27:G27"/>
    <mergeCell ref="F28:G28"/>
    <mergeCell ref="I12:I13"/>
    <mergeCell ref="J12:J13"/>
    <mergeCell ref="F41:G41"/>
    <mergeCell ref="F29:G29"/>
    <mergeCell ref="F34:G34"/>
    <mergeCell ref="F35:G35"/>
    <mergeCell ref="F36:G36"/>
    <mergeCell ref="F37:G37"/>
    <mergeCell ref="F38:G38"/>
    <mergeCell ref="F39:G39"/>
    <mergeCell ref="F30:G30"/>
    <mergeCell ref="F31:G31"/>
    <mergeCell ref="F32:G32"/>
  </mergeCells>
  <conditionalFormatting sqref="I12:J12">
    <cfRule type="dataBar" priority="2">
      <dataBar>
        <cfvo type="min"/>
        <cfvo type="max"/>
        <color rgb="FF638EC6"/>
      </dataBar>
      <extLst>
        <ext xmlns:x14="http://schemas.microsoft.com/office/spreadsheetml/2009/9/main" uri="{B025F937-C7B1-47D3-B67F-A62EFF666E3E}">
          <x14:id>{603729EF-1499-44BD-82BB-46FE47385B89}</x14:id>
        </ext>
      </extLst>
    </cfRule>
  </conditionalFormatting>
  <conditionalFormatting sqref="J13">
    <cfRule type="dataBar" priority="1">
      <dataBar>
        <cfvo type="min"/>
        <cfvo type="max"/>
        <color rgb="FF638EC6"/>
      </dataBar>
      <extLst>
        <ext xmlns:x14="http://schemas.microsoft.com/office/spreadsheetml/2009/9/main" uri="{B025F937-C7B1-47D3-B67F-A62EFF666E3E}">
          <x14:id>{6CF81F97-5CDA-4A7F-B9D3-EA06D5A613FA}</x14:id>
        </ext>
      </extLst>
    </cfRule>
  </conditionalFormatting>
  <pageMargins left="0.7" right="0.7" top="0.75" bottom="0.75" header="0.3" footer="0.3"/>
  <pageSetup paperSize="9" scale="85" fitToWidth="0" fitToHeight="0" orientation="landscape" r:id="rId1"/>
  <rowBreaks count="2" manualBreakCount="2">
    <brk id="19" min="4" max="28" man="1"/>
    <brk id="42" min="4" max="28" man="1"/>
  </rowBreaks>
  <drawing r:id="rId2"/>
  <extLst>
    <ext xmlns:x14="http://schemas.microsoft.com/office/spreadsheetml/2009/9/main" uri="{78C0D931-6437-407d-A8EE-F0AAD7539E65}">
      <x14:conditionalFormattings>
        <x14:conditionalFormatting xmlns:xm="http://schemas.microsoft.com/office/excel/2006/main">
          <x14:cfRule type="dataBar" id="{603729EF-1499-44BD-82BB-46FE47385B89}">
            <x14:dataBar minLength="0" maxLength="100" border="1" negativeBarBorderColorSameAsPositive="0">
              <x14:cfvo type="autoMin"/>
              <x14:cfvo type="autoMax"/>
              <x14:borderColor rgb="FF638EC6"/>
              <x14:negativeFillColor rgb="FFFF0000"/>
              <x14:negativeBorderColor rgb="FFFF0000"/>
              <x14:axisColor rgb="FF000000"/>
            </x14:dataBar>
          </x14:cfRule>
          <xm:sqref>I12:J12</xm:sqref>
        </x14:conditionalFormatting>
        <x14:conditionalFormatting xmlns:xm="http://schemas.microsoft.com/office/excel/2006/main">
          <x14:cfRule type="dataBar" id="{6CF81F97-5CDA-4A7F-B9D3-EA06D5A613FA}">
            <x14:dataBar minLength="0" maxLength="100" border="1" negativeBarBorderColorSameAsPositive="0">
              <x14:cfvo type="autoMin"/>
              <x14:cfvo type="autoMax"/>
              <x14:borderColor rgb="FF638EC6"/>
              <x14:negativeFillColor rgb="FFFF0000"/>
              <x14:negativeBorderColor rgb="FFFF0000"/>
              <x14:axisColor rgb="FF000000"/>
            </x14:dataBar>
          </x14:cfRule>
          <xm:sqref>J13</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8EDF9-B316-445A-AAD0-5382E82CBBC5}">
  <sheetPr>
    <pageSetUpPr fitToPage="1"/>
  </sheetPr>
  <dimension ref="A1:AC7888"/>
  <sheetViews>
    <sheetView zoomScale="102" zoomScaleNormal="102" zoomScaleSheetLayoutView="95" workbookViewId="0">
      <selection activeCell="A396" sqref="A396:XFD401"/>
    </sheetView>
  </sheetViews>
  <sheetFormatPr defaultColWidth="9.109375" defaultRowHeight="10.199999999999999"/>
  <cols>
    <col min="1" max="1" width="17" style="669" customWidth="1"/>
    <col min="2" max="2" width="38.33203125" style="669" customWidth="1"/>
    <col min="3" max="3" width="4.33203125" style="669" customWidth="1"/>
    <col min="4" max="4" width="7.44140625" style="669" customWidth="1"/>
    <col min="5" max="5" width="14.33203125" style="794" hidden="1" customWidth="1"/>
    <col min="6" max="6" width="13.6640625" style="794" hidden="1" customWidth="1"/>
    <col min="7" max="7" width="15.33203125" style="669" hidden="1" customWidth="1"/>
    <col min="8" max="8" width="18.33203125" style="669" hidden="1" customWidth="1"/>
    <col min="9" max="9" width="18.33203125" style="712" hidden="1" customWidth="1"/>
    <col min="10" max="10" width="18.33203125" style="713" hidden="1" customWidth="1"/>
    <col min="11" max="11" width="17.5546875" style="669" hidden="1" customWidth="1"/>
    <col min="12" max="12" width="18.33203125" style="669" customWidth="1"/>
    <col min="13" max="13" width="15.21875" style="1493" hidden="1" customWidth="1"/>
    <col min="14" max="14" width="11.6640625" style="2039" hidden="1" customWidth="1"/>
    <col min="15" max="15" width="18.33203125" style="669" customWidth="1"/>
    <col min="16" max="16" width="18.33203125" style="1493" hidden="1" customWidth="1"/>
    <col min="17" max="17" width="18.33203125" style="669" customWidth="1"/>
    <col min="18" max="18" width="18.33203125" style="1493" hidden="1" customWidth="1"/>
    <col min="19" max="19" width="14" style="674" customWidth="1"/>
    <col min="20" max="20" width="53.6640625" style="669" customWidth="1"/>
    <col min="21" max="21" width="13.33203125" style="674" customWidth="1"/>
    <col min="22" max="22" width="38.33203125" style="669" customWidth="1"/>
    <col min="23" max="23" width="10.33203125" style="669" hidden="1" customWidth="1"/>
    <col min="24" max="24" width="9.33203125" style="669" hidden="1" customWidth="1"/>
    <col min="25" max="25" width="7.6640625" style="669" customWidth="1"/>
    <col min="26" max="26" width="7.88671875" style="669" customWidth="1"/>
    <col min="27" max="27" width="8.44140625" style="669" customWidth="1"/>
    <col min="28" max="28" width="31.109375" style="710" customWidth="1"/>
    <col min="29" max="29" width="9.109375" style="274" customWidth="1"/>
    <col min="30" max="31" width="8.88671875" style="274" customWidth="1"/>
    <col min="32" max="47" width="9.109375" style="274" customWidth="1"/>
    <col min="48" max="16384" width="9.109375" style="274"/>
  </cols>
  <sheetData>
    <row r="1" spans="1:28" ht="25.2" customHeight="1">
      <c r="A1" s="2709" t="s">
        <v>2083</v>
      </c>
      <c r="B1" s="2709"/>
      <c r="C1" s="2709"/>
      <c r="D1" s="2709"/>
      <c r="E1" s="2709"/>
      <c r="F1" s="2709"/>
      <c r="G1" s="2709"/>
      <c r="H1" s="2709"/>
      <c r="I1" s="2709"/>
      <c r="J1" s="2709"/>
      <c r="K1" s="2709"/>
      <c r="L1" s="2709"/>
      <c r="M1" s="2709"/>
      <c r="N1" s="2709"/>
      <c r="O1" s="2709"/>
      <c r="P1" s="2709"/>
      <c r="Q1" s="2709"/>
      <c r="R1" s="2709"/>
      <c r="S1" s="2709"/>
      <c r="T1" s="2709"/>
      <c r="W1" s="2712"/>
      <c r="X1" s="2712"/>
      <c r="Y1" s="2712"/>
      <c r="Z1" s="2712"/>
      <c r="AA1" s="2712"/>
      <c r="AB1" s="2712"/>
    </row>
    <row r="2" spans="1:28" ht="34.200000000000003" customHeight="1">
      <c r="A2" s="2705" t="s">
        <v>3650</v>
      </c>
      <c r="B2" s="2706"/>
      <c r="C2" s="2706"/>
      <c r="D2" s="2706"/>
      <c r="E2" s="2706"/>
      <c r="F2" s="2706"/>
      <c r="G2" s="2706"/>
      <c r="H2" s="2706"/>
      <c r="I2" s="2706"/>
      <c r="J2" s="2706"/>
      <c r="K2" s="2706"/>
      <c r="L2" s="2706"/>
      <c r="M2" s="2706"/>
      <c r="N2" s="2706"/>
      <c r="O2" s="2706"/>
      <c r="P2" s="2706"/>
      <c r="Q2" s="2706"/>
      <c r="R2" s="2706"/>
      <c r="S2" s="2706"/>
      <c r="T2" s="2706"/>
      <c r="U2" s="2706"/>
      <c r="V2" s="2706"/>
      <c r="W2" s="2706"/>
      <c r="X2" s="2706"/>
      <c r="Y2" s="2706"/>
      <c r="Z2" s="2706"/>
      <c r="AA2" s="2706"/>
      <c r="AB2" s="2706"/>
    </row>
    <row r="3" spans="1:28" ht="17.399999999999999" customHeight="1">
      <c r="A3" s="661" t="str">
        <f>A18</f>
        <v>01.01.01. (T)</v>
      </c>
      <c r="B3" s="868" t="str">
        <f>B18</f>
        <v>Gerinti  teikiamų paslaugų kokybę, didinti jų prieinamumą ir patrauklumą, tinkamai organizuojant savivaldybės administravimo subjektams  priskirtų funkcijų įgyvendinimą</v>
      </c>
      <c r="C3" s="868"/>
      <c r="D3" s="868"/>
      <c r="E3" s="868"/>
      <c r="F3" s="868"/>
      <c r="G3" s="868"/>
      <c r="H3" s="868"/>
      <c r="I3" s="868"/>
      <c r="J3" s="868"/>
      <c r="K3" s="868"/>
      <c r="L3" s="868"/>
      <c r="M3" s="1490"/>
      <c r="N3" s="2036"/>
      <c r="O3" s="661"/>
      <c r="P3" s="1494"/>
      <c r="Q3" s="661"/>
      <c r="R3" s="1494"/>
      <c r="S3" s="711"/>
      <c r="T3" s="661"/>
      <c r="AB3" s="669"/>
    </row>
    <row r="4" spans="1:28" ht="15" customHeight="1">
      <c r="A4" s="661" t="str">
        <f>A36</f>
        <v>01.01.02 (T)</v>
      </c>
      <c r="B4" s="2710" t="str">
        <f>B36</f>
        <v>Užtikrinti valstybinių  (valstybės perduotų savivaldybėms) funkcijų vykdymą</v>
      </c>
      <c r="C4" s="2710"/>
      <c r="D4" s="2710"/>
      <c r="E4" s="2710"/>
      <c r="F4" s="2710"/>
      <c r="G4" s="2710"/>
      <c r="H4" s="2710"/>
      <c r="I4" s="2710"/>
      <c r="J4" s="2710"/>
      <c r="K4" s="2710"/>
      <c r="L4" s="2710"/>
      <c r="M4" s="1491"/>
      <c r="N4" s="2037"/>
      <c r="O4" s="661"/>
      <c r="P4" s="1494"/>
      <c r="Q4" s="661"/>
      <c r="R4" s="1494"/>
      <c r="S4" s="711"/>
      <c r="T4" s="661"/>
      <c r="AB4" s="669"/>
    </row>
    <row r="5" spans="1:28" ht="19.2" customHeight="1">
      <c r="A5" s="661" t="str">
        <f>A95</f>
        <v>01.01.03 (T)</v>
      </c>
      <c r="B5" s="2710" t="str">
        <f>B95</f>
        <v>Užtikrinti efektyvų savivaldybei nuosavybės teise priklausančio nekilnojamojo  turto naudojimą, įmonių bei įstaigų valdymą</v>
      </c>
      <c r="C5" s="2710"/>
      <c r="D5" s="2710"/>
      <c r="E5" s="2710"/>
      <c r="F5" s="2710"/>
      <c r="G5" s="2710"/>
      <c r="H5" s="2710"/>
      <c r="I5" s="2710"/>
      <c r="J5" s="2710"/>
      <c r="K5" s="2710"/>
      <c r="L5" s="2710"/>
      <c r="M5" s="2710"/>
      <c r="N5" s="2710"/>
      <c r="O5" s="2710"/>
      <c r="P5" s="2710"/>
      <c r="Q5" s="2710"/>
      <c r="R5" s="2710"/>
      <c r="S5" s="2710"/>
      <c r="T5" s="2710"/>
      <c r="AB5" s="669"/>
    </row>
    <row r="6" spans="1:28" ht="15" customHeight="1">
      <c r="A6" s="661" t="str">
        <f>A118</f>
        <v>01.01.04. (T)</v>
      </c>
      <c r="B6" s="163" t="str">
        <f>B118</f>
        <v>Sudaryti sąlygas iš anksto negalimoms suplanuoti priemonėms vykdyti bei savivaldybės finansiniams įsipareigojimams įgyvendinti</v>
      </c>
      <c r="C6" s="163"/>
      <c r="D6" s="163"/>
      <c r="E6" s="163"/>
      <c r="F6" s="163"/>
      <c r="G6" s="163"/>
      <c r="H6" s="163"/>
      <c r="I6" s="163"/>
      <c r="J6" s="163"/>
      <c r="K6" s="163"/>
      <c r="L6" s="221"/>
      <c r="M6" s="1491"/>
      <c r="N6" s="2037"/>
      <c r="O6" s="661"/>
      <c r="P6" s="1494"/>
      <c r="Q6" s="661"/>
      <c r="R6" s="1494"/>
      <c r="S6" s="711"/>
      <c r="T6" s="661"/>
      <c r="AB6" s="669"/>
    </row>
    <row r="7" spans="1:28" ht="15" customHeight="1">
      <c r="A7" s="661" t="str">
        <f>A129</f>
        <v>01.01.05. (T)</v>
      </c>
      <c r="B7" s="163" t="str">
        <f>B129</f>
        <v>Įgyvendinti Visagino savivaldybės 
korupcijos prevencijos 2025-2027 metų veiksmų planą</v>
      </c>
      <c r="C7" s="163"/>
      <c r="D7" s="163"/>
      <c r="E7" s="163"/>
      <c r="F7" s="163"/>
      <c r="G7" s="163"/>
      <c r="H7" s="163"/>
      <c r="I7" s="163"/>
      <c r="J7" s="163"/>
      <c r="K7" s="163"/>
      <c r="L7" s="221"/>
      <c r="M7" s="1491"/>
      <c r="N7" s="2037"/>
      <c r="O7" s="661"/>
      <c r="P7" s="1494"/>
      <c r="Q7" s="661"/>
      <c r="R7" s="1494"/>
      <c r="S7" s="711"/>
      <c r="T7" s="661"/>
      <c r="AB7" s="669"/>
    </row>
    <row r="8" spans="1:28" ht="18.600000000000001" customHeight="1">
      <c r="A8" s="661" t="str">
        <f>A132</f>
        <v>01.02.02. (T)</v>
      </c>
      <c r="B8" s="2710" t="str">
        <f>B132</f>
        <v>Gerinti visuomenei teikiamų paslaugų kokybę, didinant jų atitiktį visuomenės poreikiams</v>
      </c>
      <c r="C8" s="2710"/>
      <c r="D8" s="2710"/>
      <c r="E8" s="2710"/>
      <c r="F8" s="2710"/>
      <c r="G8" s="2710"/>
      <c r="H8" s="2710"/>
      <c r="I8" s="2710"/>
      <c r="J8" s="2710"/>
      <c r="K8" s="2710"/>
      <c r="L8" s="221"/>
      <c r="M8" s="1491"/>
      <c r="N8" s="2037"/>
      <c r="O8" s="661"/>
      <c r="P8" s="1494"/>
      <c r="Q8" s="661"/>
      <c r="R8" s="1494"/>
      <c r="S8" s="711"/>
      <c r="T8" s="661"/>
      <c r="AB8" s="669"/>
    </row>
    <row r="9" spans="1:28" ht="17.399999999999999" customHeight="1">
      <c r="A9" s="661" t="str">
        <f>A183</f>
        <v>01.02.03. (T)</v>
      </c>
      <c r="B9" s="2710" t="str">
        <f>B183</f>
        <v>Organizuoti savivaldybės veiklą vadovaujantis šiuolaikiniais vadybos metodais</v>
      </c>
      <c r="C9" s="2710"/>
      <c r="D9" s="2710"/>
      <c r="E9" s="2710"/>
      <c r="F9" s="2710"/>
      <c r="G9" s="2710"/>
      <c r="H9" s="2710"/>
      <c r="I9" s="2710"/>
      <c r="J9" s="2710"/>
      <c r="K9" s="2710"/>
      <c r="L9" s="221"/>
      <c r="M9" s="1491"/>
      <c r="N9" s="2037"/>
      <c r="O9" s="661"/>
      <c r="P9" s="1494"/>
      <c r="Q9" s="661"/>
      <c r="R9" s="1494"/>
      <c r="S9" s="711"/>
      <c r="T9" s="661"/>
      <c r="AB9" s="669"/>
    </row>
    <row r="10" spans="1:28" ht="12" customHeight="1">
      <c r="A10" s="661" t="str">
        <f>A189</f>
        <v>01.02.04. (T)</v>
      </c>
      <c r="B10" s="868" t="str">
        <f>B189</f>
        <v>Informuoti visuomenę apie savivaldybės veiklą ir formuoti teigiamą savivaldybės įvaizdį, plėtoti dalykinius santykius ir ryšius su tarptautinėmis ir vietinėmis institucijomis ir organizacijomis</v>
      </c>
      <c r="C10" s="868"/>
      <c r="D10" s="868"/>
      <c r="E10" s="868"/>
      <c r="F10" s="868"/>
      <c r="G10" s="868"/>
      <c r="H10" s="868"/>
      <c r="I10" s="868"/>
      <c r="J10" s="868"/>
      <c r="K10" s="868"/>
      <c r="L10" s="868"/>
      <c r="M10" s="1490"/>
      <c r="N10" s="2036"/>
      <c r="O10" s="868"/>
      <c r="P10" s="1490"/>
      <c r="Q10" s="868"/>
      <c r="R10" s="1490"/>
      <c r="S10" s="711"/>
      <c r="T10" s="677"/>
      <c r="U10" s="678"/>
      <c r="V10" s="679"/>
      <c r="W10" s="679"/>
      <c r="X10" s="679"/>
      <c r="Y10" s="679"/>
      <c r="Z10" s="679"/>
      <c r="AA10" s="1521"/>
      <c r="AB10" s="679"/>
    </row>
    <row r="11" spans="1:28" ht="19.8" customHeight="1">
      <c r="A11" s="2707"/>
      <c r="B11" s="2708"/>
      <c r="C11" s="2708"/>
      <c r="D11" s="2708"/>
      <c r="E11" s="2708"/>
      <c r="F11" s="2708"/>
      <c r="G11" s="2708"/>
      <c r="H11" s="2708"/>
      <c r="I11" s="2708"/>
      <c r="J11" s="2708"/>
      <c r="K11" s="2708"/>
      <c r="L11" s="2708"/>
      <c r="M11" s="2708"/>
      <c r="N11" s="2708"/>
      <c r="O11" s="2708"/>
      <c r="P11" s="2708"/>
      <c r="Q11" s="2708"/>
      <c r="R11" s="2708"/>
      <c r="S11" s="2708"/>
      <c r="T11" s="2708"/>
      <c r="U11" s="2708"/>
      <c r="V11" s="2708"/>
      <c r="W11" s="2708"/>
      <c r="X11" s="2708"/>
      <c r="Y11" s="2708"/>
      <c r="Z11" s="2708"/>
      <c r="AA11" s="2708"/>
      <c r="AB11" s="2708"/>
    </row>
    <row r="12" spans="1:28" ht="22.2" customHeight="1">
      <c r="A12" s="2711" t="s">
        <v>3827</v>
      </c>
      <c r="B12" s="2711"/>
      <c r="C12" s="2711"/>
      <c r="D12" s="2711"/>
      <c r="E12" s="2711"/>
      <c r="F12" s="2711"/>
      <c r="G12" s="2711"/>
      <c r="H12" s="2711"/>
      <c r="I12" s="2711"/>
      <c r="J12" s="2711"/>
      <c r="K12" s="2711"/>
      <c r="L12" s="2711"/>
      <c r="M12" s="1492"/>
      <c r="N12" s="2038"/>
      <c r="O12" s="674"/>
      <c r="P12" s="1508"/>
      <c r="Q12" s="674"/>
      <c r="R12" s="1508"/>
      <c r="W12" s="676"/>
      <c r="X12" s="676"/>
      <c r="Y12" s="676"/>
      <c r="Z12" s="676"/>
      <c r="AA12" s="676"/>
      <c r="AB12" s="676"/>
    </row>
    <row r="13" spans="1:28" ht="25.2" customHeight="1">
      <c r="A13" s="101" t="s">
        <v>3651</v>
      </c>
      <c r="B13" s="101"/>
      <c r="C13" s="101"/>
      <c r="D13" s="101"/>
      <c r="E13" s="101"/>
      <c r="F13" s="101"/>
      <c r="G13" s="101"/>
      <c r="H13" s="101"/>
      <c r="I13" s="101"/>
      <c r="J13" s="101"/>
      <c r="K13" s="101"/>
      <c r="L13" s="101"/>
      <c r="M13" s="1492"/>
      <c r="N13" s="2038"/>
      <c r="O13" s="674"/>
      <c r="P13" s="1508"/>
      <c r="Q13" s="674"/>
      <c r="R13" s="1508"/>
      <c r="W13" s="676"/>
      <c r="X13" s="676"/>
      <c r="Y13" s="676"/>
      <c r="Z13" s="676"/>
      <c r="AA13" s="676"/>
      <c r="AB13" s="676"/>
    </row>
    <row r="14" spans="1:28" ht="13.2" hidden="1" customHeight="1">
      <c r="E14" s="669"/>
      <c r="F14" s="669"/>
      <c r="T14" s="679"/>
      <c r="U14" s="678"/>
      <c r="V14" s="679"/>
      <c r="W14" s="679"/>
      <c r="X14" s="679"/>
      <c r="Y14" s="679"/>
      <c r="Z14" s="679"/>
      <c r="AA14" s="1521"/>
      <c r="AB14" s="679"/>
    </row>
    <row r="15" spans="1:28" s="221" customFormat="1" ht="25.2" customHeight="1">
      <c r="A15" s="870" t="s">
        <v>3613</v>
      </c>
      <c r="B15" s="870"/>
      <c r="C15" s="870"/>
      <c r="D15" s="870"/>
      <c r="E15" s="870"/>
      <c r="F15" s="870"/>
      <c r="G15" s="870"/>
      <c r="H15" s="870"/>
      <c r="I15" s="870"/>
      <c r="J15" s="870"/>
      <c r="K15" s="661"/>
      <c r="L15" s="661"/>
      <c r="M15" s="1494"/>
      <c r="N15" s="2040"/>
      <c r="O15" s="661"/>
      <c r="P15" s="1494"/>
      <c r="Q15" s="661"/>
      <c r="R15" s="1494"/>
      <c r="S15" s="711"/>
      <c r="T15" s="677"/>
      <c r="U15" s="2714"/>
      <c r="V15" s="2714"/>
      <c r="W15" s="2714"/>
      <c r="X15" s="2714"/>
      <c r="Y15" s="677"/>
      <c r="Z15" s="677"/>
      <c r="AA15" s="1522"/>
      <c r="AB15" s="677"/>
    </row>
    <row r="16" spans="1:28" s="221" customFormat="1" ht="37.799999999999997" customHeight="1">
      <c r="A16" s="2691" t="s">
        <v>1898</v>
      </c>
      <c r="B16" s="2691" t="s">
        <v>1899</v>
      </c>
      <c r="C16" s="2717" t="s">
        <v>1064</v>
      </c>
      <c r="D16" s="2717" t="s">
        <v>1065</v>
      </c>
      <c r="E16" s="2716" t="s">
        <v>1081</v>
      </c>
      <c r="F16" s="2715" t="s">
        <v>1173</v>
      </c>
      <c r="G16" s="2715" t="s">
        <v>2334</v>
      </c>
      <c r="H16" s="2691" t="s">
        <v>1916</v>
      </c>
      <c r="I16" s="2720" t="s">
        <v>2882</v>
      </c>
      <c r="J16" s="2715" t="s">
        <v>2883</v>
      </c>
      <c r="K16" s="2691" t="s">
        <v>1915</v>
      </c>
      <c r="L16" s="2691" t="s">
        <v>1917</v>
      </c>
      <c r="M16" s="2692" t="s">
        <v>3824</v>
      </c>
      <c r="N16" s="2053"/>
      <c r="O16" s="2691" t="s">
        <v>2881</v>
      </c>
      <c r="P16" s="2692" t="s">
        <v>3825</v>
      </c>
      <c r="Q16" s="2691" t="s">
        <v>3823</v>
      </c>
      <c r="R16" s="2692" t="s">
        <v>3826</v>
      </c>
      <c r="S16" s="2691" t="s">
        <v>1918</v>
      </c>
      <c r="T16" s="2691" t="s">
        <v>2731</v>
      </c>
      <c r="U16" s="2713" t="s">
        <v>729</v>
      </c>
      <c r="V16" s="2713" t="s">
        <v>1083</v>
      </c>
      <c r="W16" s="2745" t="s">
        <v>730</v>
      </c>
      <c r="X16" s="2746"/>
      <c r="Y16" s="2746"/>
      <c r="Z16" s="2746"/>
      <c r="AA16" s="2747"/>
      <c r="AB16" s="2713" t="s">
        <v>731</v>
      </c>
    </row>
    <row r="17" spans="1:28" s="221" customFormat="1" ht="83.25" customHeight="1">
      <c r="A17" s="2691"/>
      <c r="B17" s="2691"/>
      <c r="C17" s="2717"/>
      <c r="D17" s="2717"/>
      <c r="E17" s="2716"/>
      <c r="F17" s="2715"/>
      <c r="G17" s="2715"/>
      <c r="H17" s="2691"/>
      <c r="I17" s="2720"/>
      <c r="J17" s="2715"/>
      <c r="K17" s="2691"/>
      <c r="L17" s="2691"/>
      <c r="M17" s="2692"/>
      <c r="N17" s="2053" t="s">
        <v>3835</v>
      </c>
      <c r="O17" s="2691"/>
      <c r="P17" s="2692"/>
      <c r="Q17" s="2691"/>
      <c r="R17" s="2692"/>
      <c r="S17" s="2691"/>
      <c r="T17" s="2691"/>
      <c r="U17" s="2713"/>
      <c r="V17" s="2713"/>
      <c r="W17" s="203">
        <v>2024</v>
      </c>
      <c r="X17" s="203">
        <v>2025</v>
      </c>
      <c r="Y17" s="203">
        <v>2026</v>
      </c>
      <c r="Z17" s="404">
        <v>2027</v>
      </c>
      <c r="AA17" s="404">
        <v>2028</v>
      </c>
      <c r="AB17" s="2713"/>
    </row>
    <row r="18" spans="1:28" s="532" customFormat="1" ht="69.75" customHeight="1">
      <c r="A18" s="697" t="s">
        <v>1900</v>
      </c>
      <c r="B18" s="671" t="s">
        <v>1868</v>
      </c>
      <c r="C18" s="714"/>
      <c r="D18" s="663" t="s">
        <v>1067</v>
      </c>
      <c r="E18" s="715">
        <f>SUM(E23,E31,E33,E35,)</f>
        <v>3181.3590000000004</v>
      </c>
      <c r="F18" s="716">
        <f>H18/E18-1</f>
        <v>0.20598775554723603</v>
      </c>
      <c r="G18" s="715">
        <f>SUM(G23,G31,G33,G35,)</f>
        <v>3611.4369999999994</v>
      </c>
      <c r="H18" s="690">
        <f>SUM(H23,H31,H33,H35,)</f>
        <v>3836.68</v>
      </c>
      <c r="I18" s="717"/>
      <c r="J18" s="718">
        <f>SUM(J23,J31,J33,J35,)</f>
        <v>4281.5219999999999</v>
      </c>
      <c r="K18" s="690">
        <f t="shared" ref="K18:O18" si="0">SUM(K23,K31,K33,K35,)</f>
        <v>4056.8040000000001</v>
      </c>
      <c r="L18" s="690">
        <f>SUM(L23,L31,L33,L35,)</f>
        <v>4658.7820000000002</v>
      </c>
      <c r="M18" s="1495">
        <f t="shared" ref="M18" si="1">SUM(M23,M31,M33,M35,)</f>
        <v>4401.8919999999998</v>
      </c>
      <c r="N18" s="2054">
        <f>SUM(L18-K18)/K18</f>
        <v>0.14838725262546579</v>
      </c>
      <c r="O18" s="690">
        <f>SUM(O23,O31,O33,O35,)</f>
        <v>5045.5420000000004</v>
      </c>
      <c r="P18" s="1495">
        <f t="shared" ref="P18" si="2">SUM(P23,P31,P33,P35,)</f>
        <v>4585.7439999999997</v>
      </c>
      <c r="Q18" s="690">
        <f>SUM(Q23,Q31,Q33,Q35,)</f>
        <v>5498.433</v>
      </c>
      <c r="R18" s="1495">
        <f t="shared" ref="Q18:R18" si="3">SUM(R23,R31,R33,R35,)</f>
        <v>4775.5559999999996</v>
      </c>
      <c r="S18" s="173" t="s">
        <v>965</v>
      </c>
      <c r="T18" s="663"/>
      <c r="U18" s="671" t="s">
        <v>1098</v>
      </c>
      <c r="V18" s="671" t="s">
        <v>967</v>
      </c>
      <c r="W18" s="671" t="s">
        <v>4</v>
      </c>
      <c r="X18" s="671" t="s">
        <v>1306</v>
      </c>
      <c r="Y18" s="671" t="s">
        <v>4</v>
      </c>
      <c r="Z18" s="671" t="s">
        <v>1306</v>
      </c>
      <c r="AA18" s="671" t="s">
        <v>1430</v>
      </c>
      <c r="AB18" s="670" t="s">
        <v>967</v>
      </c>
    </row>
    <row r="19" spans="1:28" s="221" customFormat="1" ht="27.6" customHeight="1">
      <c r="A19" s="2690" t="s">
        <v>1901</v>
      </c>
      <c r="B19" s="2695" t="s">
        <v>2647</v>
      </c>
      <c r="C19" s="2723">
        <v>188711925</v>
      </c>
      <c r="D19" s="719" t="s">
        <v>470</v>
      </c>
      <c r="E19" s="720">
        <f>E25+E26</f>
        <v>2778.6000000000004</v>
      </c>
      <c r="F19" s="721">
        <f>H19/E19-1</f>
        <v>0.19604117181314296</v>
      </c>
      <c r="G19" s="720">
        <f>SUM(G24:G26)</f>
        <v>3075.9949999999999</v>
      </c>
      <c r="H19" s="722">
        <f t="shared" ref="H19" si="4">SUM(H24:H26)</f>
        <v>3323.3199999999997</v>
      </c>
      <c r="I19" s="723">
        <f>K19/H19-1</f>
        <v>6.7432567432567536E-2</v>
      </c>
      <c r="J19" s="720">
        <v>3777.18</v>
      </c>
      <c r="K19" s="722">
        <f>SUM(K24,K25,K26,K29)</f>
        <v>3547.42</v>
      </c>
      <c r="L19" s="722">
        <f>SUM(L24,L26)</f>
        <v>4141.8999999999996</v>
      </c>
      <c r="M19" s="1496">
        <f>3878.37+12</f>
        <v>3890.37</v>
      </c>
      <c r="N19" s="2055">
        <f>SUM(L19-K19)/K19</f>
        <v>0.16758094615241487</v>
      </c>
      <c r="O19" s="722">
        <f>SUM(O24,O25,O26,)</f>
        <v>4528.92</v>
      </c>
      <c r="P19" s="1496">
        <v>4056.66</v>
      </c>
      <c r="Q19" s="722">
        <f>SUM(Q24,Q25,Q26,)</f>
        <v>4981.8109999999997</v>
      </c>
      <c r="R19" s="1496">
        <v>4246.45</v>
      </c>
      <c r="S19" s="2697" t="s">
        <v>2141</v>
      </c>
      <c r="T19" s="2704" t="s">
        <v>2801</v>
      </c>
      <c r="U19" s="2694" t="s">
        <v>1084</v>
      </c>
      <c r="V19" s="2694" t="s">
        <v>1894</v>
      </c>
      <c r="W19" s="2694" t="s">
        <v>4</v>
      </c>
      <c r="X19" s="2694" t="s">
        <v>1306</v>
      </c>
      <c r="Y19" s="2694" t="s">
        <v>1427</v>
      </c>
      <c r="Z19" s="2694" t="s">
        <v>1508</v>
      </c>
      <c r="AA19" s="2694" t="s">
        <v>1508</v>
      </c>
      <c r="AB19" s="2695" t="s">
        <v>2317</v>
      </c>
    </row>
    <row r="20" spans="1:28" s="221" customFormat="1" ht="25.2" customHeight="1">
      <c r="A20" s="2690"/>
      <c r="B20" s="2695"/>
      <c r="C20" s="2723"/>
      <c r="D20" s="719" t="s">
        <v>1353</v>
      </c>
      <c r="E20" s="720">
        <v>12.269</v>
      </c>
      <c r="F20" s="721">
        <f>H20/E20-1</f>
        <v>0.41005786942701117</v>
      </c>
      <c r="G20" s="720">
        <f>SUM(G27)</f>
        <v>15.45</v>
      </c>
      <c r="H20" s="722">
        <v>17.3</v>
      </c>
      <c r="I20" s="723">
        <f t="shared" ref="I20:I86" si="5">K20/H20-1</f>
        <v>2.0231213872832221E-2</v>
      </c>
      <c r="J20" s="720">
        <f>J27</f>
        <v>17.649999999999999</v>
      </c>
      <c r="K20" s="722">
        <f>K27</f>
        <v>17.649999999999999</v>
      </c>
      <c r="L20" s="722">
        <f>L27</f>
        <v>12.56</v>
      </c>
      <c r="M20" s="1496">
        <v>12.56</v>
      </c>
      <c r="N20" s="2055">
        <f t="shared" ref="N20:N82" si="6">SUM(L20-K20)/K20</f>
        <v>-0.28838526912181295</v>
      </c>
      <c r="O20" s="722">
        <v>12.56</v>
      </c>
      <c r="P20" s="1496">
        <v>12.56</v>
      </c>
      <c r="Q20" s="722">
        <f>R20</f>
        <v>12.56</v>
      </c>
      <c r="R20" s="1496">
        <v>12.56</v>
      </c>
      <c r="S20" s="2697"/>
      <c r="T20" s="2704"/>
      <c r="U20" s="2694"/>
      <c r="V20" s="2694"/>
      <c r="W20" s="2694"/>
      <c r="X20" s="2694"/>
      <c r="Y20" s="2694"/>
      <c r="Z20" s="2694"/>
      <c r="AA20" s="2694"/>
      <c r="AB20" s="2695"/>
    </row>
    <row r="21" spans="1:28" s="221" customFormat="1" ht="25.2" customHeight="1">
      <c r="A21" s="2690"/>
      <c r="B21" s="2695"/>
      <c r="C21" s="2723"/>
      <c r="D21" s="719" t="s">
        <v>2824</v>
      </c>
      <c r="E21" s="720"/>
      <c r="F21" s="721"/>
      <c r="G21" s="720"/>
      <c r="H21" s="722"/>
      <c r="I21" s="723"/>
      <c r="J21" s="720"/>
      <c r="K21" s="722">
        <f>K28</f>
        <v>2.5640000000000001</v>
      </c>
      <c r="L21" s="722">
        <v>0.26</v>
      </c>
      <c r="M21" s="1496"/>
      <c r="N21" s="2055">
        <f t="shared" si="6"/>
        <v>-0.89859594383775354</v>
      </c>
      <c r="O21" s="722"/>
      <c r="P21" s="1496"/>
      <c r="Q21" s="722"/>
      <c r="R21" s="1496"/>
      <c r="S21" s="2697"/>
      <c r="T21" s="2704"/>
      <c r="U21" s="2694"/>
      <c r="V21" s="2694"/>
      <c r="W21" s="2694"/>
      <c r="X21" s="2694"/>
      <c r="Y21" s="2694"/>
      <c r="Z21" s="2694"/>
      <c r="AA21" s="2694"/>
      <c r="AB21" s="2695"/>
    </row>
    <row r="22" spans="1:28" s="221" customFormat="1" ht="27" hidden="1" customHeight="1">
      <c r="A22" s="2690"/>
      <c r="B22" s="2695"/>
      <c r="C22" s="2723"/>
      <c r="D22" s="719" t="s">
        <v>412</v>
      </c>
      <c r="E22" s="720"/>
      <c r="F22" s="721"/>
      <c r="G22" s="720"/>
      <c r="H22" s="722">
        <v>0</v>
      </c>
      <c r="I22" s="723"/>
      <c r="J22" s="720">
        <v>0</v>
      </c>
      <c r="K22" s="722">
        <v>0</v>
      </c>
      <c r="L22" s="722">
        <v>0</v>
      </c>
      <c r="M22" s="1496"/>
      <c r="N22" s="2055" t="e">
        <f t="shared" si="6"/>
        <v>#DIV/0!</v>
      </c>
      <c r="O22" s="722">
        <v>0</v>
      </c>
      <c r="P22" s="1496"/>
      <c r="Q22" s="722">
        <v>0</v>
      </c>
      <c r="R22" s="1496">
        <v>0</v>
      </c>
      <c r="S22" s="2697"/>
      <c r="T22" s="2704"/>
      <c r="U22" s="2694"/>
      <c r="V22" s="2694"/>
      <c r="W22" s="2694"/>
      <c r="X22" s="2694"/>
      <c r="Y22" s="2694"/>
      <c r="Z22" s="2694"/>
      <c r="AA22" s="2694"/>
      <c r="AB22" s="2695"/>
    </row>
    <row r="23" spans="1:28" s="221" customFormat="1" ht="27.75" customHeight="1">
      <c r="A23" s="2690"/>
      <c r="B23" s="2695"/>
      <c r="C23" s="2723"/>
      <c r="D23" s="725" t="s">
        <v>1067</v>
      </c>
      <c r="E23" s="726">
        <f>SUM(E19:E22)</f>
        <v>2790.8690000000001</v>
      </c>
      <c r="F23" s="727">
        <f>H23/E23-1</f>
        <v>0.19698201527911197</v>
      </c>
      <c r="G23" s="726">
        <f>SUM(G19:G22)</f>
        <v>3091.4449999999997</v>
      </c>
      <c r="H23" s="728">
        <f>SUM(H19:H22)</f>
        <v>3340.62</v>
      </c>
      <c r="I23" s="729">
        <f t="shared" si="5"/>
        <v>6.7955648951392389E-2</v>
      </c>
      <c r="J23" s="726">
        <f t="shared" ref="J23:O23" si="7">SUM(J19:J22)</f>
        <v>3794.83</v>
      </c>
      <c r="K23" s="728">
        <f>SUM(K19:K22)</f>
        <v>3567.634</v>
      </c>
      <c r="L23" s="728">
        <f>SUM(L19:L22)</f>
        <v>4154.72</v>
      </c>
      <c r="M23" s="1464">
        <f t="shared" ref="M23" si="8">SUM(M19:M22)</f>
        <v>3902.93</v>
      </c>
      <c r="N23" s="2056">
        <f t="shared" si="6"/>
        <v>0.1645589205619187</v>
      </c>
      <c r="O23" s="728">
        <f t="shared" si="7"/>
        <v>4541.4800000000005</v>
      </c>
      <c r="P23" s="1464">
        <f t="shared" ref="P23" si="9">SUM(P19:P22)</f>
        <v>4069.22</v>
      </c>
      <c r="Q23" s="728">
        <f>SUM(Q19:Q22)</f>
        <v>4994.3710000000001</v>
      </c>
      <c r="R23" s="1464">
        <f t="shared" ref="R23" si="10">SUM(R19:R22)</f>
        <v>4259.01</v>
      </c>
      <c r="S23" s="2697"/>
      <c r="T23" s="2704"/>
      <c r="U23" s="2694"/>
      <c r="V23" s="2694"/>
      <c r="W23" s="2694"/>
      <c r="X23" s="2694"/>
      <c r="Y23" s="2694"/>
      <c r="Z23" s="2694"/>
      <c r="AA23" s="2694"/>
      <c r="AB23" s="2695"/>
    </row>
    <row r="24" spans="1:28" s="221" customFormat="1" ht="25.95" hidden="1" customHeight="1">
      <c r="A24" s="2690"/>
      <c r="B24" s="673" t="s">
        <v>2582</v>
      </c>
      <c r="C24" s="913"/>
      <c r="D24" s="682" t="s">
        <v>470</v>
      </c>
      <c r="E24" s="736">
        <v>0</v>
      </c>
      <c r="F24" s="731" t="e">
        <f t="shared" ref="F24:F88" si="11">(H24-E24)/E24</f>
        <v>#DIV/0!</v>
      </c>
      <c r="G24" s="734">
        <v>339.72500000000002</v>
      </c>
      <c r="H24" s="681">
        <v>374.45</v>
      </c>
      <c r="I24" s="733"/>
      <c r="J24" s="734">
        <v>353.61</v>
      </c>
      <c r="K24" s="681">
        <v>342.84100000000001</v>
      </c>
      <c r="L24" s="681">
        <v>371.59</v>
      </c>
      <c r="M24" s="1470">
        <v>342.84</v>
      </c>
      <c r="N24" s="2043">
        <f>SUM(L24-K24)/K24</f>
        <v>8.3855198182247653E-2</v>
      </c>
      <c r="O24" s="1776">
        <v>408.74900000000002</v>
      </c>
      <c r="P24" s="1470">
        <v>358.18</v>
      </c>
      <c r="Q24" s="1776">
        <v>449.62299999999999</v>
      </c>
      <c r="R24" s="1470">
        <v>385.61</v>
      </c>
      <c r="S24" s="499"/>
      <c r="T24" s="681"/>
      <c r="U24" s="682"/>
      <c r="V24" s="682"/>
      <c r="W24" s="682"/>
      <c r="X24" s="682"/>
      <c r="Y24" s="682"/>
      <c r="Z24" s="682"/>
      <c r="AA24" s="682"/>
      <c r="AB24" s="683"/>
    </row>
    <row r="25" spans="1:28" s="221" customFormat="1" ht="20.100000000000001" hidden="1" customHeight="1">
      <c r="A25" s="2690"/>
      <c r="B25" s="673" t="s">
        <v>1068</v>
      </c>
      <c r="C25" s="913"/>
      <c r="D25" s="682" t="s">
        <v>470</v>
      </c>
      <c r="E25" s="736">
        <v>210.07</v>
      </c>
      <c r="F25" s="731">
        <f t="shared" si="11"/>
        <v>-1</v>
      </c>
      <c r="G25" s="734">
        <v>0</v>
      </c>
      <c r="H25" s="681">
        <v>0</v>
      </c>
      <c r="I25" s="733"/>
      <c r="J25" s="734"/>
      <c r="K25" s="681"/>
      <c r="L25" s="681"/>
      <c r="M25" s="1470"/>
      <c r="N25" s="2043" t="e">
        <f t="shared" si="6"/>
        <v>#DIV/0!</v>
      </c>
      <c r="O25" s="681"/>
      <c r="P25" s="1470"/>
      <c r="Q25" s="681"/>
      <c r="R25" s="1470"/>
      <c r="S25" s="499"/>
      <c r="T25" s="681"/>
      <c r="U25" s="682"/>
      <c r="V25" s="682"/>
      <c r="W25" s="682"/>
      <c r="X25" s="682"/>
      <c r="Y25" s="682"/>
      <c r="Z25" s="682"/>
      <c r="AA25" s="682"/>
      <c r="AB25" s="683"/>
    </row>
    <row r="26" spans="1:28" s="221" customFormat="1" ht="30.6" hidden="1" customHeight="1">
      <c r="A26" s="2690"/>
      <c r="B26" s="2721" t="s">
        <v>1069</v>
      </c>
      <c r="C26" s="2722"/>
      <c r="D26" s="682" t="s">
        <v>470</v>
      </c>
      <c r="E26" s="734">
        <v>2568.5300000000002</v>
      </c>
      <c r="F26" s="731">
        <f>(H26-E26)/E26</f>
        <v>0.14807691558985087</v>
      </c>
      <c r="G26" s="734">
        <v>2736.27</v>
      </c>
      <c r="H26" s="681">
        <f>2949.39-0.52</f>
        <v>2948.87</v>
      </c>
      <c r="I26" s="733"/>
      <c r="J26" s="734">
        <v>3204.18</v>
      </c>
      <c r="K26" s="681">
        <f>3204.179</f>
        <v>3204.1790000000001</v>
      </c>
      <c r="L26" s="681">
        <f>3745.61+24.7</f>
        <v>3770.31</v>
      </c>
      <c r="M26" s="1470">
        <f>3215.74-0.51</f>
        <v>3215.2299999999996</v>
      </c>
      <c r="N26" s="2043">
        <f t="shared" si="6"/>
        <v>0.1766851976746617</v>
      </c>
      <c r="O26" s="681">
        <v>4120.1710000000003</v>
      </c>
      <c r="P26" s="1470">
        <v>3365.1</v>
      </c>
      <c r="Q26" s="681">
        <v>4532.1880000000001</v>
      </c>
      <c r="R26" s="1470">
        <v>3365.1</v>
      </c>
      <c r="S26" s="499"/>
      <c r="T26" s="681"/>
      <c r="U26" s="682"/>
      <c r="V26" s="682"/>
      <c r="W26" s="682"/>
      <c r="X26" s="682"/>
      <c r="Y26" s="682"/>
      <c r="Z26" s="682"/>
      <c r="AA26" s="682"/>
      <c r="AB26" s="683"/>
    </row>
    <row r="27" spans="1:28" s="221" customFormat="1" ht="20.100000000000001" hidden="1" customHeight="1">
      <c r="A27" s="2690"/>
      <c r="B27" s="2721"/>
      <c r="C27" s="2722"/>
      <c r="D27" s="682" t="s">
        <v>1070</v>
      </c>
      <c r="E27" s="734">
        <v>12.269</v>
      </c>
      <c r="F27" s="731">
        <f t="shared" si="11"/>
        <v>0.41005786942701122</v>
      </c>
      <c r="G27" s="734">
        <v>15.45</v>
      </c>
      <c r="H27" s="681">
        <v>17.3</v>
      </c>
      <c r="I27" s="733"/>
      <c r="J27" s="734">
        <v>17.649999999999999</v>
      </c>
      <c r="K27" s="681">
        <v>17.649999999999999</v>
      </c>
      <c r="L27" s="681">
        <v>12.56</v>
      </c>
      <c r="M27" s="1470"/>
      <c r="N27" s="2043">
        <f>SUM(L27-K27)/K27</f>
        <v>-0.28838526912181295</v>
      </c>
      <c r="O27" s="681">
        <v>12.56</v>
      </c>
      <c r="P27" s="1470"/>
      <c r="Q27" s="681">
        <v>12.56</v>
      </c>
      <c r="R27" s="1470"/>
      <c r="S27" s="499"/>
      <c r="T27" s="681"/>
      <c r="U27" s="682"/>
      <c r="V27" s="682"/>
      <c r="W27" s="682"/>
      <c r="X27" s="682"/>
      <c r="Y27" s="682"/>
      <c r="Z27" s="682"/>
      <c r="AA27" s="682"/>
      <c r="AB27" s="683"/>
    </row>
    <row r="28" spans="1:28" s="221" customFormat="1" ht="20.100000000000001" hidden="1" customHeight="1">
      <c r="A28" s="706"/>
      <c r="B28" s="673" t="s">
        <v>3559</v>
      </c>
      <c r="C28" s="739"/>
      <c r="D28" s="682" t="s">
        <v>2824</v>
      </c>
      <c r="E28" s="734"/>
      <c r="F28" s="731"/>
      <c r="G28" s="734"/>
      <c r="H28" s="681"/>
      <c r="I28" s="733"/>
      <c r="J28" s="734"/>
      <c r="K28" s="681">
        <v>2.5640000000000001</v>
      </c>
      <c r="L28" s="681"/>
      <c r="M28" s="1470"/>
      <c r="N28" s="2041">
        <f t="shared" si="6"/>
        <v>-1</v>
      </c>
      <c r="O28" s="681"/>
      <c r="P28" s="1470"/>
      <c r="Q28" s="681"/>
      <c r="R28" s="1470"/>
      <c r="S28" s="499"/>
      <c r="T28" s="681"/>
      <c r="U28" s="682"/>
      <c r="V28" s="682"/>
      <c r="W28" s="682"/>
      <c r="X28" s="682"/>
      <c r="Y28" s="682"/>
      <c r="Z28" s="682"/>
      <c r="AA28" s="682"/>
      <c r="AB28" s="683"/>
    </row>
    <row r="29" spans="1:28" s="221" customFormat="1" ht="25.8" hidden="1" customHeight="1">
      <c r="A29" s="706"/>
      <c r="B29" s="673"/>
      <c r="C29" s="739"/>
      <c r="D29" s="682"/>
      <c r="E29" s="734"/>
      <c r="F29" s="731"/>
      <c r="G29" s="734"/>
      <c r="H29" s="681"/>
      <c r="I29" s="733"/>
      <c r="J29" s="734"/>
      <c r="K29" s="681">
        <v>0.4</v>
      </c>
      <c r="L29" s="681"/>
      <c r="M29" s="1470"/>
      <c r="N29" s="2041">
        <f t="shared" si="6"/>
        <v>-1</v>
      </c>
      <c r="O29" s="681"/>
      <c r="P29" s="1470"/>
      <c r="Q29" s="681"/>
      <c r="R29" s="1470"/>
      <c r="S29" s="499"/>
      <c r="T29" s="681"/>
      <c r="U29" s="682"/>
      <c r="V29" s="682"/>
      <c r="W29" s="682"/>
      <c r="X29" s="682"/>
      <c r="Y29" s="682"/>
      <c r="Z29" s="682"/>
      <c r="AA29" s="682"/>
      <c r="AB29" s="683"/>
    </row>
    <row r="30" spans="1:28" s="221" customFormat="1" ht="37.200000000000003" customHeight="1">
      <c r="A30" s="2690" t="s">
        <v>1902</v>
      </c>
      <c r="B30" s="2699" t="s">
        <v>4331</v>
      </c>
      <c r="C30" s="2719">
        <v>188711925</v>
      </c>
      <c r="D30" s="706" t="s">
        <v>470</v>
      </c>
      <c r="E30" s="720">
        <f>138+12</f>
        <v>150</v>
      </c>
      <c r="F30" s="721">
        <f>H30/E30-1</f>
        <v>1.5505999999999998</v>
      </c>
      <c r="G30" s="720">
        <f>397.316+18</f>
        <v>415.31599999999997</v>
      </c>
      <c r="H30" s="722">
        <f>364.59+18</f>
        <v>382.59</v>
      </c>
      <c r="I30" s="723">
        <f t="shared" si="5"/>
        <v>-4.3623722522805108E-2</v>
      </c>
      <c r="J30" s="720">
        <v>362</v>
      </c>
      <c r="K30" s="722">
        <v>365.9</v>
      </c>
      <c r="L30" s="722">
        <v>371</v>
      </c>
      <c r="M30" s="1496">
        <v>365.9</v>
      </c>
      <c r="N30" s="2055">
        <f t="shared" si="6"/>
        <v>1.3938234490297959E-2</v>
      </c>
      <c r="O30" s="722">
        <v>371</v>
      </c>
      <c r="P30" s="1496">
        <v>383.9</v>
      </c>
      <c r="Q30" s="722">
        <v>371</v>
      </c>
      <c r="R30" s="1496">
        <v>383.9</v>
      </c>
      <c r="S30" s="2697" t="s">
        <v>2142</v>
      </c>
      <c r="T30" s="2704" t="s">
        <v>3282</v>
      </c>
      <c r="U30" s="2694" t="s">
        <v>1085</v>
      </c>
      <c r="V30" s="656" t="s">
        <v>2537</v>
      </c>
      <c r="W30" s="656" t="s">
        <v>2538</v>
      </c>
      <c r="X30" s="656" t="s">
        <v>2539</v>
      </c>
      <c r="Y30" s="656" t="s">
        <v>2539</v>
      </c>
      <c r="Z30" s="656" t="s">
        <v>2539</v>
      </c>
      <c r="AA30" s="656" t="s">
        <v>2539</v>
      </c>
      <c r="AB30" s="2694" t="s">
        <v>2143</v>
      </c>
    </row>
    <row r="31" spans="1:28" s="221" customFormat="1" ht="34.799999999999997" customHeight="1">
      <c r="A31" s="2690"/>
      <c r="B31" s="2699"/>
      <c r="C31" s="2719"/>
      <c r="D31" s="725" t="s">
        <v>1067</v>
      </c>
      <c r="E31" s="726">
        <f>E30</f>
        <v>150</v>
      </c>
      <c r="F31" s="727">
        <f t="shared" si="11"/>
        <v>1.5505999999999998</v>
      </c>
      <c r="G31" s="726">
        <f>G30</f>
        <v>415.31599999999997</v>
      </c>
      <c r="H31" s="728">
        <f>H30</f>
        <v>382.59</v>
      </c>
      <c r="I31" s="729">
        <f t="shared" si="5"/>
        <v>-4.3623722522805108E-2</v>
      </c>
      <c r="J31" s="726">
        <f>J30</f>
        <v>362</v>
      </c>
      <c r="K31" s="728">
        <f t="shared" ref="K31" si="12">K30</f>
        <v>365.9</v>
      </c>
      <c r="L31" s="728">
        <f t="shared" ref="L31:M31" si="13">L30</f>
        <v>371</v>
      </c>
      <c r="M31" s="1464">
        <f t="shared" si="13"/>
        <v>365.9</v>
      </c>
      <c r="N31" s="2056">
        <f t="shared" si="6"/>
        <v>1.3938234490297959E-2</v>
      </c>
      <c r="O31" s="728">
        <f t="shared" ref="O31:Q31" si="14">O30</f>
        <v>371</v>
      </c>
      <c r="P31" s="1464">
        <f t="shared" ref="P31" si="15">P30</f>
        <v>383.9</v>
      </c>
      <c r="Q31" s="728">
        <f t="shared" si="14"/>
        <v>371</v>
      </c>
      <c r="R31" s="1464">
        <f t="shared" ref="R31" si="16">R30</f>
        <v>383.9</v>
      </c>
      <c r="S31" s="2697"/>
      <c r="T31" s="2704"/>
      <c r="U31" s="2694"/>
      <c r="V31" s="656" t="s">
        <v>1920</v>
      </c>
      <c r="W31" s="656" t="s">
        <v>1921</v>
      </c>
      <c r="X31" s="656" t="s">
        <v>1921</v>
      </c>
      <c r="Y31" s="656" t="s">
        <v>1921</v>
      </c>
      <c r="Z31" s="656" t="s">
        <v>1921</v>
      </c>
      <c r="AA31" s="656" t="s">
        <v>1921</v>
      </c>
      <c r="AB31" s="2694"/>
    </row>
    <row r="32" spans="1:28" s="221" customFormat="1" ht="35.25" customHeight="1">
      <c r="A32" s="2690" t="s">
        <v>1903</v>
      </c>
      <c r="B32" s="2699" t="s">
        <v>4141</v>
      </c>
      <c r="C32" s="2719">
        <v>188701436</v>
      </c>
      <c r="D32" s="706" t="s">
        <v>470</v>
      </c>
      <c r="E32" s="720">
        <v>100.96</v>
      </c>
      <c r="F32" s="721">
        <f>H32/E32-1</f>
        <v>0.12391045958795566</v>
      </c>
      <c r="G32" s="720">
        <v>104.676</v>
      </c>
      <c r="H32" s="722">
        <v>113.47</v>
      </c>
      <c r="I32" s="723">
        <f t="shared" si="5"/>
        <v>8.636644046884645E-2</v>
      </c>
      <c r="J32" s="720">
        <v>124.69199999999999</v>
      </c>
      <c r="K32" s="722">
        <v>123.27</v>
      </c>
      <c r="L32" s="722">
        <v>133.06200000000001</v>
      </c>
      <c r="M32" s="1496">
        <v>133.06200000000001</v>
      </c>
      <c r="N32" s="2055">
        <f t="shared" si="6"/>
        <v>7.943538573862266E-2</v>
      </c>
      <c r="O32" s="722">
        <v>133.06200000000001</v>
      </c>
      <c r="P32" s="1496">
        <v>132.624</v>
      </c>
      <c r="Q32" s="722">
        <v>133.06200000000001</v>
      </c>
      <c r="R32" s="1496">
        <v>132.64599999999999</v>
      </c>
      <c r="S32" s="2697" t="s">
        <v>2142</v>
      </c>
      <c r="T32" s="2704" t="s">
        <v>2569</v>
      </c>
      <c r="U32" s="2694" t="s">
        <v>1086</v>
      </c>
      <c r="V32" s="2694" t="s">
        <v>3652</v>
      </c>
      <c r="W32" s="2694" t="s">
        <v>1304</v>
      </c>
      <c r="X32" s="2694" t="s">
        <v>1304</v>
      </c>
      <c r="Y32" s="2694" t="s">
        <v>1372</v>
      </c>
      <c r="Z32" s="2694" t="s">
        <v>1372</v>
      </c>
      <c r="AA32" s="2694" t="s">
        <v>1372</v>
      </c>
      <c r="AB32" s="2694"/>
    </row>
    <row r="33" spans="1:28" s="221" customFormat="1" ht="46.2" customHeight="1">
      <c r="A33" s="2690"/>
      <c r="B33" s="2699"/>
      <c r="C33" s="2719"/>
      <c r="D33" s="725" t="s">
        <v>1067</v>
      </c>
      <c r="E33" s="726">
        <f>E32</f>
        <v>100.96</v>
      </c>
      <c r="F33" s="727">
        <f t="shared" si="11"/>
        <v>0.12391045958795568</v>
      </c>
      <c r="G33" s="726">
        <f t="shared" ref="G33" si="17">G32</f>
        <v>104.676</v>
      </c>
      <c r="H33" s="728">
        <f t="shared" ref="H33:O33" si="18">H32</f>
        <v>113.47</v>
      </c>
      <c r="I33" s="729">
        <f t="shared" si="5"/>
        <v>8.636644046884645E-2</v>
      </c>
      <c r="J33" s="726">
        <f t="shared" si="18"/>
        <v>124.69199999999999</v>
      </c>
      <c r="K33" s="728">
        <f t="shared" si="18"/>
        <v>123.27</v>
      </c>
      <c r="L33" s="728">
        <f t="shared" si="18"/>
        <v>133.06200000000001</v>
      </c>
      <c r="M33" s="1464">
        <f t="shared" ref="M33" si="19">M32</f>
        <v>133.06200000000001</v>
      </c>
      <c r="N33" s="2056">
        <f t="shared" si="6"/>
        <v>7.943538573862266E-2</v>
      </c>
      <c r="O33" s="728">
        <f t="shared" si="18"/>
        <v>133.06200000000001</v>
      </c>
      <c r="P33" s="1464">
        <f t="shared" ref="P33" si="20">P32</f>
        <v>132.624</v>
      </c>
      <c r="Q33" s="728">
        <f t="shared" ref="Q33:R33" si="21">Q32</f>
        <v>133.06200000000001</v>
      </c>
      <c r="R33" s="1464">
        <f t="shared" si="21"/>
        <v>132.64599999999999</v>
      </c>
      <c r="S33" s="2697"/>
      <c r="T33" s="2704"/>
      <c r="U33" s="2694"/>
      <c r="V33" s="2694"/>
      <c r="W33" s="2694"/>
      <c r="X33" s="2694"/>
      <c r="Y33" s="2694"/>
      <c r="Z33" s="2694"/>
      <c r="AA33" s="2694"/>
      <c r="AB33" s="2694"/>
    </row>
    <row r="34" spans="1:28" s="221" customFormat="1" ht="27" hidden="1" customHeight="1">
      <c r="A34" s="2690" t="s">
        <v>1904</v>
      </c>
      <c r="B34" s="2703" t="s">
        <v>2802</v>
      </c>
      <c r="C34" s="2700">
        <v>188701436</v>
      </c>
      <c r="D34" s="706" t="s">
        <v>470</v>
      </c>
      <c r="E34" s="720">
        <v>139.53</v>
      </c>
      <c r="F34" s="721">
        <f t="shared" si="11"/>
        <v>-1</v>
      </c>
      <c r="G34" s="720"/>
      <c r="H34" s="722"/>
      <c r="I34" s="723" t="e">
        <f t="shared" si="5"/>
        <v>#DIV/0!</v>
      </c>
      <c r="J34" s="720"/>
      <c r="K34" s="722"/>
      <c r="L34" s="722"/>
      <c r="M34" s="1496"/>
      <c r="N34" s="2042" t="e">
        <f t="shared" si="6"/>
        <v>#DIV/0!</v>
      </c>
      <c r="O34" s="722"/>
      <c r="P34" s="1496"/>
      <c r="Q34" s="722"/>
      <c r="R34" s="1496"/>
      <c r="S34" s="2697"/>
      <c r="T34" s="2704" t="s">
        <v>2648</v>
      </c>
      <c r="U34" s="2694"/>
      <c r="V34" s="2695"/>
      <c r="W34" s="2695"/>
      <c r="X34" s="2695"/>
      <c r="Y34" s="2695"/>
      <c r="Z34" s="2695"/>
      <c r="AA34" s="2695"/>
      <c r="AB34" s="2695"/>
    </row>
    <row r="35" spans="1:28" s="221" customFormat="1" ht="27" hidden="1" customHeight="1">
      <c r="A35" s="2690"/>
      <c r="B35" s="2703"/>
      <c r="C35" s="2700"/>
      <c r="D35" s="725" t="s">
        <v>1067</v>
      </c>
      <c r="E35" s="726">
        <f>E34</f>
        <v>139.53</v>
      </c>
      <c r="F35" s="727">
        <f t="shared" si="11"/>
        <v>-1</v>
      </c>
      <c r="G35" s="726">
        <f t="shared" ref="G35:L35" si="22">G34</f>
        <v>0</v>
      </c>
      <c r="H35" s="728">
        <f t="shared" ref="H35" si="23">H34</f>
        <v>0</v>
      </c>
      <c r="I35" s="723" t="e">
        <f t="shared" si="5"/>
        <v>#DIV/0!</v>
      </c>
      <c r="J35" s="726"/>
      <c r="K35" s="728">
        <f t="shared" si="22"/>
        <v>0</v>
      </c>
      <c r="L35" s="728">
        <f t="shared" si="22"/>
        <v>0</v>
      </c>
      <c r="M35" s="1464">
        <f t="shared" ref="M35" si="24">M34</f>
        <v>0</v>
      </c>
      <c r="N35" s="2042" t="e">
        <f t="shared" si="6"/>
        <v>#DIV/0!</v>
      </c>
      <c r="O35" s="728">
        <f t="shared" ref="O35:Q35" si="25">O34</f>
        <v>0</v>
      </c>
      <c r="P35" s="1464">
        <f t="shared" ref="P35" si="26">P34</f>
        <v>0</v>
      </c>
      <c r="Q35" s="728">
        <f t="shared" si="25"/>
        <v>0</v>
      </c>
      <c r="R35" s="1464">
        <f t="shared" ref="R35" si="27">R34</f>
        <v>0</v>
      </c>
      <c r="S35" s="2697"/>
      <c r="T35" s="2704"/>
      <c r="U35" s="2694"/>
      <c r="V35" s="2695"/>
      <c r="W35" s="2695"/>
      <c r="X35" s="2695"/>
      <c r="Y35" s="2695"/>
      <c r="Z35" s="2695"/>
      <c r="AA35" s="2695"/>
      <c r="AB35" s="2695"/>
    </row>
    <row r="36" spans="1:28" s="532" customFormat="1" ht="51.6" customHeight="1">
      <c r="A36" s="697" t="s">
        <v>1906</v>
      </c>
      <c r="B36" s="668" t="s">
        <v>3653</v>
      </c>
      <c r="C36" s="928"/>
      <c r="D36" s="697"/>
      <c r="E36" s="745">
        <f>SUM(E40,E50,E52,E54,E56,E58,E61,E66,E69,E71,E73,E76,E79,E81,E84,E86,E88,E91,E47,E64)</f>
        <v>491.01599999999996</v>
      </c>
      <c r="F36" s="716">
        <f>H36/E36-1</f>
        <v>0.14479772553236581</v>
      </c>
      <c r="G36" s="745">
        <f>SUM(G40,G50,G52,G54,G56,G58,G61,G66,G69,G71,G73,G76,G79,G81,G84,G86,G88,G91,G47)</f>
        <v>525.47099999999989</v>
      </c>
      <c r="H36" s="746">
        <f>SUM(H40,H50,H52,H54,H56,H58,H61,H66,H69,H71,H73,H76,H79,H81,H84,H86,H88,H91,H47,H64)</f>
        <v>562.11400000000003</v>
      </c>
      <c r="I36" s="747">
        <f t="shared" si="5"/>
        <v>3.9559591114969317E-2</v>
      </c>
      <c r="J36" s="745">
        <f t="shared" ref="J36:R36" si="28">SUM(J40,J50,J52,J54,J56,J58,J61,J66,J69,J71,J73,J76,J79,J81,J84,J86,J88,J91,J47,J64)</f>
        <v>386.42299999999994</v>
      </c>
      <c r="K36" s="746">
        <f t="shared" si="28"/>
        <v>584.35099999999989</v>
      </c>
      <c r="L36" s="746">
        <f>SUM(L40,L50,L52,L54,L56,L58,L61,L66,L69,L71,L73,L76,L79,L81,L84,L86,L88,L91,L47,L64,L94)</f>
        <v>653.26599999999996</v>
      </c>
      <c r="M36" s="1497">
        <f t="shared" si="28"/>
        <v>698.70299999999975</v>
      </c>
      <c r="N36" s="2057">
        <f t="shared" si="6"/>
        <v>0.11793425526781008</v>
      </c>
      <c r="O36" s="746">
        <f>SUM(O40,O50,O52,O54,O56,O58,O61,O66,O69,O71,O73,O76,O79,O81,O84,O86,O88,O91,O47,O64,O94)</f>
        <v>669.68549999999993</v>
      </c>
      <c r="P36" s="1497">
        <f t="shared" ref="O36:Q36" si="29">SUM(P40,P50,P52,P54,P56,P58,P61,P66,P69,P71,P73,P76,P79,P81,P84,P86,P88,P91,P47,P64,P94)</f>
        <v>697.41499999999985</v>
      </c>
      <c r="Q36" s="746">
        <f>SUM(Q40,Q50,Q52,Q54,Q56,Q58,Q61,Q66,Q69,Q71,Q73,Q76,Q79,Q81,Q84,Q86,Q88,Q91,Q47,Q64,Q94)</f>
        <v>686.98017500000003</v>
      </c>
      <c r="R36" s="1497">
        <f t="shared" si="28"/>
        <v>690.95799999999997</v>
      </c>
      <c r="S36" s="178" t="s">
        <v>965</v>
      </c>
      <c r="T36" s="696"/>
      <c r="U36" s="671" t="s">
        <v>1100</v>
      </c>
      <c r="V36" s="671" t="s">
        <v>967</v>
      </c>
      <c r="W36" s="671" t="s">
        <v>4</v>
      </c>
      <c r="X36" s="671" t="s">
        <v>1306</v>
      </c>
      <c r="Y36" s="671" t="s">
        <v>4</v>
      </c>
      <c r="Z36" s="671" t="s">
        <v>1306</v>
      </c>
      <c r="AA36" s="671" t="s">
        <v>1430</v>
      </c>
      <c r="AB36" s="671" t="s">
        <v>967</v>
      </c>
    </row>
    <row r="37" spans="1:28" s="221" customFormat="1" ht="27.75" customHeight="1">
      <c r="A37" s="2690" t="s">
        <v>1905</v>
      </c>
      <c r="B37" s="2703" t="s">
        <v>580</v>
      </c>
      <c r="C37" s="2700">
        <v>188711925</v>
      </c>
      <c r="D37" s="706" t="s">
        <v>1072</v>
      </c>
      <c r="E37" s="720">
        <v>20</v>
      </c>
      <c r="F37" s="721">
        <f>H37/E37-1</f>
        <v>0</v>
      </c>
      <c r="G37" s="720">
        <f>G41</f>
        <v>19.395</v>
      </c>
      <c r="H37" s="722">
        <v>20</v>
      </c>
      <c r="I37" s="723">
        <f>K37/H37-1</f>
        <v>0</v>
      </c>
      <c r="J37" s="720">
        <v>20</v>
      </c>
      <c r="K37" s="722">
        <v>20</v>
      </c>
      <c r="L37" s="722">
        <v>20</v>
      </c>
      <c r="M37" s="1496">
        <v>19.82</v>
      </c>
      <c r="N37" s="2055">
        <f t="shared" si="6"/>
        <v>0</v>
      </c>
      <c r="O37" s="722">
        <v>20</v>
      </c>
      <c r="P37" s="1496">
        <v>20.81</v>
      </c>
      <c r="Q37" s="722">
        <v>20</v>
      </c>
      <c r="R37" s="1496">
        <v>21.85</v>
      </c>
      <c r="S37" s="2697" t="s">
        <v>2144</v>
      </c>
      <c r="T37" s="2704" t="s">
        <v>2803</v>
      </c>
      <c r="U37" s="2694" t="s">
        <v>1087</v>
      </c>
      <c r="V37" s="2694" t="s">
        <v>2831</v>
      </c>
      <c r="W37" s="2694" t="s">
        <v>1869</v>
      </c>
      <c r="X37" s="2694" t="s">
        <v>1870</v>
      </c>
      <c r="Y37" s="2694" t="s">
        <v>1870</v>
      </c>
      <c r="Z37" s="2694" t="s">
        <v>1870</v>
      </c>
      <c r="AA37" s="2694" t="s">
        <v>1870</v>
      </c>
      <c r="AB37" s="2694" t="s">
        <v>2145</v>
      </c>
    </row>
    <row r="38" spans="1:28" s="221" customFormat="1" ht="28.8" customHeight="1">
      <c r="A38" s="2690"/>
      <c r="B38" s="2703"/>
      <c r="C38" s="2700"/>
      <c r="D38" s="706" t="s">
        <v>470</v>
      </c>
      <c r="E38" s="720">
        <v>22.96</v>
      </c>
      <c r="F38" s="721">
        <f>H38/E38-1</f>
        <v>0.24172473867595823</v>
      </c>
      <c r="G38" s="720">
        <f>G42+G43</f>
        <v>27.315000000000001</v>
      </c>
      <c r="H38" s="722">
        <f>H42</f>
        <v>28.51</v>
      </c>
      <c r="I38" s="723">
        <f t="shared" si="5"/>
        <v>-0.6597685022799018</v>
      </c>
      <c r="J38" s="720">
        <v>8.2050000000000001</v>
      </c>
      <c r="K38" s="722">
        <v>9.6999999999999993</v>
      </c>
      <c r="L38" s="722">
        <v>10.84</v>
      </c>
      <c r="M38" s="1496">
        <v>15.15</v>
      </c>
      <c r="N38" s="2055">
        <f t="shared" si="6"/>
        <v>0.11752577319587636</v>
      </c>
      <c r="O38" s="722">
        <f>L38+(L38*10%)</f>
        <v>11.923999999999999</v>
      </c>
      <c r="P38" s="1496"/>
      <c r="Q38" s="722">
        <f>O38+(O38*10%)</f>
        <v>13.116399999999999</v>
      </c>
      <c r="R38" s="1496"/>
      <c r="S38" s="2697"/>
      <c r="T38" s="2704"/>
      <c r="U38" s="2694"/>
      <c r="V38" s="2694"/>
      <c r="W38" s="2694"/>
      <c r="X38" s="2694"/>
      <c r="Y38" s="2694"/>
      <c r="Z38" s="2694"/>
      <c r="AA38" s="2694"/>
      <c r="AB38" s="2694"/>
    </row>
    <row r="39" spans="1:28" s="221" customFormat="1" ht="43.8" customHeight="1">
      <c r="A39" s="2690"/>
      <c r="B39" s="2703"/>
      <c r="C39" s="2700"/>
      <c r="D39" s="706"/>
      <c r="E39" s="720">
        <v>0.626</v>
      </c>
      <c r="F39" s="721">
        <f>H39/E39-1</f>
        <v>-1</v>
      </c>
      <c r="G39" s="720">
        <f>G44</f>
        <v>0</v>
      </c>
      <c r="H39" s="722">
        <f>H44</f>
        <v>0</v>
      </c>
      <c r="I39" s="723"/>
      <c r="J39" s="720"/>
      <c r="K39" s="722"/>
      <c r="L39" s="722"/>
      <c r="M39" s="1496"/>
      <c r="N39" s="2055"/>
      <c r="O39" s="722"/>
      <c r="P39" s="1496"/>
      <c r="Q39" s="722"/>
      <c r="R39" s="1496"/>
      <c r="S39" s="2697"/>
      <c r="T39" s="2704"/>
      <c r="U39" s="2694"/>
      <c r="V39" s="1815" t="s">
        <v>2832</v>
      </c>
      <c r="W39" s="2694" t="s">
        <v>1315</v>
      </c>
      <c r="X39" s="2694" t="s">
        <v>1315</v>
      </c>
      <c r="Y39" s="1815" t="s">
        <v>1315</v>
      </c>
      <c r="Z39" s="1815" t="s">
        <v>1315</v>
      </c>
      <c r="AA39" s="1815" t="s">
        <v>1315</v>
      </c>
      <c r="AB39" s="2694"/>
    </row>
    <row r="40" spans="1:28" s="221" customFormat="1" ht="56.4" customHeight="1">
      <c r="A40" s="2690"/>
      <c r="B40" s="2703"/>
      <c r="C40" s="2700"/>
      <c r="D40" s="725" t="s">
        <v>1067</v>
      </c>
      <c r="E40" s="726">
        <f>SUM(E37:E39)</f>
        <v>43.585999999999999</v>
      </c>
      <c r="F40" s="727">
        <f t="shared" si="11"/>
        <v>0.11297205524709784</v>
      </c>
      <c r="G40" s="726">
        <f>SUM(G37:G39)</f>
        <v>46.71</v>
      </c>
      <c r="H40" s="728">
        <f>SUM(H37:H39)</f>
        <v>48.510000000000005</v>
      </c>
      <c r="I40" s="729">
        <f t="shared" si="5"/>
        <v>-0.38775510204081642</v>
      </c>
      <c r="J40" s="726">
        <f t="shared" ref="J40:O40" si="30">SUM(J37:J39)</f>
        <v>28.204999999999998</v>
      </c>
      <c r="K40" s="728">
        <f t="shared" si="30"/>
        <v>29.7</v>
      </c>
      <c r="L40" s="728">
        <f>SUM(L37:L39)</f>
        <v>30.84</v>
      </c>
      <c r="M40" s="1464">
        <f t="shared" ref="M40" si="31">SUM(M37:M39)</f>
        <v>34.97</v>
      </c>
      <c r="N40" s="2056">
        <f t="shared" si="6"/>
        <v>3.8383838383838402E-2</v>
      </c>
      <c r="O40" s="728">
        <f t="shared" si="30"/>
        <v>31.923999999999999</v>
      </c>
      <c r="P40" s="1464">
        <f t="shared" ref="P40" si="32">SUM(P37:P39)</f>
        <v>20.81</v>
      </c>
      <c r="Q40" s="728">
        <f t="shared" ref="Q40:R40" si="33">SUM(Q37:Q39)</f>
        <v>33.116399999999999</v>
      </c>
      <c r="R40" s="1464">
        <f t="shared" si="33"/>
        <v>21.85</v>
      </c>
      <c r="S40" s="2697"/>
      <c r="T40" s="2704"/>
      <c r="U40" s="2694"/>
      <c r="V40" s="1815" t="s">
        <v>4447</v>
      </c>
      <c r="W40" s="2694"/>
      <c r="X40" s="2694"/>
      <c r="Y40" s="1815" t="s">
        <v>3347</v>
      </c>
      <c r="Z40" s="1815" t="s">
        <v>3347</v>
      </c>
      <c r="AA40" s="1815" t="s">
        <v>3347</v>
      </c>
      <c r="AB40" s="2694"/>
    </row>
    <row r="41" spans="1:28" s="221" customFormat="1" ht="27" hidden="1" customHeight="1">
      <c r="A41" s="2690"/>
      <c r="B41" s="2725" t="s">
        <v>505</v>
      </c>
      <c r="C41" s="2726">
        <v>188711925</v>
      </c>
      <c r="D41" s="687" t="s">
        <v>1072</v>
      </c>
      <c r="E41" s="751"/>
      <c r="F41" s="752"/>
      <c r="G41" s="751">
        <v>19.395</v>
      </c>
      <c r="H41" s="686">
        <v>0</v>
      </c>
      <c r="I41" s="723" t="e">
        <f t="shared" si="5"/>
        <v>#DIV/0!</v>
      </c>
      <c r="J41" s="751"/>
      <c r="K41" s="686">
        <v>0</v>
      </c>
      <c r="L41" s="686">
        <v>0</v>
      </c>
      <c r="M41" s="1498">
        <v>0</v>
      </c>
      <c r="N41" s="2042" t="e">
        <f t="shared" si="6"/>
        <v>#DIV/0!</v>
      </c>
      <c r="O41" s="686">
        <v>0</v>
      </c>
      <c r="P41" s="1498">
        <v>0</v>
      </c>
      <c r="Q41" s="686">
        <v>0</v>
      </c>
      <c r="R41" s="1498">
        <v>0</v>
      </c>
      <c r="S41" s="175"/>
      <c r="T41" s="686"/>
      <c r="U41" s="687"/>
      <c r="V41" s="687"/>
      <c r="W41" s="687"/>
      <c r="X41" s="687"/>
      <c r="Y41" s="687"/>
      <c r="Z41" s="687"/>
      <c r="AA41" s="687"/>
      <c r="AB41" s="688"/>
    </row>
    <row r="42" spans="1:28" s="221" customFormat="1" ht="27" hidden="1" customHeight="1">
      <c r="A42" s="2690"/>
      <c r="B42" s="2725"/>
      <c r="C42" s="2726"/>
      <c r="D42" s="687" t="s">
        <v>470</v>
      </c>
      <c r="E42" s="751"/>
      <c r="F42" s="752"/>
      <c r="G42" s="751">
        <v>27.315000000000001</v>
      </c>
      <c r="H42" s="686">
        <v>28.51</v>
      </c>
      <c r="I42" s="723">
        <f t="shared" si="5"/>
        <v>-1</v>
      </c>
      <c r="J42" s="751"/>
      <c r="K42" s="686">
        <v>0</v>
      </c>
      <c r="L42" s="686">
        <v>0</v>
      </c>
      <c r="M42" s="1498">
        <v>0</v>
      </c>
      <c r="N42" s="2042" t="e">
        <f t="shared" si="6"/>
        <v>#DIV/0!</v>
      </c>
      <c r="O42" s="686">
        <v>0</v>
      </c>
      <c r="P42" s="1498">
        <v>0</v>
      </c>
      <c r="Q42" s="686">
        <v>0</v>
      </c>
      <c r="R42" s="1498">
        <v>0</v>
      </c>
      <c r="S42" s="175"/>
      <c r="T42" s="686"/>
      <c r="U42" s="687"/>
      <c r="V42" s="687"/>
      <c r="W42" s="687"/>
      <c r="X42" s="687"/>
      <c r="Y42" s="687"/>
      <c r="Z42" s="687"/>
      <c r="AA42" s="687"/>
      <c r="AB42" s="688"/>
    </row>
    <row r="43" spans="1:28" s="221" customFormat="1" ht="27" hidden="1" customHeight="1">
      <c r="A43" s="2690"/>
      <c r="B43" s="2725" t="s">
        <v>1073</v>
      </c>
      <c r="C43" s="2726">
        <v>190243519</v>
      </c>
      <c r="D43" s="687" t="s">
        <v>470</v>
      </c>
      <c r="E43" s="751"/>
      <c r="F43" s="752"/>
      <c r="G43" s="751"/>
      <c r="H43" s="686"/>
      <c r="I43" s="723" t="e">
        <f t="shared" si="5"/>
        <v>#DIV/0!</v>
      </c>
      <c r="J43" s="751"/>
      <c r="K43" s="689"/>
      <c r="L43" s="689"/>
      <c r="M43" s="1484"/>
      <c r="N43" s="2042" t="e">
        <f t="shared" si="6"/>
        <v>#DIV/0!</v>
      </c>
      <c r="O43" s="689"/>
      <c r="P43" s="1484"/>
      <c r="Q43" s="689"/>
      <c r="R43" s="1484"/>
      <c r="S43" s="175"/>
      <c r="T43" s="689"/>
      <c r="U43" s="687"/>
      <c r="V43" s="687"/>
      <c r="W43" s="687"/>
      <c r="X43" s="687"/>
      <c r="Y43" s="687"/>
      <c r="Z43" s="687"/>
      <c r="AA43" s="687"/>
      <c r="AB43" s="688"/>
    </row>
    <row r="44" spans="1:28" s="221" customFormat="1" ht="27" hidden="1" customHeight="1">
      <c r="A44" s="2690"/>
      <c r="B44" s="2725"/>
      <c r="C44" s="2726"/>
      <c r="D44" s="687" t="s">
        <v>1070</v>
      </c>
      <c r="E44" s="751"/>
      <c r="F44" s="752"/>
      <c r="G44" s="751"/>
      <c r="H44" s="751"/>
      <c r="I44" s="723" t="e">
        <f t="shared" si="5"/>
        <v>#DIV/0!</v>
      </c>
      <c r="J44" s="751"/>
      <c r="K44" s="751"/>
      <c r="L44" s="751"/>
      <c r="M44" s="1498"/>
      <c r="N44" s="2042" t="e">
        <f t="shared" si="6"/>
        <v>#DIV/0!</v>
      </c>
      <c r="O44" s="751"/>
      <c r="P44" s="1498"/>
      <c r="Q44" s="751"/>
      <c r="R44" s="1498"/>
      <c r="S44" s="175"/>
      <c r="T44" s="686"/>
      <c r="U44" s="687"/>
      <c r="V44" s="687"/>
      <c r="W44" s="687"/>
      <c r="X44" s="687"/>
      <c r="Y44" s="687"/>
      <c r="Z44" s="687"/>
      <c r="AA44" s="687"/>
      <c r="AB44" s="688"/>
    </row>
    <row r="45" spans="1:28" s="221" customFormat="1" ht="31.5" customHeight="1">
      <c r="A45" s="2690" t="s">
        <v>2686</v>
      </c>
      <c r="B45" s="2703" t="s">
        <v>581</v>
      </c>
      <c r="C45" s="2718">
        <v>188711925</v>
      </c>
      <c r="D45" s="706" t="s">
        <v>1072</v>
      </c>
      <c r="E45" s="720">
        <v>25.3</v>
      </c>
      <c r="F45" s="721">
        <f t="shared" si="11"/>
        <v>1.9762845849802372E-2</v>
      </c>
      <c r="G45" s="720">
        <v>25.17</v>
      </c>
      <c r="H45" s="722">
        <v>25.8</v>
      </c>
      <c r="I45" s="723">
        <f t="shared" si="5"/>
        <v>1.9379844961240345E-2</v>
      </c>
      <c r="J45" s="720"/>
      <c r="K45" s="722">
        <v>26.3</v>
      </c>
      <c r="L45" s="722">
        <v>43.4</v>
      </c>
      <c r="M45" s="1496">
        <v>42.78</v>
      </c>
      <c r="N45" s="2055">
        <f t="shared" si="6"/>
        <v>0.65019011406844096</v>
      </c>
      <c r="O45" s="722">
        <v>43.4</v>
      </c>
      <c r="P45" s="1496">
        <v>44.92</v>
      </c>
      <c r="Q45" s="722">
        <v>43.4</v>
      </c>
      <c r="R45" s="1496">
        <v>47.17</v>
      </c>
      <c r="S45" s="2697" t="s">
        <v>2141</v>
      </c>
      <c r="T45" s="2704" t="s">
        <v>2709</v>
      </c>
      <c r="U45" s="2694" t="s">
        <v>1101</v>
      </c>
      <c r="V45" s="2694" t="s">
        <v>2318</v>
      </c>
      <c r="W45" s="2694" t="s">
        <v>1871</v>
      </c>
      <c r="X45" s="2694" t="s">
        <v>3122</v>
      </c>
      <c r="Y45" s="2694" t="s">
        <v>1427</v>
      </c>
      <c r="Z45" s="2694" t="s">
        <v>1427</v>
      </c>
      <c r="AA45" s="2694" t="s">
        <v>1427</v>
      </c>
      <c r="AB45" s="2694" t="s">
        <v>2833</v>
      </c>
    </row>
    <row r="46" spans="1:28" s="221" customFormat="1" ht="42.6" customHeight="1">
      <c r="A46" s="2690"/>
      <c r="B46" s="2703"/>
      <c r="C46" s="2718"/>
      <c r="D46" s="706" t="s">
        <v>470</v>
      </c>
      <c r="E46" s="720">
        <v>38.07</v>
      </c>
      <c r="F46" s="721">
        <f t="shared" si="11"/>
        <v>9.9290780141844004E-2</v>
      </c>
      <c r="G46" s="720">
        <v>49.564999999999998</v>
      </c>
      <c r="H46" s="722">
        <v>41.85</v>
      </c>
      <c r="I46" s="723">
        <f t="shared" si="5"/>
        <v>0.20286738351254474</v>
      </c>
      <c r="J46" s="720">
        <v>49.634999999999998</v>
      </c>
      <c r="K46" s="722">
        <v>50.34</v>
      </c>
      <c r="L46" s="722">
        <v>38.049999999999997</v>
      </c>
      <c r="M46" s="1496">
        <v>40.26</v>
      </c>
      <c r="N46" s="2055">
        <f>SUM(L46-K46)/K46</f>
        <v>-0.24413984902661909</v>
      </c>
      <c r="O46" s="722">
        <f>L46+(L46*5%)</f>
        <v>39.952500000000001</v>
      </c>
      <c r="P46" s="1496">
        <v>41.99</v>
      </c>
      <c r="Q46" s="722">
        <f>O46+(O46*5%)</f>
        <v>41.950125</v>
      </c>
      <c r="R46" s="1496">
        <v>43.79</v>
      </c>
      <c r="S46" s="2697"/>
      <c r="T46" s="2704"/>
      <c r="U46" s="2694"/>
      <c r="V46" s="2694"/>
      <c r="W46" s="2694"/>
      <c r="X46" s="2694"/>
      <c r="Y46" s="2694"/>
      <c r="Z46" s="2694"/>
      <c r="AA46" s="2694"/>
      <c r="AB46" s="2694"/>
    </row>
    <row r="47" spans="1:28" s="221" customFormat="1" ht="29.25" customHeight="1">
      <c r="A47" s="2690"/>
      <c r="B47" s="2703"/>
      <c r="C47" s="2718"/>
      <c r="D47" s="1242" t="s">
        <v>1067</v>
      </c>
      <c r="E47" s="726">
        <f>SUM(E45:E46)</f>
        <v>63.370000000000005</v>
      </c>
      <c r="F47" s="727">
        <f t="shared" si="11"/>
        <v>6.7539845352690558E-2</v>
      </c>
      <c r="G47" s="726">
        <f t="shared" ref="G47" si="34">SUM(G45:G46)</f>
        <v>74.734999999999999</v>
      </c>
      <c r="H47" s="728">
        <f t="shared" ref="H47:O47" si="35">SUM(H45:H46)</f>
        <v>67.650000000000006</v>
      </c>
      <c r="I47" s="729">
        <f t="shared" si="5"/>
        <v>0.13288987435328892</v>
      </c>
      <c r="J47" s="726">
        <f t="shared" si="35"/>
        <v>49.634999999999998</v>
      </c>
      <c r="K47" s="728">
        <f t="shared" si="35"/>
        <v>76.64</v>
      </c>
      <c r="L47" s="728">
        <f>SUM(L45:L46)</f>
        <v>81.449999999999989</v>
      </c>
      <c r="M47" s="1464">
        <f t="shared" ref="M47" si="36">SUM(M45:M46)</f>
        <v>83.039999999999992</v>
      </c>
      <c r="N47" s="2056">
        <f t="shared" si="6"/>
        <v>6.2760960334029073E-2</v>
      </c>
      <c r="O47" s="728">
        <f t="shared" si="35"/>
        <v>83.352499999999992</v>
      </c>
      <c r="P47" s="1464">
        <f t="shared" ref="P47" si="37">SUM(P45:P46)</f>
        <v>86.91</v>
      </c>
      <c r="Q47" s="728">
        <f t="shared" ref="Q47:R47" si="38">SUM(Q45:Q46)</f>
        <v>85.350124999999991</v>
      </c>
      <c r="R47" s="1464">
        <f t="shared" si="38"/>
        <v>90.960000000000008</v>
      </c>
      <c r="S47" s="2697"/>
      <c r="T47" s="2704"/>
      <c r="U47" s="2694"/>
      <c r="V47" s="2694"/>
      <c r="W47" s="2694"/>
      <c r="X47" s="2694"/>
      <c r="Y47" s="2694"/>
      <c r="Z47" s="2694"/>
      <c r="AA47" s="2694"/>
      <c r="AB47" s="2694"/>
    </row>
    <row r="48" spans="1:28" s="221" customFormat="1" ht="30.75" customHeight="1">
      <c r="A48" s="2690" t="s">
        <v>2685</v>
      </c>
      <c r="B48" s="2703" t="s">
        <v>288</v>
      </c>
      <c r="C48" s="2700">
        <v>188711925</v>
      </c>
      <c r="D48" s="706" t="s">
        <v>1072</v>
      </c>
      <c r="E48" s="720">
        <v>4.42</v>
      </c>
      <c r="F48" s="721">
        <f t="shared" si="11"/>
        <v>0.11425339366515835</v>
      </c>
      <c r="G48" s="720">
        <v>3.98</v>
      </c>
      <c r="H48" s="722">
        <v>4.9249999999999998</v>
      </c>
      <c r="I48" s="723">
        <f t="shared" si="5"/>
        <v>0.27065989847715732</v>
      </c>
      <c r="J48" s="720"/>
      <c r="K48" s="722">
        <v>6.258</v>
      </c>
      <c r="L48" s="722">
        <v>6.5780000000000003</v>
      </c>
      <c r="M48" s="1496">
        <v>5.0629999999999997</v>
      </c>
      <c r="N48" s="2055">
        <f t="shared" si="6"/>
        <v>5.1134547778843124E-2</v>
      </c>
      <c r="O48" s="722">
        <v>6.5780000000000003</v>
      </c>
      <c r="P48" s="1496">
        <v>5.3129999999999997</v>
      </c>
      <c r="Q48" s="722">
        <v>6.5780000000000003</v>
      </c>
      <c r="R48" s="1496">
        <v>5.5830000000000002</v>
      </c>
      <c r="S48" s="2697"/>
      <c r="T48" s="2704" t="s">
        <v>2319</v>
      </c>
      <c r="U48" s="2694" t="s">
        <v>1139</v>
      </c>
      <c r="V48" s="2694" t="s">
        <v>1878</v>
      </c>
      <c r="W48" s="2694">
        <v>100</v>
      </c>
      <c r="X48" s="2694">
        <v>100</v>
      </c>
      <c r="Y48" s="2694">
        <v>100</v>
      </c>
      <c r="Z48" s="2694">
        <v>100</v>
      </c>
      <c r="AA48" s="2694">
        <v>100</v>
      </c>
      <c r="AB48" s="2694"/>
    </row>
    <row r="49" spans="1:28" s="221" customFormat="1" ht="25.5" customHeight="1">
      <c r="A49" s="2690"/>
      <c r="B49" s="2703"/>
      <c r="C49" s="2700"/>
      <c r="D49" s="706" t="s">
        <v>470</v>
      </c>
      <c r="E49" s="720">
        <v>188.15</v>
      </c>
      <c r="F49" s="721">
        <f t="shared" si="11"/>
        <v>0.12017007706617053</v>
      </c>
      <c r="G49" s="720">
        <v>209.41499999999999</v>
      </c>
      <c r="H49" s="722">
        <v>210.76</v>
      </c>
      <c r="I49" s="723">
        <f t="shared" si="5"/>
        <v>7.2309736192825991E-2</v>
      </c>
      <c r="J49" s="720">
        <v>238.45</v>
      </c>
      <c r="K49" s="722">
        <v>226</v>
      </c>
      <c r="L49" s="722">
        <v>249.89</v>
      </c>
      <c r="M49" s="722">
        <v>274.92</v>
      </c>
      <c r="N49" s="2055">
        <f t="shared" si="6"/>
        <v>0.10570796460176986</v>
      </c>
      <c r="O49" s="722">
        <f>L49+(L49*5%)</f>
        <v>262.3845</v>
      </c>
      <c r="P49" s="1496">
        <v>279.74</v>
      </c>
      <c r="Q49" s="722">
        <f>O49+(O49*5%)</f>
        <v>275.50372500000003</v>
      </c>
      <c r="R49" s="1496">
        <v>286.99</v>
      </c>
      <c r="S49" s="2697"/>
      <c r="T49" s="2704"/>
      <c r="U49" s="2694"/>
      <c r="V49" s="2694"/>
      <c r="W49" s="2694"/>
      <c r="X49" s="2694"/>
      <c r="Y49" s="2694"/>
      <c r="Z49" s="2694"/>
      <c r="AA49" s="2694"/>
      <c r="AB49" s="2694"/>
    </row>
    <row r="50" spans="1:28" s="221" customFormat="1" ht="37.5" customHeight="1">
      <c r="A50" s="2690"/>
      <c r="B50" s="2703"/>
      <c r="C50" s="2700"/>
      <c r="D50" s="725" t="s">
        <v>1067</v>
      </c>
      <c r="E50" s="726">
        <f>SUM(E48:E49)</f>
        <v>192.57</v>
      </c>
      <c r="F50" s="727">
        <f t="shared" si="11"/>
        <v>0.1200342732512853</v>
      </c>
      <c r="G50" s="726">
        <f>G48+G49</f>
        <v>213.39499999999998</v>
      </c>
      <c r="H50" s="728">
        <f>H48+H49</f>
        <v>215.685</v>
      </c>
      <c r="I50" s="729">
        <f t="shared" si="5"/>
        <v>7.6838908593550803E-2</v>
      </c>
      <c r="J50" s="726">
        <f t="shared" ref="J50:O50" si="39">J48+J49</f>
        <v>238.45</v>
      </c>
      <c r="K50" s="728">
        <f t="shared" si="39"/>
        <v>232.25800000000001</v>
      </c>
      <c r="L50" s="728">
        <f>L48+L49</f>
        <v>256.46799999999996</v>
      </c>
      <c r="M50" s="1464">
        <f t="shared" ref="M50" si="40">M48+M49</f>
        <v>279.983</v>
      </c>
      <c r="N50" s="2056">
        <f t="shared" si="6"/>
        <v>0.10423752895486894</v>
      </c>
      <c r="O50" s="728">
        <f t="shared" si="39"/>
        <v>268.96249999999998</v>
      </c>
      <c r="P50" s="1464">
        <f t="shared" ref="P50" si="41">P48+P49</f>
        <v>285.053</v>
      </c>
      <c r="Q50" s="728">
        <f t="shared" ref="Q50:R50" si="42">Q48+Q49</f>
        <v>282.08172500000001</v>
      </c>
      <c r="R50" s="1464">
        <f t="shared" si="42"/>
        <v>292.57300000000004</v>
      </c>
      <c r="S50" s="2697"/>
      <c r="T50" s="2704"/>
      <c r="U50" s="2694"/>
      <c r="V50" s="2694"/>
      <c r="W50" s="2694"/>
      <c r="X50" s="2694"/>
      <c r="Y50" s="2694"/>
      <c r="Z50" s="2694"/>
      <c r="AA50" s="2694"/>
      <c r="AB50" s="2694"/>
    </row>
    <row r="51" spans="1:28" s="221" customFormat="1" ht="43.2" customHeight="1">
      <c r="A51" s="2690" t="s">
        <v>2684</v>
      </c>
      <c r="B51" s="2703" t="s">
        <v>370</v>
      </c>
      <c r="C51" s="2700">
        <v>188711925</v>
      </c>
      <c r="D51" s="706" t="s">
        <v>1072</v>
      </c>
      <c r="E51" s="720">
        <v>17.899999999999999</v>
      </c>
      <c r="F51" s="721">
        <f t="shared" si="11"/>
        <v>4.4692737430167641E-2</v>
      </c>
      <c r="G51" s="720">
        <v>25.466000000000001</v>
      </c>
      <c r="H51" s="722">
        <v>18.7</v>
      </c>
      <c r="I51" s="723">
        <f t="shared" si="5"/>
        <v>0</v>
      </c>
      <c r="J51" s="720">
        <v>18.7</v>
      </c>
      <c r="K51" s="722">
        <v>18.7</v>
      </c>
      <c r="L51" s="722">
        <v>18.600000000000001</v>
      </c>
      <c r="M51" s="1496">
        <v>24.754999999999999</v>
      </c>
      <c r="N51" s="2055">
        <f t="shared" si="6"/>
        <v>-5.3475935828875866E-3</v>
      </c>
      <c r="O51" s="722">
        <v>18.600000000000001</v>
      </c>
      <c r="P51" s="1496">
        <v>25.954999999999998</v>
      </c>
      <c r="Q51" s="722">
        <v>18.600000000000001</v>
      </c>
      <c r="R51" s="1496">
        <v>27.204999999999998</v>
      </c>
      <c r="S51" s="2697" t="s">
        <v>2146</v>
      </c>
      <c r="T51" s="2704" t="s">
        <v>2710</v>
      </c>
      <c r="U51" s="2694" t="s">
        <v>1140</v>
      </c>
      <c r="V51" s="2694" t="s">
        <v>1088</v>
      </c>
      <c r="W51" s="2694" t="s">
        <v>1738</v>
      </c>
      <c r="X51" s="2694" t="s">
        <v>1099</v>
      </c>
      <c r="Y51" s="2694" t="s">
        <v>1099</v>
      </c>
      <c r="Z51" s="2694" t="s">
        <v>1099</v>
      </c>
      <c r="AA51" s="2694" t="s">
        <v>1099</v>
      </c>
      <c r="AB51" s="656" t="s">
        <v>2834</v>
      </c>
    </row>
    <row r="52" spans="1:28" s="221" customFormat="1" ht="48" customHeight="1">
      <c r="A52" s="2690"/>
      <c r="B52" s="2703"/>
      <c r="C52" s="2700"/>
      <c r="D52" s="725" t="s">
        <v>1067</v>
      </c>
      <c r="E52" s="726">
        <f>E51</f>
        <v>17.899999999999999</v>
      </c>
      <c r="F52" s="727">
        <f t="shared" si="11"/>
        <v>4.4692737430167641E-2</v>
      </c>
      <c r="G52" s="726">
        <f>G51</f>
        <v>25.466000000000001</v>
      </c>
      <c r="H52" s="728">
        <f>H51</f>
        <v>18.7</v>
      </c>
      <c r="I52" s="729">
        <f t="shared" si="5"/>
        <v>0</v>
      </c>
      <c r="J52" s="726">
        <f t="shared" ref="J52:O52" si="43">J51</f>
        <v>18.7</v>
      </c>
      <c r="K52" s="728">
        <f t="shared" si="43"/>
        <v>18.7</v>
      </c>
      <c r="L52" s="728">
        <f>L51</f>
        <v>18.600000000000001</v>
      </c>
      <c r="M52" s="1464">
        <f t="shared" ref="M52" si="44">M51</f>
        <v>24.754999999999999</v>
      </c>
      <c r="N52" s="2056">
        <f t="shared" si="6"/>
        <v>-5.3475935828875866E-3</v>
      </c>
      <c r="O52" s="728">
        <f t="shared" si="43"/>
        <v>18.600000000000001</v>
      </c>
      <c r="P52" s="1464">
        <f t="shared" ref="P52" si="45">P51</f>
        <v>25.954999999999998</v>
      </c>
      <c r="Q52" s="728">
        <f t="shared" ref="Q52:R52" si="46">Q51</f>
        <v>18.600000000000001</v>
      </c>
      <c r="R52" s="1464">
        <f t="shared" si="46"/>
        <v>27.204999999999998</v>
      </c>
      <c r="S52" s="2697"/>
      <c r="T52" s="2704"/>
      <c r="U52" s="2694"/>
      <c r="V52" s="2694"/>
      <c r="W52" s="2694"/>
      <c r="X52" s="2694"/>
      <c r="Y52" s="2694"/>
      <c r="Z52" s="2694"/>
      <c r="AA52" s="2694"/>
      <c r="AB52" s="656" t="s">
        <v>2835</v>
      </c>
    </row>
    <row r="53" spans="1:28" s="221" customFormat="1" ht="30.75" customHeight="1">
      <c r="A53" s="2690" t="s">
        <v>2683</v>
      </c>
      <c r="B53" s="2703" t="s">
        <v>705</v>
      </c>
      <c r="C53" s="2700">
        <v>188711925</v>
      </c>
      <c r="D53" s="706" t="s">
        <v>1072</v>
      </c>
      <c r="E53" s="720">
        <v>2.2000000000000002</v>
      </c>
      <c r="F53" s="721">
        <f t="shared" si="11"/>
        <v>0</v>
      </c>
      <c r="G53" s="720">
        <v>2.5299999999999998</v>
      </c>
      <c r="H53" s="722">
        <v>2.2000000000000002</v>
      </c>
      <c r="I53" s="723">
        <f>K53/H53-1</f>
        <v>0</v>
      </c>
      <c r="J53" s="720">
        <v>2.2000000000000002</v>
      </c>
      <c r="K53" s="722">
        <v>2.2000000000000002</v>
      </c>
      <c r="L53" s="722">
        <v>2.1</v>
      </c>
      <c r="M53" s="1496">
        <v>1.87</v>
      </c>
      <c r="N53" s="2055">
        <f t="shared" si="6"/>
        <v>-4.5454545454545491E-2</v>
      </c>
      <c r="O53" s="722">
        <v>2.1</v>
      </c>
      <c r="P53" s="1496">
        <v>1.96</v>
      </c>
      <c r="Q53" s="722">
        <v>2.1</v>
      </c>
      <c r="R53" s="1496">
        <v>2.06</v>
      </c>
      <c r="S53" s="2697" t="s">
        <v>2141</v>
      </c>
      <c r="T53" s="2704" t="s">
        <v>2711</v>
      </c>
      <c r="U53" s="2694" t="s">
        <v>1142</v>
      </c>
      <c r="V53" s="2694" t="s">
        <v>1089</v>
      </c>
      <c r="W53" s="2694" t="s">
        <v>4</v>
      </c>
      <c r="X53" s="2694" t="s">
        <v>4</v>
      </c>
      <c r="Y53" s="2694" t="s">
        <v>4</v>
      </c>
      <c r="Z53" s="2694" t="s">
        <v>4</v>
      </c>
      <c r="AA53" s="2694" t="s">
        <v>4</v>
      </c>
      <c r="AB53" s="2694" t="s">
        <v>2836</v>
      </c>
    </row>
    <row r="54" spans="1:28" s="221" customFormat="1" ht="45.6" customHeight="1">
      <c r="A54" s="2690"/>
      <c r="B54" s="2703"/>
      <c r="C54" s="2700"/>
      <c r="D54" s="725" t="s">
        <v>1067</v>
      </c>
      <c r="E54" s="726">
        <f>E53</f>
        <v>2.2000000000000002</v>
      </c>
      <c r="F54" s="727">
        <f t="shared" si="11"/>
        <v>0</v>
      </c>
      <c r="G54" s="726">
        <f>G53</f>
        <v>2.5299999999999998</v>
      </c>
      <c r="H54" s="728">
        <f>H53</f>
        <v>2.2000000000000002</v>
      </c>
      <c r="I54" s="729">
        <f>K54/H54-1</f>
        <v>0</v>
      </c>
      <c r="J54" s="726">
        <f t="shared" ref="J54:O54" si="47">J53</f>
        <v>2.2000000000000002</v>
      </c>
      <c r="K54" s="728">
        <f t="shared" si="47"/>
        <v>2.2000000000000002</v>
      </c>
      <c r="L54" s="728">
        <f t="shared" si="47"/>
        <v>2.1</v>
      </c>
      <c r="M54" s="1464">
        <f t="shared" ref="M54" si="48">M53</f>
        <v>1.87</v>
      </c>
      <c r="N54" s="2056">
        <f t="shared" si="6"/>
        <v>-4.5454545454545491E-2</v>
      </c>
      <c r="O54" s="728">
        <f t="shared" si="47"/>
        <v>2.1</v>
      </c>
      <c r="P54" s="1464">
        <f t="shared" ref="P54" si="49">P53</f>
        <v>1.96</v>
      </c>
      <c r="Q54" s="728">
        <f t="shared" ref="Q54:R54" si="50">Q53</f>
        <v>2.1</v>
      </c>
      <c r="R54" s="1464">
        <f t="shared" si="50"/>
        <v>2.06</v>
      </c>
      <c r="S54" s="2697"/>
      <c r="T54" s="2704"/>
      <c r="U54" s="2694"/>
      <c r="V54" s="2694"/>
      <c r="W54" s="2694"/>
      <c r="X54" s="2694"/>
      <c r="Y54" s="2694"/>
      <c r="Z54" s="2694"/>
      <c r="AA54" s="2694"/>
      <c r="AB54" s="2694"/>
    </row>
    <row r="55" spans="1:28" s="221" customFormat="1" ht="30" customHeight="1">
      <c r="A55" s="2690" t="s">
        <v>2682</v>
      </c>
      <c r="B55" s="2703" t="s">
        <v>371</v>
      </c>
      <c r="C55" s="2700">
        <v>188711925</v>
      </c>
      <c r="D55" s="706" t="s">
        <v>1072</v>
      </c>
      <c r="E55" s="720">
        <v>0.4</v>
      </c>
      <c r="F55" s="721">
        <f t="shared" si="11"/>
        <v>0</v>
      </c>
      <c r="G55" s="720">
        <v>0.4</v>
      </c>
      <c r="H55" s="722">
        <v>0.4</v>
      </c>
      <c r="I55" s="723">
        <f t="shared" si="5"/>
        <v>-0.10000000000000009</v>
      </c>
      <c r="J55" s="720"/>
      <c r="K55" s="722">
        <v>0.36</v>
      </c>
      <c r="L55" s="722">
        <v>0.34</v>
      </c>
      <c r="M55" s="1496">
        <v>0.34</v>
      </c>
      <c r="N55" s="2055">
        <f t="shared" si="6"/>
        <v>-5.5555555555555455E-2</v>
      </c>
      <c r="O55" s="722">
        <v>0.34</v>
      </c>
      <c r="P55" s="1496">
        <v>0.35499999999999998</v>
      </c>
      <c r="Q55" s="722">
        <v>0.34</v>
      </c>
      <c r="R55" s="1496">
        <v>0.375</v>
      </c>
      <c r="S55" s="2697"/>
      <c r="T55" s="2704" t="s">
        <v>2712</v>
      </c>
      <c r="U55" s="2694" t="s">
        <v>1143</v>
      </c>
      <c r="V55" s="2694" t="s">
        <v>2147</v>
      </c>
      <c r="W55" s="2694" t="s">
        <v>2147</v>
      </c>
      <c r="X55" s="2694" t="s">
        <v>1872</v>
      </c>
      <c r="Y55" s="2694" t="s">
        <v>1873</v>
      </c>
      <c r="Z55" s="2694" t="s">
        <v>1873</v>
      </c>
      <c r="AA55" s="2694" t="s">
        <v>1873</v>
      </c>
      <c r="AB55" s="2694"/>
    </row>
    <row r="56" spans="1:28" s="221" customFormat="1" ht="42.6" customHeight="1">
      <c r="A56" s="2690"/>
      <c r="B56" s="2703"/>
      <c r="C56" s="2700"/>
      <c r="D56" s="725" t="s">
        <v>1067</v>
      </c>
      <c r="E56" s="726">
        <f>E55</f>
        <v>0.4</v>
      </c>
      <c r="F56" s="727">
        <f t="shared" si="11"/>
        <v>0</v>
      </c>
      <c r="G56" s="726">
        <f>G55</f>
        <v>0.4</v>
      </c>
      <c r="H56" s="728">
        <f>H55</f>
        <v>0.4</v>
      </c>
      <c r="I56" s="729">
        <f t="shared" si="5"/>
        <v>-0.10000000000000009</v>
      </c>
      <c r="J56" s="726">
        <f t="shared" ref="J56:O56" si="51">J55</f>
        <v>0</v>
      </c>
      <c r="K56" s="728">
        <f t="shared" si="51"/>
        <v>0.36</v>
      </c>
      <c r="L56" s="728">
        <f t="shared" si="51"/>
        <v>0.34</v>
      </c>
      <c r="M56" s="1464">
        <f t="shared" ref="M56" si="52">M55</f>
        <v>0.34</v>
      </c>
      <c r="N56" s="2056">
        <f t="shared" si="6"/>
        <v>-5.5555555555555455E-2</v>
      </c>
      <c r="O56" s="728">
        <f t="shared" si="51"/>
        <v>0.34</v>
      </c>
      <c r="P56" s="1464">
        <f t="shared" ref="P56" si="53">P55</f>
        <v>0.35499999999999998</v>
      </c>
      <c r="Q56" s="728">
        <f t="shared" ref="Q56:R56" si="54">Q55</f>
        <v>0.34</v>
      </c>
      <c r="R56" s="1464">
        <f t="shared" si="54"/>
        <v>0.375</v>
      </c>
      <c r="S56" s="2697"/>
      <c r="T56" s="2704"/>
      <c r="U56" s="2694"/>
      <c r="V56" s="2694"/>
      <c r="W56" s="2694"/>
      <c r="X56" s="2694"/>
      <c r="Y56" s="2694"/>
      <c r="Z56" s="2694"/>
      <c r="AA56" s="2694"/>
      <c r="AB56" s="2694"/>
    </row>
    <row r="57" spans="1:28" s="221" customFormat="1" ht="26.25" customHeight="1">
      <c r="A57" s="2690" t="s">
        <v>2681</v>
      </c>
      <c r="B57" s="2703" t="s">
        <v>704</v>
      </c>
      <c r="C57" s="2700">
        <v>188711925</v>
      </c>
      <c r="D57" s="706" t="s">
        <v>1072</v>
      </c>
      <c r="E57" s="720">
        <v>0.1</v>
      </c>
      <c r="F57" s="721">
        <f t="shared" si="11"/>
        <v>0</v>
      </c>
      <c r="G57" s="720">
        <v>0.1</v>
      </c>
      <c r="H57" s="722">
        <v>0.1</v>
      </c>
      <c r="I57" s="723">
        <f t="shared" si="5"/>
        <v>0</v>
      </c>
      <c r="J57" s="720"/>
      <c r="K57" s="722">
        <v>0.1</v>
      </c>
      <c r="L57" s="722">
        <v>0.1</v>
      </c>
      <c r="M57" s="1496">
        <v>0.1</v>
      </c>
      <c r="N57" s="2055">
        <f t="shared" si="6"/>
        <v>0</v>
      </c>
      <c r="O57" s="722">
        <v>0.1</v>
      </c>
      <c r="P57" s="1496">
        <v>0.1</v>
      </c>
      <c r="Q57" s="722">
        <v>0.1</v>
      </c>
      <c r="R57" s="1496">
        <v>0.1</v>
      </c>
      <c r="S57" s="2697"/>
      <c r="T57" s="2704" t="s">
        <v>2713</v>
      </c>
      <c r="U57" s="2694" t="s">
        <v>1144</v>
      </c>
      <c r="V57" s="2694" t="s">
        <v>1879</v>
      </c>
      <c r="W57" s="2694">
        <v>100</v>
      </c>
      <c r="X57" s="2694">
        <v>100</v>
      </c>
      <c r="Y57" s="2694">
        <v>100</v>
      </c>
      <c r="Z57" s="2694">
        <v>100</v>
      </c>
      <c r="AA57" s="2694">
        <v>100</v>
      </c>
      <c r="AB57" s="2694"/>
    </row>
    <row r="58" spans="1:28" s="221" customFormat="1" ht="39.6" customHeight="1">
      <c r="A58" s="2690"/>
      <c r="B58" s="2703"/>
      <c r="C58" s="2700"/>
      <c r="D58" s="725" t="s">
        <v>1067</v>
      </c>
      <c r="E58" s="726">
        <f>E57</f>
        <v>0.1</v>
      </c>
      <c r="F58" s="727">
        <f t="shared" si="11"/>
        <v>0</v>
      </c>
      <c r="G58" s="726">
        <f>G57</f>
        <v>0.1</v>
      </c>
      <c r="H58" s="728">
        <f>H57</f>
        <v>0.1</v>
      </c>
      <c r="I58" s="729">
        <f t="shared" si="5"/>
        <v>0</v>
      </c>
      <c r="J58" s="726">
        <f t="shared" ref="J58:O58" si="55">J57</f>
        <v>0</v>
      </c>
      <c r="K58" s="728">
        <f t="shared" si="55"/>
        <v>0.1</v>
      </c>
      <c r="L58" s="728">
        <f t="shared" si="55"/>
        <v>0.1</v>
      </c>
      <c r="M58" s="1464">
        <f t="shared" ref="M58" si="56">M57</f>
        <v>0.1</v>
      </c>
      <c r="N58" s="2056">
        <f t="shared" si="6"/>
        <v>0</v>
      </c>
      <c r="O58" s="728">
        <f t="shared" si="55"/>
        <v>0.1</v>
      </c>
      <c r="P58" s="1464">
        <f t="shared" ref="P58" si="57">P57</f>
        <v>0.1</v>
      </c>
      <c r="Q58" s="728">
        <f t="shared" ref="Q58:R58" si="58">Q57</f>
        <v>0.1</v>
      </c>
      <c r="R58" s="1464">
        <f t="shared" si="58"/>
        <v>0.1</v>
      </c>
      <c r="S58" s="2697"/>
      <c r="T58" s="2704"/>
      <c r="U58" s="2694"/>
      <c r="V58" s="2694"/>
      <c r="W58" s="2694"/>
      <c r="X58" s="2694"/>
      <c r="Y58" s="2694"/>
      <c r="Z58" s="2694"/>
      <c r="AA58" s="2694"/>
      <c r="AB58" s="2694"/>
    </row>
    <row r="59" spans="1:28" s="221" customFormat="1" ht="27.75" customHeight="1">
      <c r="A59" s="2690" t="s">
        <v>2825</v>
      </c>
      <c r="B59" s="2703" t="s">
        <v>596</v>
      </c>
      <c r="C59" s="2700">
        <v>188711925</v>
      </c>
      <c r="D59" s="706" t="s">
        <v>1072</v>
      </c>
      <c r="E59" s="720">
        <v>16.39</v>
      </c>
      <c r="F59" s="721">
        <f t="shared" si="11"/>
        <v>7.6266015863331302E-2</v>
      </c>
      <c r="G59" s="720">
        <v>16.55</v>
      </c>
      <c r="H59" s="722">
        <v>17.64</v>
      </c>
      <c r="I59" s="723">
        <f t="shared" si="5"/>
        <v>-4.4217687074829981E-2</v>
      </c>
      <c r="J59" s="720"/>
      <c r="K59" s="722">
        <v>16.86</v>
      </c>
      <c r="L59" s="722">
        <v>19.07</v>
      </c>
      <c r="M59" s="1496">
        <v>17.010000000000002</v>
      </c>
      <c r="N59" s="2055">
        <f t="shared" si="6"/>
        <v>0.13107947805456707</v>
      </c>
      <c r="O59" s="722">
        <v>19.07</v>
      </c>
      <c r="P59" s="1496">
        <v>17.84</v>
      </c>
      <c r="Q59" s="722">
        <v>19.07</v>
      </c>
      <c r="R59" s="1496">
        <v>18.704999999999998</v>
      </c>
      <c r="S59" s="2697"/>
      <c r="T59" s="2704" t="s">
        <v>2320</v>
      </c>
      <c r="U59" s="2694" t="s">
        <v>1145</v>
      </c>
      <c r="V59" s="2694" t="s">
        <v>1880</v>
      </c>
      <c r="W59" s="2694">
        <v>100</v>
      </c>
      <c r="X59" s="2694">
        <v>100</v>
      </c>
      <c r="Y59" s="2694">
        <v>100</v>
      </c>
      <c r="Z59" s="2694">
        <v>100</v>
      </c>
      <c r="AA59" s="2694">
        <v>100</v>
      </c>
      <c r="AB59" s="2694"/>
    </row>
    <row r="60" spans="1:28" s="221" customFormat="1" ht="27.75" hidden="1" customHeight="1">
      <c r="A60" s="2690"/>
      <c r="B60" s="2703"/>
      <c r="C60" s="2700"/>
      <c r="D60" s="706" t="s">
        <v>470</v>
      </c>
      <c r="E60" s="720"/>
      <c r="F60" s="721"/>
      <c r="G60" s="720"/>
      <c r="H60" s="753"/>
      <c r="I60" s="723"/>
      <c r="J60" s="720"/>
      <c r="K60" s="722"/>
      <c r="L60" s="722"/>
      <c r="M60" s="1496"/>
      <c r="N60" s="2055" t="e">
        <f t="shared" si="6"/>
        <v>#DIV/0!</v>
      </c>
      <c r="O60" s="722"/>
      <c r="P60" s="1496"/>
      <c r="Q60" s="722"/>
      <c r="R60" s="1496"/>
      <c r="S60" s="2697"/>
      <c r="T60" s="2704"/>
      <c r="U60" s="2694"/>
      <c r="V60" s="2694"/>
      <c r="W60" s="2694"/>
      <c r="X60" s="2694"/>
      <c r="Y60" s="2694"/>
      <c r="Z60" s="2694"/>
      <c r="AA60" s="2694"/>
      <c r="AB60" s="2694"/>
    </row>
    <row r="61" spans="1:28" s="221" customFormat="1" ht="29.25" customHeight="1">
      <c r="A61" s="2690"/>
      <c r="B61" s="2703"/>
      <c r="C61" s="2700"/>
      <c r="D61" s="725" t="s">
        <v>1067</v>
      </c>
      <c r="E61" s="726">
        <f>E59</f>
        <v>16.39</v>
      </c>
      <c r="F61" s="727">
        <f t="shared" si="11"/>
        <v>7.6266015863331302E-2</v>
      </c>
      <c r="G61" s="726">
        <f>G59+G60</f>
        <v>16.55</v>
      </c>
      <c r="H61" s="728">
        <f>H59+H60</f>
        <v>17.64</v>
      </c>
      <c r="I61" s="729">
        <f t="shared" si="5"/>
        <v>-4.4217687074829981E-2</v>
      </c>
      <c r="J61" s="726">
        <f t="shared" ref="J61:O61" si="59">J59+J60</f>
        <v>0</v>
      </c>
      <c r="K61" s="728">
        <f t="shared" si="59"/>
        <v>16.86</v>
      </c>
      <c r="L61" s="728">
        <f>L59+L60</f>
        <v>19.07</v>
      </c>
      <c r="M61" s="1464">
        <f t="shared" ref="M61" si="60">M59+M60</f>
        <v>17.010000000000002</v>
      </c>
      <c r="N61" s="2056">
        <f t="shared" si="6"/>
        <v>0.13107947805456707</v>
      </c>
      <c r="O61" s="728">
        <f t="shared" si="59"/>
        <v>19.07</v>
      </c>
      <c r="P61" s="1464">
        <f t="shared" ref="P61" si="61">P59+P60</f>
        <v>17.84</v>
      </c>
      <c r="Q61" s="728">
        <f t="shared" ref="Q61:R61" si="62">Q59+Q60</f>
        <v>19.07</v>
      </c>
      <c r="R61" s="1464">
        <f t="shared" si="62"/>
        <v>18.704999999999998</v>
      </c>
      <c r="S61" s="2697"/>
      <c r="T61" s="2704"/>
      <c r="U61" s="2694"/>
      <c r="V61" s="2694"/>
      <c r="W61" s="2694"/>
      <c r="X61" s="2694"/>
      <c r="Y61" s="2694"/>
      <c r="Z61" s="2694"/>
      <c r="AA61" s="2694"/>
      <c r="AB61" s="2694"/>
    </row>
    <row r="62" spans="1:28" s="221" customFormat="1" ht="27.75" customHeight="1">
      <c r="A62" s="2690" t="s">
        <v>2680</v>
      </c>
      <c r="B62" s="2703" t="s">
        <v>2828</v>
      </c>
      <c r="C62" s="2700">
        <v>188711925</v>
      </c>
      <c r="D62" s="706" t="s">
        <v>1111</v>
      </c>
      <c r="E62" s="720"/>
      <c r="F62" s="721"/>
      <c r="G62" s="720"/>
      <c r="H62" s="722">
        <v>24.419</v>
      </c>
      <c r="I62" s="723">
        <f t="shared" si="5"/>
        <v>0</v>
      </c>
      <c r="J62" s="720"/>
      <c r="K62" s="722">
        <v>24.419</v>
      </c>
      <c r="L62" s="722">
        <v>24.419</v>
      </c>
      <c r="M62" s="1496">
        <v>25.29</v>
      </c>
      <c r="N62" s="2055">
        <f t="shared" si="6"/>
        <v>0</v>
      </c>
      <c r="O62" s="722">
        <v>24.419</v>
      </c>
      <c r="P62" s="1496">
        <v>26.512</v>
      </c>
      <c r="Q62" s="722">
        <v>24.419</v>
      </c>
      <c r="R62" s="1496">
        <v>27.78</v>
      </c>
      <c r="S62" s="2697"/>
      <c r="T62" s="2704" t="s">
        <v>4323</v>
      </c>
      <c r="U62" s="2694" t="s">
        <v>2829</v>
      </c>
      <c r="V62" s="2694" t="s">
        <v>2830</v>
      </c>
      <c r="W62" s="2694">
        <v>100</v>
      </c>
      <c r="X62" s="2694">
        <v>100</v>
      </c>
      <c r="Y62" s="2694">
        <v>100</v>
      </c>
      <c r="Z62" s="2694">
        <v>100</v>
      </c>
      <c r="AA62" s="2694">
        <v>100</v>
      </c>
      <c r="AB62" s="2694"/>
    </row>
    <row r="63" spans="1:28" s="221" customFormat="1" ht="27.75" hidden="1" customHeight="1">
      <c r="A63" s="2690"/>
      <c r="B63" s="2703"/>
      <c r="C63" s="2700"/>
      <c r="D63" s="706" t="s">
        <v>470</v>
      </c>
      <c r="E63" s="720"/>
      <c r="F63" s="721"/>
      <c r="G63" s="720"/>
      <c r="H63" s="753"/>
      <c r="I63" s="723"/>
      <c r="J63" s="720"/>
      <c r="K63" s="722"/>
      <c r="L63" s="722"/>
      <c r="M63" s="1496"/>
      <c r="N63" s="2055" t="e">
        <f t="shared" si="6"/>
        <v>#DIV/0!</v>
      </c>
      <c r="O63" s="722"/>
      <c r="P63" s="1496"/>
      <c r="Q63" s="722"/>
      <c r="R63" s="1496"/>
      <c r="S63" s="2697"/>
      <c r="T63" s="2704"/>
      <c r="U63" s="2694"/>
      <c r="V63" s="2694"/>
      <c r="W63" s="2694"/>
      <c r="X63" s="2694"/>
      <c r="Y63" s="2694"/>
      <c r="Z63" s="2694"/>
      <c r="AA63" s="2694"/>
      <c r="AB63" s="2694"/>
    </row>
    <row r="64" spans="1:28" s="221" customFormat="1" ht="67.5" customHeight="1">
      <c r="A64" s="2690"/>
      <c r="B64" s="2703"/>
      <c r="C64" s="2700"/>
      <c r="D64" s="725" t="s">
        <v>1067</v>
      </c>
      <c r="E64" s="726"/>
      <c r="F64" s="727"/>
      <c r="G64" s="726"/>
      <c r="H64" s="728">
        <f>H62</f>
        <v>24.419</v>
      </c>
      <c r="I64" s="729">
        <f t="shared" si="5"/>
        <v>0</v>
      </c>
      <c r="J64" s="726">
        <f t="shared" ref="J64" si="63">J62</f>
        <v>0</v>
      </c>
      <c r="K64" s="728">
        <f>K62+K63</f>
        <v>24.419</v>
      </c>
      <c r="L64" s="728">
        <f t="shared" ref="L64:O64" si="64">L62+L63</f>
        <v>24.419</v>
      </c>
      <c r="M64" s="1464">
        <f t="shared" ref="M64" si="65">M62+M63</f>
        <v>25.29</v>
      </c>
      <c r="N64" s="2056">
        <f t="shared" si="6"/>
        <v>0</v>
      </c>
      <c r="O64" s="728">
        <f t="shared" si="64"/>
        <v>24.419</v>
      </c>
      <c r="P64" s="1464">
        <f t="shared" ref="P64" si="66">P62+P63</f>
        <v>26.512</v>
      </c>
      <c r="Q64" s="728">
        <f t="shared" ref="Q64:R64" si="67">Q62+Q63</f>
        <v>24.419</v>
      </c>
      <c r="R64" s="1464">
        <f t="shared" si="67"/>
        <v>27.78</v>
      </c>
      <c r="S64" s="2697"/>
      <c r="T64" s="2704"/>
      <c r="U64" s="2694"/>
      <c r="V64" s="2694"/>
      <c r="W64" s="2694"/>
      <c r="X64" s="2694"/>
      <c r="Y64" s="2694"/>
      <c r="Z64" s="2694"/>
      <c r="AA64" s="2694"/>
      <c r="AB64" s="2694"/>
    </row>
    <row r="65" spans="1:28" s="221" customFormat="1" ht="30.6" customHeight="1">
      <c r="A65" s="2690" t="s">
        <v>2679</v>
      </c>
      <c r="B65" s="2703" t="s">
        <v>706</v>
      </c>
      <c r="C65" s="2700">
        <v>188711925</v>
      </c>
      <c r="D65" s="706" t="s">
        <v>1072</v>
      </c>
      <c r="E65" s="720">
        <v>13.1</v>
      </c>
      <c r="F65" s="721">
        <f t="shared" si="11"/>
        <v>1.1702290076335877</v>
      </c>
      <c r="G65" s="720">
        <v>20.36</v>
      </c>
      <c r="H65" s="722">
        <v>28.43</v>
      </c>
      <c r="I65" s="723">
        <f t="shared" si="5"/>
        <v>-0.47590573338023212</v>
      </c>
      <c r="J65" s="720"/>
      <c r="K65" s="722">
        <v>14.9</v>
      </c>
      <c r="L65" s="722">
        <v>16.47</v>
      </c>
      <c r="M65" s="1496">
        <v>22.01</v>
      </c>
      <c r="N65" s="2055">
        <f t="shared" si="6"/>
        <v>0.10536912751677842</v>
      </c>
      <c r="O65" s="722">
        <v>16.47</v>
      </c>
      <c r="P65" s="1496">
        <v>23.06</v>
      </c>
      <c r="Q65" s="722">
        <v>16.47</v>
      </c>
      <c r="R65" s="1496">
        <v>24.18</v>
      </c>
      <c r="S65" s="2697"/>
      <c r="T65" s="2704" t="s">
        <v>2321</v>
      </c>
      <c r="U65" s="2694" t="s">
        <v>1146</v>
      </c>
      <c r="V65" s="2694" t="s">
        <v>1881</v>
      </c>
      <c r="W65" s="2694">
        <v>100</v>
      </c>
      <c r="X65" s="2694">
        <v>100</v>
      </c>
      <c r="Y65" s="2694">
        <v>100</v>
      </c>
      <c r="Z65" s="2694">
        <v>100</v>
      </c>
      <c r="AA65" s="2694">
        <v>100</v>
      </c>
      <c r="AB65" s="2694"/>
    </row>
    <row r="66" spans="1:28" s="221" customFormat="1" ht="54" customHeight="1">
      <c r="A66" s="2690"/>
      <c r="B66" s="2703"/>
      <c r="C66" s="2700"/>
      <c r="D66" s="725" t="s">
        <v>1067</v>
      </c>
      <c r="E66" s="726">
        <f>E65</f>
        <v>13.1</v>
      </c>
      <c r="F66" s="727">
        <f t="shared" si="11"/>
        <v>1.1702290076335877</v>
      </c>
      <c r="G66" s="726">
        <f>G65</f>
        <v>20.36</v>
      </c>
      <c r="H66" s="728">
        <f>H65</f>
        <v>28.43</v>
      </c>
      <c r="I66" s="729">
        <f t="shared" si="5"/>
        <v>-0.47590573338023212</v>
      </c>
      <c r="J66" s="726">
        <f t="shared" ref="J66:O66" si="68">J65</f>
        <v>0</v>
      </c>
      <c r="K66" s="728">
        <f t="shared" si="68"/>
        <v>14.9</v>
      </c>
      <c r="L66" s="728">
        <f t="shared" si="68"/>
        <v>16.47</v>
      </c>
      <c r="M66" s="1464">
        <f t="shared" ref="M66" si="69">M65</f>
        <v>22.01</v>
      </c>
      <c r="N66" s="2056">
        <f t="shared" si="6"/>
        <v>0.10536912751677842</v>
      </c>
      <c r="O66" s="728">
        <f t="shared" si="68"/>
        <v>16.47</v>
      </c>
      <c r="P66" s="1464">
        <f t="shared" ref="P66" si="70">P65</f>
        <v>23.06</v>
      </c>
      <c r="Q66" s="728">
        <f t="shared" ref="Q66:R66" si="71">Q65</f>
        <v>16.47</v>
      </c>
      <c r="R66" s="1464">
        <f t="shared" si="71"/>
        <v>24.18</v>
      </c>
      <c r="S66" s="2697"/>
      <c r="T66" s="2704"/>
      <c r="U66" s="2694"/>
      <c r="V66" s="2694"/>
      <c r="W66" s="2694"/>
      <c r="X66" s="2694"/>
      <c r="Y66" s="2694"/>
      <c r="Z66" s="2694"/>
      <c r="AA66" s="2694"/>
      <c r="AB66" s="2694"/>
    </row>
    <row r="67" spans="1:28" s="221" customFormat="1" ht="33.75" customHeight="1">
      <c r="A67" s="2690" t="s">
        <v>2678</v>
      </c>
      <c r="B67" s="2703" t="s">
        <v>552</v>
      </c>
      <c r="C67" s="2700">
        <v>188711925</v>
      </c>
      <c r="D67" s="706" t="s">
        <v>1072</v>
      </c>
      <c r="E67" s="720">
        <v>13.6</v>
      </c>
      <c r="F67" s="721">
        <f t="shared" si="11"/>
        <v>0.17647058823529416</v>
      </c>
      <c r="G67" s="720">
        <v>14.835000000000001</v>
      </c>
      <c r="H67" s="722">
        <v>16</v>
      </c>
      <c r="I67" s="723">
        <f t="shared" si="5"/>
        <v>-0.26437500000000003</v>
      </c>
      <c r="J67" s="720"/>
      <c r="K67" s="722">
        <v>11.77</v>
      </c>
      <c r="L67" s="722">
        <v>10.37</v>
      </c>
      <c r="M67" s="1496">
        <v>10.34</v>
      </c>
      <c r="N67" s="2055">
        <f t="shared" si="6"/>
        <v>-0.11894647408666104</v>
      </c>
      <c r="O67" s="722">
        <v>10.37</v>
      </c>
      <c r="P67" s="1496">
        <v>10.86</v>
      </c>
      <c r="Q67" s="722">
        <v>10.37</v>
      </c>
      <c r="R67" s="1496">
        <v>11.4</v>
      </c>
      <c r="S67" s="2697"/>
      <c r="T67" s="2704" t="s">
        <v>2714</v>
      </c>
      <c r="U67" s="2694" t="s">
        <v>1147</v>
      </c>
      <c r="V67" s="2694" t="s">
        <v>2377</v>
      </c>
      <c r="W67" s="2694" t="s">
        <v>1874</v>
      </c>
      <c r="X67" s="2694" t="s">
        <v>1875</v>
      </c>
      <c r="Y67" s="2694" t="s">
        <v>1876</v>
      </c>
      <c r="Z67" s="2694" t="s">
        <v>1876</v>
      </c>
      <c r="AA67" s="2694" t="s">
        <v>1876</v>
      </c>
      <c r="AB67" s="2694"/>
    </row>
    <row r="68" spans="1:28" s="221" customFormat="1" ht="34.200000000000003" customHeight="1">
      <c r="A68" s="2690"/>
      <c r="B68" s="2703"/>
      <c r="C68" s="2700"/>
      <c r="D68" s="706" t="s">
        <v>470</v>
      </c>
      <c r="E68" s="657">
        <v>0.68</v>
      </c>
      <c r="F68" s="721">
        <f t="shared" si="11"/>
        <v>-0.30882352941176477</v>
      </c>
      <c r="G68" s="657">
        <v>0.79500000000000004</v>
      </c>
      <c r="H68" s="655">
        <v>0.47</v>
      </c>
      <c r="I68" s="723">
        <f t="shared" si="5"/>
        <v>33.851063829787236</v>
      </c>
      <c r="J68" s="657">
        <v>0.51</v>
      </c>
      <c r="K68" s="722">
        <v>16.38</v>
      </c>
      <c r="L68" s="720"/>
      <c r="M68" s="1496">
        <v>24.04</v>
      </c>
      <c r="N68" s="2055">
        <f t="shared" si="6"/>
        <v>-1</v>
      </c>
      <c r="O68" s="722">
        <f>L68+(L68*10%)</f>
        <v>0</v>
      </c>
      <c r="P68" s="1496">
        <v>18.55</v>
      </c>
      <c r="Q68" s="722">
        <f>O68+(O68*10%)</f>
        <v>0</v>
      </c>
      <c r="R68" s="1496">
        <v>19.47</v>
      </c>
      <c r="S68" s="2697"/>
      <c r="T68" s="2704"/>
      <c r="U68" s="2694"/>
      <c r="V68" s="2694"/>
      <c r="W68" s="2694"/>
      <c r="X68" s="2694"/>
      <c r="Y68" s="2694"/>
      <c r="Z68" s="2694"/>
      <c r="AA68" s="2694"/>
      <c r="AB68" s="2694"/>
    </row>
    <row r="69" spans="1:28" s="221" customFormat="1" ht="41.4" customHeight="1">
      <c r="A69" s="2690"/>
      <c r="B69" s="2703"/>
      <c r="C69" s="2700"/>
      <c r="D69" s="725" t="s">
        <v>1067</v>
      </c>
      <c r="E69" s="726">
        <f>SUM(E67:E68)</f>
        <v>14.28</v>
      </c>
      <c r="F69" s="727">
        <f t="shared" si="11"/>
        <v>0.15336134453781511</v>
      </c>
      <c r="G69" s="726">
        <f>G67+G68</f>
        <v>15.63</v>
      </c>
      <c r="H69" s="728">
        <f>H67+H68</f>
        <v>16.47</v>
      </c>
      <c r="I69" s="729">
        <f t="shared" si="5"/>
        <v>0.70916818457802067</v>
      </c>
      <c r="J69" s="726">
        <f t="shared" ref="J69:O69" si="72">J67+J68</f>
        <v>0.51</v>
      </c>
      <c r="K69" s="728">
        <f>K67+K68</f>
        <v>28.15</v>
      </c>
      <c r="L69" s="728">
        <f>L67+L68</f>
        <v>10.37</v>
      </c>
      <c r="M69" s="1464">
        <f>M67+M68</f>
        <v>34.379999999999995</v>
      </c>
      <c r="N69" s="2056">
        <f t="shared" si="6"/>
        <v>-0.63161634103019548</v>
      </c>
      <c r="O69" s="728">
        <f t="shared" si="72"/>
        <v>10.37</v>
      </c>
      <c r="P69" s="1464">
        <f t="shared" ref="P69" si="73">P67+P68</f>
        <v>29.41</v>
      </c>
      <c r="Q69" s="728">
        <f t="shared" ref="Q69:R69" si="74">Q67+Q68</f>
        <v>10.37</v>
      </c>
      <c r="R69" s="1464">
        <f t="shared" si="74"/>
        <v>30.869999999999997</v>
      </c>
      <c r="S69" s="2697"/>
      <c r="T69" s="2704"/>
      <c r="U69" s="2694"/>
      <c r="V69" s="2694"/>
      <c r="W69" s="2694"/>
      <c r="X69" s="2694"/>
      <c r="Y69" s="2694"/>
      <c r="Z69" s="2694"/>
      <c r="AA69" s="2694"/>
      <c r="AB69" s="2694"/>
    </row>
    <row r="70" spans="1:28" s="221" customFormat="1" ht="31.2" customHeight="1">
      <c r="A70" s="2690" t="s">
        <v>2677</v>
      </c>
      <c r="B70" s="2703" t="s">
        <v>409</v>
      </c>
      <c r="C70" s="2700">
        <v>188711925</v>
      </c>
      <c r="D70" s="706" t="s">
        <v>1072</v>
      </c>
      <c r="E70" s="720">
        <v>0.46</v>
      </c>
      <c r="F70" s="721">
        <f t="shared" si="11"/>
        <v>-0.52173913043478259</v>
      </c>
      <c r="G70" s="720">
        <v>0.46</v>
      </c>
      <c r="H70" s="722">
        <v>0.22</v>
      </c>
      <c r="I70" s="723">
        <f t="shared" si="5"/>
        <v>1.4090909090909092</v>
      </c>
      <c r="J70" s="720"/>
      <c r="K70" s="722">
        <v>0.53</v>
      </c>
      <c r="L70" s="722">
        <v>0.71499999999999997</v>
      </c>
      <c r="M70" s="1496">
        <v>0.53</v>
      </c>
      <c r="N70" s="2055">
        <f t="shared" si="6"/>
        <v>0.34905660377358477</v>
      </c>
      <c r="O70" s="722">
        <v>0.71499999999999997</v>
      </c>
      <c r="P70" s="1496">
        <v>0.53</v>
      </c>
      <c r="Q70" s="722">
        <v>0.71499999999999997</v>
      </c>
      <c r="R70" s="1496">
        <v>0.53</v>
      </c>
      <c r="S70" s="2697"/>
      <c r="T70" s="2704" t="s">
        <v>2715</v>
      </c>
      <c r="U70" s="2694" t="s">
        <v>1148</v>
      </c>
      <c r="V70" s="2694" t="s">
        <v>1882</v>
      </c>
      <c r="W70" s="2694">
        <v>100</v>
      </c>
      <c r="X70" s="2694">
        <v>100</v>
      </c>
      <c r="Y70" s="2694">
        <v>100</v>
      </c>
      <c r="Z70" s="2694">
        <v>100</v>
      </c>
      <c r="AA70" s="2694">
        <v>100</v>
      </c>
      <c r="AB70" s="2694"/>
    </row>
    <row r="71" spans="1:28" s="221" customFormat="1" ht="39" customHeight="1">
      <c r="A71" s="2690"/>
      <c r="B71" s="2703"/>
      <c r="C71" s="2700"/>
      <c r="D71" s="725" t="s">
        <v>1067</v>
      </c>
      <c r="E71" s="726">
        <f>E70</f>
        <v>0.46</v>
      </c>
      <c r="F71" s="727">
        <f t="shared" si="11"/>
        <v>-0.52173913043478259</v>
      </c>
      <c r="G71" s="726">
        <f>G70</f>
        <v>0.46</v>
      </c>
      <c r="H71" s="728">
        <f>H70</f>
        <v>0.22</v>
      </c>
      <c r="I71" s="729">
        <f t="shared" si="5"/>
        <v>1.4090909090909092</v>
      </c>
      <c r="J71" s="726">
        <f t="shared" ref="J71:O71" si="75">J70</f>
        <v>0</v>
      </c>
      <c r="K71" s="728">
        <f t="shared" si="75"/>
        <v>0.53</v>
      </c>
      <c r="L71" s="728">
        <f t="shared" si="75"/>
        <v>0.71499999999999997</v>
      </c>
      <c r="M71" s="1464">
        <f t="shared" ref="M71" si="76">M70</f>
        <v>0.53</v>
      </c>
      <c r="N71" s="2056">
        <f t="shared" si="6"/>
        <v>0.34905660377358477</v>
      </c>
      <c r="O71" s="728">
        <f t="shared" si="75"/>
        <v>0.71499999999999997</v>
      </c>
      <c r="P71" s="1464">
        <f t="shared" ref="P71" si="77">P70</f>
        <v>0.53</v>
      </c>
      <c r="Q71" s="728">
        <f t="shared" ref="Q71:R71" si="78">Q70</f>
        <v>0.71499999999999997</v>
      </c>
      <c r="R71" s="1464">
        <f t="shared" si="78"/>
        <v>0.53</v>
      </c>
      <c r="S71" s="2697"/>
      <c r="T71" s="2704"/>
      <c r="U71" s="2694"/>
      <c r="V71" s="2694"/>
      <c r="W71" s="2694"/>
      <c r="X71" s="2694"/>
      <c r="Y71" s="2694"/>
      <c r="Z71" s="2694"/>
      <c r="AA71" s="2694"/>
      <c r="AB71" s="2694"/>
    </row>
    <row r="72" spans="1:28" s="221" customFormat="1" ht="30.6" customHeight="1">
      <c r="A72" s="2690" t="s">
        <v>2676</v>
      </c>
      <c r="B72" s="2703" t="s">
        <v>713</v>
      </c>
      <c r="C72" s="2700">
        <v>188711925</v>
      </c>
      <c r="D72" s="706" t="s">
        <v>1072</v>
      </c>
      <c r="E72" s="720">
        <v>15.3</v>
      </c>
      <c r="F72" s="721">
        <f t="shared" si="11"/>
        <v>-0.52287581699346408</v>
      </c>
      <c r="G72" s="720">
        <v>16.024999999999999</v>
      </c>
      <c r="H72" s="722">
        <v>7.3</v>
      </c>
      <c r="I72" s="723">
        <f t="shared" si="5"/>
        <v>0</v>
      </c>
      <c r="J72" s="720"/>
      <c r="K72" s="722">
        <v>7.3</v>
      </c>
      <c r="L72" s="722">
        <v>46.9</v>
      </c>
      <c r="M72" s="1496">
        <v>29.585000000000001</v>
      </c>
      <c r="N72" s="2055">
        <f t="shared" si="6"/>
        <v>5.4246575342465757</v>
      </c>
      <c r="O72" s="722">
        <v>46.9</v>
      </c>
      <c r="P72" s="1496">
        <v>30.98</v>
      </c>
      <c r="Q72" s="722">
        <v>46.9</v>
      </c>
      <c r="R72" s="1496">
        <v>32.450000000000003</v>
      </c>
      <c r="S72" s="2697" t="s">
        <v>2148</v>
      </c>
      <c r="T72" s="2704" t="s">
        <v>2717</v>
      </c>
      <c r="U72" s="2694" t="s">
        <v>1149</v>
      </c>
      <c r="V72" s="2694" t="s">
        <v>2716</v>
      </c>
      <c r="W72" s="2694" t="s">
        <v>308</v>
      </c>
      <c r="X72" s="2694" t="s">
        <v>308</v>
      </c>
      <c r="Y72" s="2694" t="s">
        <v>4445</v>
      </c>
      <c r="Z72" s="2694" t="s">
        <v>4445</v>
      </c>
      <c r="AA72" s="2694" t="s">
        <v>4445</v>
      </c>
      <c r="AB72" s="2694" t="s">
        <v>1680</v>
      </c>
    </row>
    <row r="73" spans="1:28" s="221" customFormat="1" ht="63.6" customHeight="1">
      <c r="A73" s="2690"/>
      <c r="B73" s="2703"/>
      <c r="C73" s="2700"/>
      <c r="D73" s="725" t="s">
        <v>1067</v>
      </c>
      <c r="E73" s="726">
        <f>E72</f>
        <v>15.3</v>
      </c>
      <c r="F73" s="727">
        <f t="shared" si="11"/>
        <v>-0.52287581699346408</v>
      </c>
      <c r="G73" s="726">
        <f>G72</f>
        <v>16.024999999999999</v>
      </c>
      <c r="H73" s="728">
        <f>H72</f>
        <v>7.3</v>
      </c>
      <c r="I73" s="729">
        <f t="shared" si="5"/>
        <v>0</v>
      </c>
      <c r="J73" s="726">
        <f t="shared" ref="J73:O73" si="79">J72</f>
        <v>0</v>
      </c>
      <c r="K73" s="728">
        <f t="shared" si="79"/>
        <v>7.3</v>
      </c>
      <c r="L73" s="728">
        <f t="shared" si="79"/>
        <v>46.9</v>
      </c>
      <c r="M73" s="1464">
        <f t="shared" ref="M73" si="80">M72</f>
        <v>29.585000000000001</v>
      </c>
      <c r="N73" s="2056">
        <f t="shared" si="6"/>
        <v>5.4246575342465757</v>
      </c>
      <c r="O73" s="728">
        <f t="shared" si="79"/>
        <v>46.9</v>
      </c>
      <c r="P73" s="1464">
        <f t="shared" ref="P73" si="81">P72</f>
        <v>30.98</v>
      </c>
      <c r="Q73" s="728">
        <f t="shared" ref="Q73" si="82">Q72</f>
        <v>46.9</v>
      </c>
      <c r="R73" s="1464"/>
      <c r="S73" s="2697"/>
      <c r="T73" s="2704"/>
      <c r="U73" s="2694"/>
      <c r="V73" s="2694"/>
      <c r="W73" s="2694"/>
      <c r="X73" s="2694"/>
      <c r="Y73" s="2694"/>
      <c r="Z73" s="2694"/>
      <c r="AA73" s="2694"/>
      <c r="AB73" s="2694"/>
    </row>
    <row r="74" spans="1:28" s="221" customFormat="1" ht="34.5" customHeight="1">
      <c r="A74" s="2690" t="s">
        <v>2675</v>
      </c>
      <c r="B74" s="2703" t="s">
        <v>3691</v>
      </c>
      <c r="C74" s="2700">
        <v>188711925</v>
      </c>
      <c r="D74" s="2690" t="s">
        <v>1072</v>
      </c>
      <c r="E74" s="720">
        <v>48.8</v>
      </c>
      <c r="F74" s="721">
        <f t="shared" si="11"/>
        <v>-0.19057377049180324</v>
      </c>
      <c r="G74" s="720">
        <v>38.07</v>
      </c>
      <c r="H74" s="722">
        <v>39.5</v>
      </c>
      <c r="I74" s="723">
        <f t="shared" si="5"/>
        <v>6.3291139240506222E-2</v>
      </c>
      <c r="J74" s="720">
        <v>42</v>
      </c>
      <c r="K74" s="722">
        <v>42</v>
      </c>
      <c r="L74" s="722">
        <v>46.3</v>
      </c>
      <c r="M74" s="1496">
        <v>41.9</v>
      </c>
      <c r="N74" s="2055">
        <f t="shared" si="6"/>
        <v>0.10238095238095231</v>
      </c>
      <c r="O74" s="722">
        <v>46.3</v>
      </c>
      <c r="P74" s="1496">
        <v>43.67</v>
      </c>
      <c r="Q74" s="722">
        <v>46.3</v>
      </c>
      <c r="R74" s="1496">
        <v>45.52</v>
      </c>
      <c r="S74" s="2697"/>
      <c r="T74" s="2704" t="s">
        <v>3302</v>
      </c>
      <c r="U74" s="2694" t="s">
        <v>1090</v>
      </c>
      <c r="V74" s="2694" t="s">
        <v>1889</v>
      </c>
      <c r="W74" s="2694" t="s">
        <v>1883</v>
      </c>
      <c r="X74" s="2694" t="s">
        <v>1884</v>
      </c>
      <c r="Y74" s="2694" t="s">
        <v>1884</v>
      </c>
      <c r="Z74" s="2694" t="s">
        <v>1884</v>
      </c>
      <c r="AA74" s="2694" t="s">
        <v>1884</v>
      </c>
      <c r="AB74" s="2694"/>
    </row>
    <row r="75" spans="1:28" s="221" customFormat="1" ht="27" hidden="1" customHeight="1">
      <c r="A75" s="2690"/>
      <c r="B75" s="2703"/>
      <c r="C75" s="2700"/>
      <c r="D75" s="2690"/>
      <c r="E75" s="657">
        <v>12</v>
      </c>
      <c r="F75" s="721">
        <f t="shared" si="11"/>
        <v>-1</v>
      </c>
      <c r="G75" s="657"/>
      <c r="H75" s="655"/>
      <c r="I75" s="723" t="e">
        <f t="shared" si="5"/>
        <v>#DIV/0!</v>
      </c>
      <c r="J75" s="657"/>
      <c r="K75" s="722"/>
      <c r="L75" s="722"/>
      <c r="M75" s="1496"/>
      <c r="N75" s="2042" t="e">
        <f t="shared" si="6"/>
        <v>#DIV/0!</v>
      </c>
      <c r="O75" s="722"/>
      <c r="P75" s="1496"/>
      <c r="Q75" s="722"/>
      <c r="R75" s="1496"/>
      <c r="S75" s="2697"/>
      <c r="T75" s="2704"/>
      <c r="U75" s="2694"/>
      <c r="V75" s="2694"/>
      <c r="W75" s="2694"/>
      <c r="X75" s="2694"/>
      <c r="Y75" s="2694"/>
      <c r="Z75" s="2694"/>
      <c r="AA75" s="2694"/>
      <c r="AB75" s="2694"/>
    </row>
    <row r="76" spans="1:28" s="221" customFormat="1" ht="42.75" customHeight="1">
      <c r="A76" s="2690"/>
      <c r="B76" s="2703"/>
      <c r="C76" s="2700"/>
      <c r="D76" s="725" t="s">
        <v>1067</v>
      </c>
      <c r="E76" s="726">
        <f>E74</f>
        <v>48.8</v>
      </c>
      <c r="F76" s="727">
        <f t="shared" si="11"/>
        <v>-0.19057377049180324</v>
      </c>
      <c r="G76" s="726">
        <f>G74+G75</f>
        <v>38.07</v>
      </c>
      <c r="H76" s="728">
        <f>H74+H75</f>
        <v>39.5</v>
      </c>
      <c r="I76" s="729">
        <f t="shared" si="5"/>
        <v>6.3291139240506222E-2</v>
      </c>
      <c r="J76" s="726">
        <f t="shared" ref="J76:R76" si="83">J74+J75</f>
        <v>42</v>
      </c>
      <c r="K76" s="728">
        <f t="shared" si="83"/>
        <v>42</v>
      </c>
      <c r="L76" s="728">
        <f t="shared" si="83"/>
        <v>46.3</v>
      </c>
      <c r="M76" s="1464">
        <f t="shared" si="83"/>
        <v>41.9</v>
      </c>
      <c r="N76" s="2056">
        <f t="shared" si="6"/>
        <v>0.10238095238095231</v>
      </c>
      <c r="O76" s="728">
        <f t="shared" si="83"/>
        <v>46.3</v>
      </c>
      <c r="P76" s="1464">
        <f t="shared" si="83"/>
        <v>43.67</v>
      </c>
      <c r="Q76" s="728">
        <f t="shared" si="83"/>
        <v>46.3</v>
      </c>
      <c r="R76" s="1464">
        <f t="shared" si="83"/>
        <v>45.52</v>
      </c>
      <c r="S76" s="2697"/>
      <c r="T76" s="2704"/>
      <c r="U76" s="2694"/>
      <c r="V76" s="2694"/>
      <c r="W76" s="656"/>
      <c r="X76" s="2694"/>
      <c r="Y76" s="2694"/>
      <c r="Z76" s="2694"/>
      <c r="AA76" s="2694"/>
      <c r="AB76" s="2694"/>
    </row>
    <row r="77" spans="1:28" s="221" customFormat="1" ht="27.75" customHeight="1">
      <c r="A77" s="2690" t="s">
        <v>2674</v>
      </c>
      <c r="B77" s="2703" t="s">
        <v>3583</v>
      </c>
      <c r="C77" s="2700">
        <v>188711925</v>
      </c>
      <c r="D77" s="706" t="s">
        <v>1072</v>
      </c>
      <c r="E77" s="720">
        <v>3.25</v>
      </c>
      <c r="F77" s="721">
        <f t="shared" si="11"/>
        <v>5.8461538461538447E-2</v>
      </c>
      <c r="G77" s="720">
        <v>4.08</v>
      </c>
      <c r="H77" s="722">
        <v>3.44</v>
      </c>
      <c r="I77" s="723">
        <f t="shared" si="5"/>
        <v>4.3604651162790775E-2</v>
      </c>
      <c r="J77" s="720">
        <v>4.8129999999999997</v>
      </c>
      <c r="K77" s="722">
        <v>3.59</v>
      </c>
      <c r="L77" s="722">
        <v>2.93</v>
      </c>
      <c r="M77" s="1496">
        <v>3.59</v>
      </c>
      <c r="N77" s="2055">
        <f t="shared" si="6"/>
        <v>-0.1838440111420612</v>
      </c>
      <c r="O77" s="722">
        <v>2.93</v>
      </c>
      <c r="P77" s="1496">
        <v>3.77</v>
      </c>
      <c r="Q77" s="722">
        <v>2.93</v>
      </c>
      <c r="R77" s="1496">
        <v>3.9550000000000001</v>
      </c>
      <c r="S77" s="2697" t="s">
        <v>2141</v>
      </c>
      <c r="T77" s="2704" t="s">
        <v>2322</v>
      </c>
      <c r="U77" s="2694" t="s">
        <v>1150</v>
      </c>
      <c r="V77" s="2694" t="s">
        <v>1885</v>
      </c>
      <c r="W77" s="2694">
        <v>100</v>
      </c>
      <c r="X77" s="2694">
        <v>100</v>
      </c>
      <c r="Y77" s="2694">
        <v>100</v>
      </c>
      <c r="Z77" s="2694">
        <v>100</v>
      </c>
      <c r="AA77" s="2694">
        <v>100</v>
      </c>
      <c r="AB77" s="2694" t="s">
        <v>2836</v>
      </c>
    </row>
    <row r="78" spans="1:28" s="221" customFormat="1" ht="27" hidden="1" customHeight="1">
      <c r="A78" s="2690"/>
      <c r="B78" s="2703"/>
      <c r="C78" s="2700"/>
      <c r="D78" s="706" t="s">
        <v>470</v>
      </c>
      <c r="E78" s="720"/>
      <c r="F78" s="721"/>
      <c r="G78" s="720"/>
      <c r="H78" s="753"/>
      <c r="I78" s="723"/>
      <c r="J78" s="720"/>
      <c r="K78" s="753"/>
      <c r="L78" s="753"/>
      <c r="M78" s="1496"/>
      <c r="N78" s="2055" t="e">
        <f t="shared" si="6"/>
        <v>#DIV/0!</v>
      </c>
      <c r="O78" s="753"/>
      <c r="P78" s="1496"/>
      <c r="Q78" s="753"/>
      <c r="R78" s="1496"/>
      <c r="S78" s="2697"/>
      <c r="T78" s="2704"/>
      <c r="U78" s="2694"/>
      <c r="V78" s="2694"/>
      <c r="W78" s="2694"/>
      <c r="X78" s="2694"/>
      <c r="Y78" s="2694"/>
      <c r="Z78" s="2694"/>
      <c r="AA78" s="2694"/>
      <c r="AB78" s="2694"/>
    </row>
    <row r="79" spans="1:28" s="221" customFormat="1" ht="29.25" customHeight="1">
      <c r="A79" s="2690"/>
      <c r="B79" s="2703"/>
      <c r="C79" s="2700"/>
      <c r="D79" s="725" t="s">
        <v>1067</v>
      </c>
      <c r="E79" s="726">
        <f>SUM(E77:E78)</f>
        <v>3.25</v>
      </c>
      <c r="F79" s="727">
        <f t="shared" si="11"/>
        <v>5.8461538461538447E-2</v>
      </c>
      <c r="G79" s="726">
        <f t="shared" ref="G79" si="84">SUM(G77:G78)</f>
        <v>4.08</v>
      </c>
      <c r="H79" s="728">
        <f t="shared" ref="H79:O79" si="85">SUM(H77:H78)</f>
        <v>3.44</v>
      </c>
      <c r="I79" s="729">
        <f t="shared" si="5"/>
        <v>4.3604651162790775E-2</v>
      </c>
      <c r="J79" s="726">
        <f t="shared" si="85"/>
        <v>4.8129999999999997</v>
      </c>
      <c r="K79" s="728">
        <f t="shared" si="85"/>
        <v>3.59</v>
      </c>
      <c r="L79" s="728">
        <f t="shared" si="85"/>
        <v>2.93</v>
      </c>
      <c r="M79" s="1464">
        <f t="shared" ref="M79" si="86">SUM(M77:M78)</f>
        <v>3.59</v>
      </c>
      <c r="N79" s="2056">
        <f t="shared" si="6"/>
        <v>-0.1838440111420612</v>
      </c>
      <c r="O79" s="728">
        <f t="shared" si="85"/>
        <v>2.93</v>
      </c>
      <c r="P79" s="1464">
        <f t="shared" ref="P79" si="87">SUM(P77:P78)</f>
        <v>3.77</v>
      </c>
      <c r="Q79" s="728">
        <f t="shared" ref="Q79:R79" si="88">SUM(Q77:Q78)</f>
        <v>2.93</v>
      </c>
      <c r="R79" s="1464">
        <f t="shared" si="88"/>
        <v>3.9550000000000001</v>
      </c>
      <c r="S79" s="2697"/>
      <c r="T79" s="2704"/>
      <c r="U79" s="2694"/>
      <c r="V79" s="2694"/>
      <c r="W79" s="2694"/>
      <c r="X79" s="2694"/>
      <c r="Y79" s="2694"/>
      <c r="Z79" s="2694"/>
      <c r="AA79" s="2694"/>
      <c r="AB79" s="2694"/>
    </row>
    <row r="80" spans="1:28" s="221" customFormat="1" ht="31.5" customHeight="1">
      <c r="A80" s="2690" t="s">
        <v>2673</v>
      </c>
      <c r="B80" s="2703" t="s">
        <v>407</v>
      </c>
      <c r="C80" s="2700">
        <v>188711925</v>
      </c>
      <c r="D80" s="706" t="s">
        <v>1072</v>
      </c>
      <c r="E80" s="720">
        <v>11.2</v>
      </c>
      <c r="F80" s="721">
        <f t="shared" si="11"/>
        <v>-0.38392857142857134</v>
      </c>
      <c r="G80" s="720">
        <v>7.67</v>
      </c>
      <c r="H80" s="722">
        <v>6.9</v>
      </c>
      <c r="I80" s="723">
        <f t="shared" si="5"/>
        <v>0.24637681159420288</v>
      </c>
      <c r="J80" s="720"/>
      <c r="K80" s="722">
        <v>8.6</v>
      </c>
      <c r="L80" s="722">
        <v>7.3</v>
      </c>
      <c r="M80" s="1496">
        <v>8.6050000000000004</v>
      </c>
      <c r="N80" s="2055">
        <f t="shared" si="6"/>
        <v>-0.15116279069767441</v>
      </c>
      <c r="O80" s="722">
        <v>7.3</v>
      </c>
      <c r="P80" s="1496">
        <v>8.9849999999999994</v>
      </c>
      <c r="Q80" s="722">
        <v>7.3</v>
      </c>
      <c r="R80" s="1496">
        <v>9.39</v>
      </c>
      <c r="S80" s="2697"/>
      <c r="T80" s="2704" t="s">
        <v>2804</v>
      </c>
      <c r="U80" s="2694" t="s">
        <v>1151</v>
      </c>
      <c r="V80" s="2694" t="s">
        <v>2805</v>
      </c>
      <c r="W80" s="2694">
        <v>100</v>
      </c>
      <c r="X80" s="2694">
        <v>100</v>
      </c>
      <c r="Y80" s="2694">
        <v>100</v>
      </c>
      <c r="Z80" s="2694">
        <v>100</v>
      </c>
      <c r="AA80" s="2694">
        <v>100</v>
      </c>
      <c r="AB80" s="2694"/>
    </row>
    <row r="81" spans="1:28" s="221" customFormat="1" ht="34.200000000000003" customHeight="1">
      <c r="A81" s="2690"/>
      <c r="B81" s="2703"/>
      <c r="C81" s="2700"/>
      <c r="D81" s="725" t="s">
        <v>1067</v>
      </c>
      <c r="E81" s="726">
        <f>E80</f>
        <v>11.2</v>
      </c>
      <c r="F81" s="727">
        <f t="shared" si="11"/>
        <v>-0.38392857142857134</v>
      </c>
      <c r="G81" s="726">
        <f>G80</f>
        <v>7.67</v>
      </c>
      <c r="H81" s="728">
        <f>H80</f>
        <v>6.9</v>
      </c>
      <c r="I81" s="729">
        <f t="shared" si="5"/>
        <v>0.24637681159420288</v>
      </c>
      <c r="J81" s="726">
        <f t="shared" ref="J81:O81" si="89">J80</f>
        <v>0</v>
      </c>
      <c r="K81" s="728">
        <f t="shared" si="89"/>
        <v>8.6</v>
      </c>
      <c r="L81" s="728">
        <f>L80</f>
        <v>7.3</v>
      </c>
      <c r="M81" s="1464">
        <f>M80</f>
        <v>8.6050000000000004</v>
      </c>
      <c r="N81" s="2056">
        <f t="shared" si="6"/>
        <v>-0.15116279069767441</v>
      </c>
      <c r="O81" s="728">
        <f t="shared" si="89"/>
        <v>7.3</v>
      </c>
      <c r="P81" s="1464">
        <f t="shared" ref="P81" si="90">P80</f>
        <v>8.9849999999999994</v>
      </c>
      <c r="Q81" s="728">
        <f t="shared" ref="Q81:R81" si="91">Q80</f>
        <v>7.3</v>
      </c>
      <c r="R81" s="1464">
        <f t="shared" si="91"/>
        <v>9.39</v>
      </c>
      <c r="S81" s="2697"/>
      <c r="T81" s="2724"/>
      <c r="U81" s="2694"/>
      <c r="V81" s="2694"/>
      <c r="W81" s="2694"/>
      <c r="X81" s="2694"/>
      <c r="Y81" s="2694"/>
      <c r="Z81" s="2694"/>
      <c r="AA81" s="2694"/>
      <c r="AB81" s="2694"/>
    </row>
    <row r="82" spans="1:28" s="221" customFormat="1" ht="30" customHeight="1">
      <c r="A82" s="2690" t="s">
        <v>2672</v>
      </c>
      <c r="B82" s="2703" t="s">
        <v>177</v>
      </c>
      <c r="C82" s="2700">
        <v>188711925</v>
      </c>
      <c r="D82" s="706" t="s">
        <v>1072</v>
      </c>
      <c r="E82" s="720">
        <v>10</v>
      </c>
      <c r="F82" s="721">
        <f t="shared" si="11"/>
        <v>0</v>
      </c>
      <c r="G82" s="720">
        <v>9.8049999999999997</v>
      </c>
      <c r="H82" s="722">
        <v>10</v>
      </c>
      <c r="I82" s="723">
        <f t="shared" si="5"/>
        <v>0</v>
      </c>
      <c r="J82" s="720"/>
      <c r="K82" s="722">
        <v>10</v>
      </c>
      <c r="L82" s="722">
        <v>8.4</v>
      </c>
      <c r="M82" s="1496">
        <v>9.9</v>
      </c>
      <c r="N82" s="2055">
        <f t="shared" si="6"/>
        <v>-0.15999999999999998</v>
      </c>
      <c r="O82" s="722">
        <v>8.4</v>
      </c>
      <c r="P82" s="1496">
        <v>10.35</v>
      </c>
      <c r="Q82" s="722">
        <v>8.4</v>
      </c>
      <c r="R82" s="1496">
        <v>10.81</v>
      </c>
      <c r="S82" s="2697"/>
      <c r="T82" s="2704" t="s">
        <v>2718</v>
      </c>
      <c r="U82" s="2694" t="s">
        <v>1152</v>
      </c>
      <c r="V82" s="2694" t="s">
        <v>1877</v>
      </c>
      <c r="W82" s="2694">
        <v>100</v>
      </c>
      <c r="X82" s="2694">
        <v>100</v>
      </c>
      <c r="Y82" s="2694">
        <v>100</v>
      </c>
      <c r="Z82" s="2694">
        <v>100</v>
      </c>
      <c r="AA82" s="2694">
        <v>100</v>
      </c>
      <c r="AB82" s="2694"/>
    </row>
    <row r="83" spans="1:28" s="221" customFormat="1" ht="29.25" customHeight="1">
      <c r="A83" s="2690"/>
      <c r="B83" s="2703"/>
      <c r="C83" s="2700"/>
      <c r="D83" s="706" t="s">
        <v>470</v>
      </c>
      <c r="E83" s="657">
        <v>0</v>
      </c>
      <c r="F83" s="721"/>
      <c r="G83" s="657">
        <v>1.28</v>
      </c>
      <c r="H83" s="655">
        <v>0.8</v>
      </c>
      <c r="I83" s="723">
        <f t="shared" si="5"/>
        <v>16.212499999999999</v>
      </c>
      <c r="J83" s="657">
        <v>0.91</v>
      </c>
      <c r="K83" s="722">
        <v>13.77</v>
      </c>
      <c r="L83" s="722">
        <v>18.77</v>
      </c>
      <c r="M83" s="1496">
        <v>15.585000000000001</v>
      </c>
      <c r="N83" s="2055">
        <f>SUM(L83-K83)/K83</f>
        <v>0.36310820624546114</v>
      </c>
      <c r="O83" s="722">
        <f>L83+(L83*5%)</f>
        <v>19.708500000000001</v>
      </c>
      <c r="P83" s="1496">
        <v>12.365</v>
      </c>
      <c r="Q83" s="722">
        <f>O83+(O83*5%)</f>
        <v>20.693925</v>
      </c>
      <c r="R83" s="1496">
        <v>12.395</v>
      </c>
      <c r="S83" s="2697"/>
      <c r="T83" s="2704"/>
      <c r="U83" s="2694"/>
      <c r="V83" s="2694"/>
      <c r="W83" s="2694"/>
      <c r="X83" s="2694"/>
      <c r="Y83" s="2694"/>
      <c r="Z83" s="2694"/>
      <c r="AA83" s="2694"/>
      <c r="AB83" s="2694"/>
    </row>
    <row r="84" spans="1:28" s="221" customFormat="1" ht="33" customHeight="1">
      <c r="A84" s="2690"/>
      <c r="B84" s="2703"/>
      <c r="C84" s="2700"/>
      <c r="D84" s="725" t="s">
        <v>1067</v>
      </c>
      <c r="E84" s="726">
        <f>SUM(E82:E83)</f>
        <v>10</v>
      </c>
      <c r="F84" s="727">
        <f t="shared" si="11"/>
        <v>8.0000000000000071E-2</v>
      </c>
      <c r="G84" s="726">
        <f t="shared" ref="G84" si="92">SUM(G82:G83)</f>
        <v>11.084999999999999</v>
      </c>
      <c r="H84" s="728">
        <f t="shared" ref="H84:O84" si="93">SUM(H82:H83)</f>
        <v>10.8</v>
      </c>
      <c r="I84" s="729">
        <f t="shared" si="5"/>
        <v>1.200925925925926</v>
      </c>
      <c r="J84" s="726">
        <f t="shared" si="93"/>
        <v>0.91</v>
      </c>
      <c r="K84" s="728">
        <f t="shared" si="93"/>
        <v>23.77</v>
      </c>
      <c r="L84" s="728">
        <f>SUM(L82:L83)</f>
        <v>27.17</v>
      </c>
      <c r="M84" s="1464">
        <f t="shared" ref="M84" si="94">SUM(M82:M83)</f>
        <v>25.484999999999999</v>
      </c>
      <c r="N84" s="2056">
        <f t="shared" ref="N84:N146" si="95">SUM(L84-K84)/K84</f>
        <v>0.14303744215397568</v>
      </c>
      <c r="O84" s="728">
        <f t="shared" si="93"/>
        <v>28.108499999999999</v>
      </c>
      <c r="P84" s="1464">
        <f t="shared" ref="P84" si="96">SUM(P82:P83)</f>
        <v>22.715</v>
      </c>
      <c r="Q84" s="728">
        <f t="shared" ref="Q84:R84" si="97">SUM(Q82:Q83)</f>
        <v>29.093924999999999</v>
      </c>
      <c r="R84" s="1464">
        <f t="shared" si="97"/>
        <v>23.204999999999998</v>
      </c>
      <c r="S84" s="2697"/>
      <c r="T84" s="2704"/>
      <c r="U84" s="2694"/>
      <c r="V84" s="2694"/>
      <c r="W84" s="2694"/>
      <c r="X84" s="2694"/>
      <c r="Y84" s="2694"/>
      <c r="Z84" s="2694"/>
      <c r="AA84" s="2694"/>
      <c r="AB84" s="2694"/>
    </row>
    <row r="85" spans="1:28" s="221" customFormat="1" ht="30.75" customHeight="1">
      <c r="A85" s="2690" t="s">
        <v>2671</v>
      </c>
      <c r="B85" s="2703" t="s">
        <v>707</v>
      </c>
      <c r="C85" s="2700">
        <v>188711925</v>
      </c>
      <c r="D85" s="706" t="s">
        <v>1072</v>
      </c>
      <c r="E85" s="720">
        <v>27.26</v>
      </c>
      <c r="F85" s="721">
        <f t="shared" si="11"/>
        <v>0.10396184886280262</v>
      </c>
      <c r="G85" s="720">
        <v>27.754999999999999</v>
      </c>
      <c r="H85" s="722">
        <f>30.09+0.004</f>
        <v>30.094000000000001</v>
      </c>
      <c r="I85" s="723">
        <f t="shared" si="5"/>
        <v>1.5817106399946823E-2</v>
      </c>
      <c r="J85" s="720"/>
      <c r="K85" s="722">
        <f>34.313-3.743</f>
        <v>30.570000000000004</v>
      </c>
      <c r="L85" s="1818">
        <v>37.36</v>
      </c>
      <c r="M85" s="1496">
        <v>34.78</v>
      </c>
      <c r="N85" s="2055">
        <f t="shared" si="95"/>
        <v>0.22211318285901194</v>
      </c>
      <c r="O85" s="1818">
        <v>37.36</v>
      </c>
      <c r="P85" s="1818">
        <v>36.520000000000003</v>
      </c>
      <c r="Q85" s="1818">
        <v>37.36</v>
      </c>
      <c r="R85" s="1496">
        <v>38.35</v>
      </c>
      <c r="S85" s="2697"/>
      <c r="T85" s="2704" t="s">
        <v>2719</v>
      </c>
      <c r="U85" s="2694" t="s">
        <v>1153</v>
      </c>
      <c r="V85" s="2694" t="s">
        <v>1888</v>
      </c>
      <c r="W85" s="2694" t="s">
        <v>324</v>
      </c>
      <c r="X85" s="2694" t="s">
        <v>324</v>
      </c>
      <c r="Y85" s="2694" t="s">
        <v>324</v>
      </c>
      <c r="Z85" s="2694" t="s">
        <v>324</v>
      </c>
      <c r="AA85" s="2694" t="s">
        <v>324</v>
      </c>
      <c r="AB85" s="2694"/>
    </row>
    <row r="86" spans="1:28" s="221" customFormat="1" ht="41.25" customHeight="1">
      <c r="A86" s="2690"/>
      <c r="B86" s="2703"/>
      <c r="C86" s="2700"/>
      <c r="D86" s="725" t="s">
        <v>1067</v>
      </c>
      <c r="E86" s="726">
        <f>E85</f>
        <v>27.26</v>
      </c>
      <c r="F86" s="727">
        <f t="shared" si="11"/>
        <v>0.10396184886280262</v>
      </c>
      <c r="G86" s="726">
        <f>G85</f>
        <v>27.754999999999999</v>
      </c>
      <c r="H86" s="728">
        <f>H85</f>
        <v>30.094000000000001</v>
      </c>
      <c r="I86" s="729">
        <f t="shared" si="5"/>
        <v>1.5817106399946823E-2</v>
      </c>
      <c r="J86" s="726">
        <f t="shared" ref="J86:O86" si="98">J85</f>
        <v>0</v>
      </c>
      <c r="K86" s="728">
        <f t="shared" si="98"/>
        <v>30.570000000000004</v>
      </c>
      <c r="L86" s="728">
        <f t="shared" si="98"/>
        <v>37.36</v>
      </c>
      <c r="M86" s="1464">
        <f t="shared" ref="M86" si="99">M85</f>
        <v>34.78</v>
      </c>
      <c r="N86" s="2056">
        <f t="shared" si="95"/>
        <v>0.22211318285901194</v>
      </c>
      <c r="O86" s="728">
        <f t="shared" si="98"/>
        <v>37.36</v>
      </c>
      <c r="P86" s="1464">
        <f t="shared" ref="P86" si="100">P85</f>
        <v>36.520000000000003</v>
      </c>
      <c r="Q86" s="728">
        <f t="shared" ref="Q86:R86" si="101">Q85</f>
        <v>37.36</v>
      </c>
      <c r="R86" s="1464">
        <f t="shared" si="101"/>
        <v>38.35</v>
      </c>
      <c r="S86" s="2697"/>
      <c r="T86" s="2704"/>
      <c r="U86" s="2694"/>
      <c r="V86" s="2694"/>
      <c r="W86" s="2694"/>
      <c r="X86" s="2694"/>
      <c r="Y86" s="2694"/>
      <c r="Z86" s="2694"/>
      <c r="AA86" s="2694"/>
      <c r="AB86" s="2694"/>
    </row>
    <row r="87" spans="1:28" s="221" customFormat="1" ht="30.75" customHeight="1">
      <c r="A87" s="2690" t="s">
        <v>2670</v>
      </c>
      <c r="B87" s="2703" t="s">
        <v>3692</v>
      </c>
      <c r="C87" s="2700">
        <v>188711925</v>
      </c>
      <c r="D87" s="706" t="s">
        <v>1072</v>
      </c>
      <c r="E87" s="720">
        <v>1.45</v>
      </c>
      <c r="F87" s="721">
        <f t="shared" si="11"/>
        <v>14.136551724137933</v>
      </c>
      <c r="G87" s="720">
        <v>1.45</v>
      </c>
      <c r="H87" s="722">
        <v>21.948</v>
      </c>
      <c r="I87" s="723">
        <f t="shared" ref="I87:I162" si="102">K87/H87-1</f>
        <v>0</v>
      </c>
      <c r="J87" s="720"/>
      <c r="K87" s="722">
        <v>21.948</v>
      </c>
      <c r="L87" s="722">
        <v>22.152000000000001</v>
      </c>
      <c r="M87" s="1496">
        <v>28.48</v>
      </c>
      <c r="N87" s="2055">
        <f t="shared" si="95"/>
        <v>9.294696555494834E-3</v>
      </c>
      <c r="O87" s="722">
        <v>22.152000000000001</v>
      </c>
      <c r="P87" s="1496">
        <v>29.88</v>
      </c>
      <c r="Q87" s="722">
        <v>22.152000000000001</v>
      </c>
      <c r="R87" s="1496">
        <v>31.35</v>
      </c>
      <c r="S87" s="2697"/>
      <c r="T87" s="2704" t="s">
        <v>3283</v>
      </c>
      <c r="U87" s="2694" t="s">
        <v>1154</v>
      </c>
      <c r="V87" s="2694" t="s">
        <v>2806</v>
      </c>
      <c r="W87" s="2694" t="s">
        <v>308</v>
      </c>
      <c r="X87" s="2694" t="s">
        <v>308</v>
      </c>
      <c r="Y87" s="2694" t="s">
        <v>308</v>
      </c>
      <c r="Z87" s="2694" t="s">
        <v>308</v>
      </c>
      <c r="AA87" s="2694" t="s">
        <v>308</v>
      </c>
      <c r="AB87" s="2694"/>
    </row>
    <row r="88" spans="1:28" s="221" customFormat="1" ht="68.400000000000006" customHeight="1">
      <c r="A88" s="2690"/>
      <c r="B88" s="2703"/>
      <c r="C88" s="2700"/>
      <c r="D88" s="725" t="s">
        <v>1067</v>
      </c>
      <c r="E88" s="726">
        <f>E87</f>
        <v>1.45</v>
      </c>
      <c r="F88" s="727">
        <f t="shared" si="11"/>
        <v>14.136551724137933</v>
      </c>
      <c r="G88" s="726">
        <f>G87</f>
        <v>1.45</v>
      </c>
      <c r="H88" s="728">
        <f>H87</f>
        <v>21.948</v>
      </c>
      <c r="I88" s="729">
        <f t="shared" si="102"/>
        <v>0</v>
      </c>
      <c r="J88" s="726">
        <f t="shared" ref="J88:O88" si="103">J87</f>
        <v>0</v>
      </c>
      <c r="K88" s="728">
        <f t="shared" si="103"/>
        <v>21.948</v>
      </c>
      <c r="L88" s="728">
        <f t="shared" si="103"/>
        <v>22.152000000000001</v>
      </c>
      <c r="M88" s="1464">
        <f t="shared" ref="M88" si="104">M87</f>
        <v>28.48</v>
      </c>
      <c r="N88" s="2056">
        <f t="shared" si="95"/>
        <v>9.294696555494834E-3</v>
      </c>
      <c r="O88" s="728">
        <f t="shared" si="103"/>
        <v>22.152000000000001</v>
      </c>
      <c r="P88" s="1464">
        <f t="shared" ref="P88" si="105">P87</f>
        <v>29.88</v>
      </c>
      <c r="Q88" s="728">
        <f t="shared" ref="Q88:R88" si="106">Q87</f>
        <v>22.152000000000001</v>
      </c>
      <c r="R88" s="1464">
        <f t="shared" si="106"/>
        <v>31.35</v>
      </c>
      <c r="S88" s="2697"/>
      <c r="T88" s="2704"/>
      <c r="U88" s="2694"/>
      <c r="V88" s="2694"/>
      <c r="W88" s="2694"/>
      <c r="X88" s="2694"/>
      <c r="Y88" s="2694"/>
      <c r="Z88" s="2694"/>
      <c r="AA88" s="2694"/>
      <c r="AB88" s="2694"/>
    </row>
    <row r="89" spans="1:28" s="221" customFormat="1" ht="37.950000000000003" customHeight="1">
      <c r="A89" s="2690" t="s">
        <v>2669</v>
      </c>
      <c r="B89" s="2703" t="s">
        <v>699</v>
      </c>
      <c r="C89" s="2700">
        <v>188711925</v>
      </c>
      <c r="D89" s="706" t="s">
        <v>1072</v>
      </c>
      <c r="E89" s="720">
        <v>1.4</v>
      </c>
      <c r="F89" s="721">
        <f t="shared" ref="F89:F204" si="107">(H89-E89)/E89</f>
        <v>0.22000000000000006</v>
      </c>
      <c r="G89" s="720">
        <v>1</v>
      </c>
      <c r="H89" s="722">
        <v>1.708</v>
      </c>
      <c r="I89" s="723">
        <f t="shared" si="102"/>
        <v>2.8103044496487151E-2</v>
      </c>
      <c r="J89" s="720"/>
      <c r="K89" s="722">
        <v>1.756</v>
      </c>
      <c r="L89" s="722">
        <v>1.9119999999999999</v>
      </c>
      <c r="M89" s="1496">
        <v>2</v>
      </c>
      <c r="N89" s="2055">
        <f t="shared" si="95"/>
        <v>8.8838268792710659E-2</v>
      </c>
      <c r="O89" s="722">
        <v>1.9119999999999999</v>
      </c>
      <c r="P89" s="1496">
        <v>2</v>
      </c>
      <c r="Q89" s="722">
        <v>1.9119999999999999</v>
      </c>
      <c r="R89" s="1496">
        <v>2</v>
      </c>
      <c r="S89" s="2697"/>
      <c r="T89" s="2704" t="s">
        <v>2720</v>
      </c>
      <c r="U89" s="2694" t="s">
        <v>1155</v>
      </c>
      <c r="V89" s="2694" t="s">
        <v>1886</v>
      </c>
      <c r="W89" s="2694" t="s">
        <v>1887</v>
      </c>
      <c r="X89" s="2694" t="s">
        <v>1887</v>
      </c>
      <c r="Y89" s="2694" t="s">
        <v>1887</v>
      </c>
      <c r="Z89" s="2694" t="s">
        <v>1887</v>
      </c>
      <c r="AA89" s="2694" t="s">
        <v>1887</v>
      </c>
      <c r="AB89" s="2694"/>
    </row>
    <row r="90" spans="1:28" s="221" customFormat="1" ht="36.75" hidden="1" customHeight="1">
      <c r="A90" s="2690"/>
      <c r="B90" s="2703"/>
      <c r="C90" s="2700"/>
      <c r="D90" s="706" t="s">
        <v>470</v>
      </c>
      <c r="E90" s="720">
        <v>8</v>
      </c>
      <c r="F90" s="721">
        <f t="shared" si="107"/>
        <v>-1</v>
      </c>
      <c r="G90" s="720">
        <v>2</v>
      </c>
      <c r="H90" s="722"/>
      <c r="I90" s="723"/>
      <c r="J90" s="720">
        <v>1</v>
      </c>
      <c r="K90" s="722">
        <v>0</v>
      </c>
      <c r="L90" s="722">
        <v>0</v>
      </c>
      <c r="M90" s="1496">
        <v>0</v>
      </c>
      <c r="N90" s="2055" t="e">
        <f t="shared" si="95"/>
        <v>#DIV/0!</v>
      </c>
      <c r="O90" s="722">
        <v>0</v>
      </c>
      <c r="P90" s="1496">
        <v>0</v>
      </c>
      <c r="Q90" s="722">
        <v>0</v>
      </c>
      <c r="R90" s="1496">
        <v>0</v>
      </c>
      <c r="S90" s="2697"/>
      <c r="T90" s="2704"/>
      <c r="U90" s="2694"/>
      <c r="V90" s="2694"/>
      <c r="W90" s="2694"/>
      <c r="X90" s="2694"/>
      <c r="Y90" s="2694"/>
      <c r="Z90" s="2694"/>
      <c r="AA90" s="2694"/>
      <c r="AB90" s="2694"/>
    </row>
    <row r="91" spans="1:28" s="221" customFormat="1" ht="39" customHeight="1">
      <c r="A91" s="2690"/>
      <c r="B91" s="2703"/>
      <c r="C91" s="2700"/>
      <c r="D91" s="725" t="s">
        <v>1067</v>
      </c>
      <c r="E91" s="726">
        <f>SUM(E89:E90)</f>
        <v>9.4</v>
      </c>
      <c r="F91" s="727">
        <f t="shared" si="107"/>
        <v>-0.8182978723404255</v>
      </c>
      <c r="G91" s="726">
        <f t="shared" ref="G91" si="108">SUM(G89:G90)</f>
        <v>3</v>
      </c>
      <c r="H91" s="728">
        <f t="shared" ref="H91:O91" si="109">SUM(H89:H90)</f>
        <v>1.708</v>
      </c>
      <c r="I91" s="729">
        <f t="shared" si="102"/>
        <v>2.8103044496487151E-2</v>
      </c>
      <c r="J91" s="726">
        <f t="shared" si="109"/>
        <v>1</v>
      </c>
      <c r="K91" s="728">
        <f t="shared" si="109"/>
        <v>1.756</v>
      </c>
      <c r="L91" s="728">
        <f t="shared" si="109"/>
        <v>1.9119999999999999</v>
      </c>
      <c r="M91" s="1464">
        <f t="shared" ref="M91" si="110">SUM(M89:M90)</f>
        <v>2</v>
      </c>
      <c r="N91" s="2056">
        <f t="shared" si="95"/>
        <v>8.8838268792710659E-2</v>
      </c>
      <c r="O91" s="728">
        <f t="shared" si="109"/>
        <v>1.9119999999999999</v>
      </c>
      <c r="P91" s="1464">
        <f t="shared" ref="P91" si="111">SUM(P89:P90)</f>
        <v>2</v>
      </c>
      <c r="Q91" s="728">
        <f t="shared" ref="Q91:R91" si="112">SUM(Q89:Q90)</f>
        <v>1.9119999999999999</v>
      </c>
      <c r="R91" s="1464">
        <f t="shared" si="112"/>
        <v>2</v>
      </c>
      <c r="S91" s="2697"/>
      <c r="T91" s="2704"/>
      <c r="U91" s="2694"/>
      <c r="V91" s="2694"/>
      <c r="W91" s="2694"/>
      <c r="X91" s="2694"/>
      <c r="Y91" s="2694"/>
      <c r="Z91" s="2694"/>
      <c r="AA91" s="2694"/>
      <c r="AB91" s="2694"/>
    </row>
    <row r="92" spans="1:28" s="221" customFormat="1" ht="27.75" customHeight="1">
      <c r="A92" s="2690" t="s">
        <v>3518</v>
      </c>
      <c r="B92" s="2703" t="s">
        <v>3693</v>
      </c>
      <c r="C92" s="2700">
        <v>188711925</v>
      </c>
      <c r="D92" s="706" t="s">
        <v>1111</v>
      </c>
      <c r="E92" s="720"/>
      <c r="F92" s="721"/>
      <c r="G92" s="720"/>
      <c r="H92" s="722"/>
      <c r="I92" s="723"/>
      <c r="J92" s="720"/>
      <c r="K92" s="722">
        <v>0.4</v>
      </c>
      <c r="L92" s="722">
        <v>0.3</v>
      </c>
      <c r="M92" s="722">
        <v>0.4</v>
      </c>
      <c r="N92" s="2055">
        <f t="shared" si="95"/>
        <v>-0.25000000000000006</v>
      </c>
      <c r="O92" s="722">
        <v>0.3</v>
      </c>
      <c r="P92" s="722">
        <v>0.4</v>
      </c>
      <c r="Q92" s="722">
        <v>0.3</v>
      </c>
      <c r="R92" s="722">
        <v>0.4</v>
      </c>
      <c r="S92" s="2697"/>
      <c r="T92" s="2704" t="s">
        <v>3733</v>
      </c>
      <c r="U92" s="2694" t="s">
        <v>3814</v>
      </c>
      <c r="V92" s="2694" t="s">
        <v>3536</v>
      </c>
      <c r="W92" s="2694">
        <v>100</v>
      </c>
      <c r="X92" s="2694">
        <v>100</v>
      </c>
      <c r="Y92" s="2694">
        <v>100</v>
      </c>
      <c r="Z92" s="2694">
        <v>100</v>
      </c>
      <c r="AA92" s="2694">
        <v>100</v>
      </c>
      <c r="AB92" s="2694"/>
    </row>
    <row r="93" spans="1:28" s="221" customFormat="1" ht="27.75" hidden="1" customHeight="1">
      <c r="A93" s="2690"/>
      <c r="B93" s="2703"/>
      <c r="C93" s="2700"/>
      <c r="D93" s="706" t="s">
        <v>470</v>
      </c>
      <c r="E93" s="720"/>
      <c r="F93" s="721"/>
      <c r="G93" s="720"/>
      <c r="H93" s="753"/>
      <c r="I93" s="723"/>
      <c r="J93" s="720"/>
      <c r="K93" s="722"/>
      <c r="L93" s="722"/>
      <c r="M93" s="1496"/>
      <c r="N93" s="2055" t="e">
        <f t="shared" si="95"/>
        <v>#DIV/0!</v>
      </c>
      <c r="O93" s="722"/>
      <c r="P93" s="1496"/>
      <c r="Q93" s="722"/>
      <c r="R93" s="1496"/>
      <c r="S93" s="2697"/>
      <c r="T93" s="2704"/>
      <c r="U93" s="2694"/>
      <c r="V93" s="2694"/>
      <c r="W93" s="2694"/>
      <c r="X93" s="2694"/>
      <c r="Y93" s="2694"/>
      <c r="Z93" s="2694"/>
      <c r="AA93" s="2694"/>
      <c r="AB93" s="2694"/>
    </row>
    <row r="94" spans="1:28" s="221" customFormat="1" ht="45" customHeight="1">
      <c r="A94" s="2690"/>
      <c r="B94" s="2703"/>
      <c r="C94" s="2700"/>
      <c r="D94" s="725" t="s">
        <v>1067</v>
      </c>
      <c r="E94" s="726"/>
      <c r="F94" s="727"/>
      <c r="G94" s="726"/>
      <c r="H94" s="728">
        <f>H92</f>
        <v>0</v>
      </c>
      <c r="I94" s="729" t="e">
        <f t="shared" ref="I94" si="113">K94/H94-1</f>
        <v>#DIV/0!</v>
      </c>
      <c r="J94" s="726">
        <f t="shared" ref="J94:O94" si="114">J92</f>
        <v>0</v>
      </c>
      <c r="K94" s="728">
        <f t="shared" si="114"/>
        <v>0.4</v>
      </c>
      <c r="L94" s="728">
        <f t="shared" si="114"/>
        <v>0.3</v>
      </c>
      <c r="M94" s="1464">
        <f t="shared" ref="M94" si="115">M92</f>
        <v>0.4</v>
      </c>
      <c r="N94" s="2056">
        <f t="shared" si="95"/>
        <v>-0.25000000000000006</v>
      </c>
      <c r="O94" s="728">
        <f t="shared" si="114"/>
        <v>0.3</v>
      </c>
      <c r="P94" s="1464">
        <f t="shared" ref="P94" si="116">P92</f>
        <v>0.4</v>
      </c>
      <c r="Q94" s="728">
        <f t="shared" ref="Q94:R94" si="117">Q92</f>
        <v>0.3</v>
      </c>
      <c r="R94" s="1464">
        <f t="shared" si="117"/>
        <v>0.4</v>
      </c>
      <c r="S94" s="2697"/>
      <c r="T94" s="2704"/>
      <c r="U94" s="2694"/>
      <c r="V94" s="2694"/>
      <c r="W94" s="2694"/>
      <c r="X94" s="2694"/>
      <c r="Y94" s="2694"/>
      <c r="Z94" s="2694"/>
      <c r="AA94" s="2694"/>
      <c r="AB94" s="2694"/>
    </row>
    <row r="95" spans="1:28" s="532" customFormat="1" ht="61.95" customHeight="1">
      <c r="A95" s="697" t="s">
        <v>1907</v>
      </c>
      <c r="B95" s="663" t="s">
        <v>1919</v>
      </c>
      <c r="C95" s="697"/>
      <c r="D95" s="697"/>
      <c r="E95" s="745">
        <f>SUM(E98,E106,E115,E117)</f>
        <v>124.15</v>
      </c>
      <c r="F95" s="716">
        <f t="shared" si="107"/>
        <v>3.0205396697543293E-2</v>
      </c>
      <c r="G95" s="745">
        <f>SUM(G98,G106,G115,G117)</f>
        <v>135.19999999999999</v>
      </c>
      <c r="H95" s="746">
        <f>SUM(H98,H106,H115,H117)</f>
        <v>127.9</v>
      </c>
      <c r="I95" s="747">
        <f t="shared" si="102"/>
        <v>0.49726348709929624</v>
      </c>
      <c r="J95" s="745">
        <f t="shared" ref="J95:R95" si="118">SUM(J98,J106,J115,J117)</f>
        <v>380</v>
      </c>
      <c r="K95" s="746">
        <f t="shared" si="118"/>
        <v>191.5</v>
      </c>
      <c r="L95" s="746">
        <f>SUM(L98,L106,L115,L117)</f>
        <v>153.30000000000001</v>
      </c>
      <c r="M95" s="1497">
        <f t="shared" si="118"/>
        <v>158.80000000000001</v>
      </c>
      <c r="N95" s="2057">
        <f t="shared" si="95"/>
        <v>-0.19947780678851168</v>
      </c>
      <c r="O95" s="746">
        <f>SUM(O98,O106,O115,O117)</f>
        <v>157.80000000000001</v>
      </c>
      <c r="P95" s="1497">
        <f t="shared" si="118"/>
        <v>160.21</v>
      </c>
      <c r="Q95" s="746">
        <f>SUM(Q98,Q106,Q115,Q117)</f>
        <v>158.80000000000001</v>
      </c>
      <c r="R95" s="1497">
        <f t="shared" si="118"/>
        <v>164.18</v>
      </c>
      <c r="S95" s="178" t="s">
        <v>1009</v>
      </c>
      <c r="T95" s="690"/>
      <c r="U95" s="671" t="s">
        <v>2153</v>
      </c>
      <c r="V95" s="671" t="s">
        <v>1013</v>
      </c>
      <c r="W95" s="717">
        <f>2/(18+10+3)</f>
        <v>6.4516129032258063E-2</v>
      </c>
      <c r="X95" s="717">
        <f t="shared" ref="X95" si="119">2/(18+10+3)</f>
        <v>6.4516129032258063E-2</v>
      </c>
      <c r="Y95" s="717">
        <f>3/(18+10+3)</f>
        <v>9.6774193548387094E-2</v>
      </c>
      <c r="Z95" s="717">
        <f>3/(18+10+3)</f>
        <v>9.6774193548387094E-2</v>
      </c>
      <c r="AA95" s="717">
        <f>3/(18+10+3)</f>
        <v>9.6774193548387094E-2</v>
      </c>
      <c r="AB95" s="671" t="s">
        <v>1013</v>
      </c>
    </row>
    <row r="96" spans="1:28" s="221" customFormat="1" ht="39.75" customHeight="1">
      <c r="A96" s="2690" t="s">
        <v>2668</v>
      </c>
      <c r="B96" s="2703" t="s">
        <v>708</v>
      </c>
      <c r="C96" s="2700">
        <v>188711925</v>
      </c>
      <c r="D96" s="706" t="s">
        <v>470</v>
      </c>
      <c r="E96" s="720">
        <v>90.95</v>
      </c>
      <c r="F96" s="721">
        <f t="shared" si="107"/>
        <v>0.18416712479384276</v>
      </c>
      <c r="G96" s="720">
        <v>100</v>
      </c>
      <c r="H96" s="722">
        <v>107.7</v>
      </c>
      <c r="I96" s="723">
        <f>K96/H96-1</f>
        <v>0.54410399257195929</v>
      </c>
      <c r="J96" s="720">
        <f>SUM(J99,J100,J101,J102,J103,J107,J108,J109,J111,J112,J113)</f>
        <v>344.8</v>
      </c>
      <c r="K96" s="722">
        <f>SUM(K99,K100,K101,K102,K103,K107,K108,K109,K111,K112,K113)</f>
        <v>166.3</v>
      </c>
      <c r="L96" s="722">
        <f>SUM(L102,L103,L109,L110,L111,L112,L113)</f>
        <v>127.80000000000001</v>
      </c>
      <c r="M96" s="1496">
        <v>133.30000000000001</v>
      </c>
      <c r="N96" s="2055">
        <f t="shared" si="95"/>
        <v>-0.23150932050511122</v>
      </c>
      <c r="O96" s="722">
        <f>SUM(O102,O103,O109,O110,O111,O112,O113)</f>
        <v>132.30000000000001</v>
      </c>
      <c r="P96" s="1496">
        <v>134.71</v>
      </c>
      <c r="Q96" s="722">
        <f>SUM(Q102,Q103,Q109,Q110,Q111,Q112,Q113)</f>
        <v>133.30000000000001</v>
      </c>
      <c r="R96" s="1496">
        <v>138.68</v>
      </c>
      <c r="S96" s="2697" t="s">
        <v>2149</v>
      </c>
      <c r="T96" s="2704" t="s">
        <v>3284</v>
      </c>
      <c r="U96" s="2694" t="s">
        <v>1156</v>
      </c>
      <c r="V96" s="2694" t="s">
        <v>3285</v>
      </c>
      <c r="W96" s="2694" t="s">
        <v>1329</v>
      </c>
      <c r="X96" s="2694" t="s">
        <v>585</v>
      </c>
      <c r="Y96" s="2694" t="s">
        <v>585</v>
      </c>
      <c r="Z96" s="2694" t="s">
        <v>585</v>
      </c>
      <c r="AA96" s="2694" t="s">
        <v>585</v>
      </c>
      <c r="AB96" s="2694" t="s">
        <v>2150</v>
      </c>
    </row>
    <row r="97" spans="1:28" s="221" customFormat="1" ht="33.75" hidden="1" customHeight="1">
      <c r="A97" s="2690"/>
      <c r="B97" s="2703"/>
      <c r="C97" s="2700"/>
      <c r="D97" s="706" t="s">
        <v>1066</v>
      </c>
      <c r="E97" s="720"/>
      <c r="F97" s="721"/>
      <c r="G97" s="720"/>
      <c r="H97" s="722"/>
      <c r="I97" s="723"/>
      <c r="J97" s="720"/>
      <c r="K97" s="722"/>
      <c r="L97" s="722"/>
      <c r="M97" s="1496"/>
      <c r="N97" s="2042" t="e">
        <f t="shared" si="95"/>
        <v>#DIV/0!</v>
      </c>
      <c r="O97" s="722"/>
      <c r="P97" s="1496"/>
      <c r="Q97" s="722"/>
      <c r="R97" s="1496"/>
      <c r="S97" s="2697"/>
      <c r="T97" s="2704"/>
      <c r="U97" s="2694"/>
      <c r="V97" s="2694"/>
      <c r="W97" s="2694"/>
      <c r="X97" s="2694"/>
      <c r="Y97" s="2694"/>
      <c r="Z97" s="2694"/>
      <c r="AA97" s="2694"/>
      <c r="AB97" s="2694"/>
    </row>
    <row r="98" spans="1:28" s="221" customFormat="1" ht="87.75" customHeight="1">
      <c r="A98" s="2690"/>
      <c r="B98" s="2703"/>
      <c r="C98" s="2700"/>
      <c r="D98" s="725" t="s">
        <v>1067</v>
      </c>
      <c r="E98" s="726">
        <f>E96</f>
        <v>90.95</v>
      </c>
      <c r="F98" s="727">
        <f t="shared" si="107"/>
        <v>0.18416712479384276</v>
      </c>
      <c r="G98" s="726">
        <f>G96+G97</f>
        <v>100</v>
      </c>
      <c r="H98" s="728">
        <f>H96+H97</f>
        <v>107.7</v>
      </c>
      <c r="I98" s="729">
        <f t="shared" si="102"/>
        <v>0.54410399257195929</v>
      </c>
      <c r="J98" s="726">
        <f t="shared" ref="J98" si="120">J96+J97</f>
        <v>344.8</v>
      </c>
      <c r="K98" s="728">
        <f t="shared" ref="K98:R98" si="121">K96+K97</f>
        <v>166.3</v>
      </c>
      <c r="L98" s="728">
        <f t="shared" si="121"/>
        <v>127.80000000000001</v>
      </c>
      <c r="M98" s="1464">
        <f t="shared" si="121"/>
        <v>133.30000000000001</v>
      </c>
      <c r="N98" s="2056">
        <f t="shared" si="95"/>
        <v>-0.23150932050511122</v>
      </c>
      <c r="O98" s="728">
        <f t="shared" si="121"/>
        <v>132.30000000000001</v>
      </c>
      <c r="P98" s="1464">
        <f t="shared" si="121"/>
        <v>134.71</v>
      </c>
      <c r="Q98" s="728">
        <f t="shared" si="121"/>
        <v>133.30000000000001</v>
      </c>
      <c r="R98" s="1464">
        <f t="shared" si="121"/>
        <v>138.68</v>
      </c>
      <c r="S98" s="2697"/>
      <c r="T98" s="2704"/>
      <c r="U98" s="2694"/>
      <c r="V98" s="2694"/>
      <c r="W98" s="2694"/>
      <c r="X98" s="2694"/>
      <c r="Y98" s="2694"/>
      <c r="Z98" s="2694"/>
      <c r="AA98" s="2694"/>
      <c r="AB98" s="2694"/>
    </row>
    <row r="99" spans="1:28" s="221" customFormat="1" ht="27" hidden="1" customHeight="1">
      <c r="A99" s="2696" t="s">
        <v>3212</v>
      </c>
      <c r="B99" s="665" t="s">
        <v>2565</v>
      </c>
      <c r="C99" s="976"/>
      <c r="D99" s="682"/>
      <c r="E99" s="755"/>
      <c r="F99" s="731"/>
      <c r="G99" s="755"/>
      <c r="H99" s="681">
        <v>0.6</v>
      </c>
      <c r="I99" s="733"/>
      <c r="J99" s="734"/>
      <c r="K99" s="681"/>
      <c r="L99" s="681"/>
      <c r="M99" s="1470"/>
      <c r="N99" s="2041" t="e">
        <f t="shared" si="95"/>
        <v>#DIV/0!</v>
      </c>
      <c r="O99" s="681"/>
      <c r="P99" s="1470"/>
      <c r="Q99" s="681"/>
      <c r="R99" s="1470"/>
      <c r="S99" s="871"/>
      <c r="T99" s="691"/>
      <c r="U99" s="683"/>
      <c r="V99" s="692"/>
      <c r="W99" s="693"/>
      <c r="X99" s="693"/>
      <c r="Y99" s="693"/>
      <c r="Z99" s="693"/>
      <c r="AA99" s="693"/>
      <c r="AB99" s="2694"/>
    </row>
    <row r="100" spans="1:28" s="221" customFormat="1" ht="27" hidden="1" customHeight="1">
      <c r="A100" s="2696"/>
      <c r="B100" s="665" t="s">
        <v>2568</v>
      </c>
      <c r="C100" s="976"/>
      <c r="D100" s="682" t="s">
        <v>470</v>
      </c>
      <c r="E100" s="755"/>
      <c r="F100" s="731"/>
      <c r="G100" s="755"/>
      <c r="H100" s="681">
        <v>28.1</v>
      </c>
      <c r="I100" s="733"/>
      <c r="J100" s="734">
        <v>115</v>
      </c>
      <c r="K100" s="681">
        <v>0</v>
      </c>
      <c r="L100" s="681">
        <v>0</v>
      </c>
      <c r="M100" s="1470">
        <v>0</v>
      </c>
      <c r="N100" s="2041" t="e">
        <f t="shared" si="95"/>
        <v>#DIV/0!</v>
      </c>
      <c r="O100" s="681">
        <v>0</v>
      </c>
      <c r="P100" s="1470">
        <v>0</v>
      </c>
      <c r="Q100" s="681">
        <v>0</v>
      </c>
      <c r="R100" s="1470">
        <v>0</v>
      </c>
      <c r="S100" s="871"/>
      <c r="T100" s="691"/>
      <c r="U100" s="683"/>
      <c r="V100" s="692"/>
      <c r="W100" s="693"/>
      <c r="X100" s="693"/>
      <c r="Y100" s="693"/>
      <c r="Z100" s="693"/>
      <c r="AA100" s="693"/>
      <c r="AB100" s="2694"/>
    </row>
    <row r="101" spans="1:28" s="221" customFormat="1" ht="27" hidden="1" customHeight="1">
      <c r="A101" s="2696"/>
      <c r="B101" s="665" t="s">
        <v>2566</v>
      </c>
      <c r="C101" s="976"/>
      <c r="D101" s="682"/>
      <c r="E101" s="755"/>
      <c r="F101" s="731"/>
      <c r="G101" s="755"/>
      <c r="H101" s="681">
        <v>57.58</v>
      </c>
      <c r="I101" s="733"/>
      <c r="J101" s="734"/>
      <c r="K101" s="681"/>
      <c r="L101" s="681"/>
      <c r="M101" s="1470"/>
      <c r="N101" s="2041" t="e">
        <f t="shared" si="95"/>
        <v>#DIV/0!</v>
      </c>
      <c r="O101" s="681"/>
      <c r="P101" s="1470"/>
      <c r="Q101" s="681"/>
      <c r="R101" s="1470"/>
      <c r="S101" s="871"/>
      <c r="T101" s="691"/>
      <c r="U101" s="683"/>
      <c r="V101" s="692"/>
      <c r="W101" s="693"/>
      <c r="X101" s="693"/>
      <c r="Y101" s="693"/>
      <c r="Z101" s="693"/>
      <c r="AA101" s="693"/>
      <c r="AB101" s="2694"/>
    </row>
    <row r="102" spans="1:28" s="221" customFormat="1" ht="45" hidden="1" customHeight="1">
      <c r="A102" s="2702" t="s">
        <v>3187</v>
      </c>
      <c r="B102" s="1975" t="s">
        <v>2567</v>
      </c>
      <c r="C102" s="1915"/>
      <c r="D102" s="2062" t="s">
        <v>470</v>
      </c>
      <c r="E102" s="1776"/>
      <c r="F102" s="2067"/>
      <c r="G102" s="1776"/>
      <c r="H102" s="1776">
        <v>18.12</v>
      </c>
      <c r="I102" s="2043"/>
      <c r="J102" s="1776">
        <v>20</v>
      </c>
      <c r="K102" s="1776">
        <v>20</v>
      </c>
      <c r="L102" s="1776">
        <v>20</v>
      </c>
      <c r="M102" s="1776">
        <v>20</v>
      </c>
      <c r="N102" s="2043">
        <f t="shared" si="95"/>
        <v>0</v>
      </c>
      <c r="O102" s="1776">
        <v>24.2</v>
      </c>
      <c r="P102" s="1776">
        <v>22</v>
      </c>
      <c r="Q102" s="1776">
        <v>24.2</v>
      </c>
      <c r="R102" s="1776">
        <v>24.2</v>
      </c>
      <c r="S102" s="2068"/>
      <c r="T102" s="2063" t="s">
        <v>3918</v>
      </c>
      <c r="U102" s="683"/>
      <c r="V102" s="692"/>
      <c r="W102" s="693"/>
      <c r="X102" s="693"/>
      <c r="Y102" s="693"/>
      <c r="Z102" s="693"/>
      <c r="AA102" s="693"/>
      <c r="AB102" s="2694"/>
    </row>
    <row r="103" spans="1:28" s="221" customFormat="1" ht="117" hidden="1" customHeight="1">
      <c r="A103" s="2702"/>
      <c r="B103" s="1975" t="s">
        <v>3213</v>
      </c>
      <c r="C103" s="1915"/>
      <c r="D103" s="2062" t="s">
        <v>470</v>
      </c>
      <c r="E103" s="1776"/>
      <c r="F103" s="2067"/>
      <c r="G103" s="1776"/>
      <c r="H103" s="1776">
        <v>3.33</v>
      </c>
      <c r="I103" s="2043"/>
      <c r="J103" s="1776">
        <v>8.5</v>
      </c>
      <c r="K103" s="1776">
        <v>0</v>
      </c>
      <c r="L103" s="1776">
        <v>4</v>
      </c>
      <c r="M103" s="1776">
        <v>4</v>
      </c>
      <c r="N103" s="2043"/>
      <c r="O103" s="1776">
        <v>0</v>
      </c>
      <c r="P103" s="1776">
        <v>4.4000000000000004</v>
      </c>
      <c r="Q103" s="1776">
        <v>0</v>
      </c>
      <c r="R103" s="1776">
        <v>4.84</v>
      </c>
      <c r="S103" s="2068"/>
      <c r="T103" s="2063" t="s">
        <v>3917</v>
      </c>
      <c r="U103" s="683"/>
      <c r="V103" s="692"/>
      <c r="W103" s="693"/>
      <c r="X103" s="693"/>
      <c r="Y103" s="693"/>
      <c r="Z103" s="693"/>
      <c r="AA103" s="693"/>
      <c r="AB103" s="2694"/>
    </row>
    <row r="104" spans="1:28" s="221" customFormat="1" ht="27" hidden="1" customHeight="1">
      <c r="A104" s="2727" t="s">
        <v>2667</v>
      </c>
      <c r="B104" s="2753" t="s">
        <v>2649</v>
      </c>
      <c r="C104" s="2754">
        <v>188711925</v>
      </c>
      <c r="D104" s="1817" t="s">
        <v>470</v>
      </c>
      <c r="E104" s="1907">
        <v>5</v>
      </c>
      <c r="F104" s="2059"/>
      <c r="G104" s="1907"/>
      <c r="H104" s="2064"/>
      <c r="I104" s="2044"/>
      <c r="J104" s="2064"/>
      <c r="K104" s="2064"/>
      <c r="L104" s="1907"/>
      <c r="M104" s="1907"/>
      <c r="N104" s="2044" t="e">
        <f t="shared" si="95"/>
        <v>#DIV/0!</v>
      </c>
      <c r="O104" s="1907"/>
      <c r="P104" s="1907"/>
      <c r="Q104" s="1907"/>
      <c r="R104" s="1907"/>
      <c r="S104" s="2069"/>
      <c r="T104" s="2698" t="s">
        <v>2650</v>
      </c>
      <c r="U104" s="2694"/>
      <c r="V104" s="2694"/>
      <c r="W104" s="2694"/>
      <c r="X104" s="2694"/>
      <c r="Y104" s="2694"/>
      <c r="Z104" s="2694"/>
      <c r="AA104" s="2694"/>
      <c r="AB104" s="2694"/>
    </row>
    <row r="105" spans="1:28" s="221" customFormat="1" ht="27" hidden="1" customHeight="1">
      <c r="A105" s="2727"/>
      <c r="B105" s="2753"/>
      <c r="C105" s="2754"/>
      <c r="D105" s="1817" t="s">
        <v>1070</v>
      </c>
      <c r="E105" s="1907"/>
      <c r="F105" s="2059"/>
      <c r="G105" s="1907"/>
      <c r="H105" s="2064"/>
      <c r="I105" s="2044"/>
      <c r="J105" s="2064"/>
      <c r="K105" s="2064"/>
      <c r="L105" s="1907"/>
      <c r="M105" s="1907"/>
      <c r="N105" s="2044" t="e">
        <f t="shared" si="95"/>
        <v>#DIV/0!</v>
      </c>
      <c r="O105" s="1907"/>
      <c r="P105" s="1907"/>
      <c r="Q105" s="1907"/>
      <c r="R105" s="1907"/>
      <c r="S105" s="2069"/>
      <c r="T105" s="2698"/>
      <c r="U105" s="2694"/>
      <c r="V105" s="2694"/>
      <c r="W105" s="2694"/>
      <c r="X105" s="2694"/>
      <c r="Y105" s="2694"/>
      <c r="Z105" s="2694"/>
      <c r="AA105" s="2694"/>
      <c r="AB105" s="2694"/>
    </row>
    <row r="106" spans="1:28" s="221" customFormat="1" ht="27" hidden="1" customHeight="1">
      <c r="A106" s="2727"/>
      <c r="B106" s="2753"/>
      <c r="C106" s="2754"/>
      <c r="D106" s="2065" t="s">
        <v>1067</v>
      </c>
      <c r="E106" s="2066">
        <f>E104</f>
        <v>5</v>
      </c>
      <c r="F106" s="2060"/>
      <c r="G106" s="2066"/>
      <c r="H106" s="2064">
        <f>H104+H105</f>
        <v>0</v>
      </c>
      <c r="I106" s="2044"/>
      <c r="J106" s="2064"/>
      <c r="K106" s="2064">
        <f t="shared" ref="K106:L106" si="122">K104+K105</f>
        <v>0</v>
      </c>
      <c r="L106" s="2066">
        <f t="shared" si="122"/>
        <v>0</v>
      </c>
      <c r="M106" s="2066">
        <f t="shared" ref="M106" si="123">M104+M105</f>
        <v>0</v>
      </c>
      <c r="N106" s="2044" t="e">
        <f t="shared" si="95"/>
        <v>#DIV/0!</v>
      </c>
      <c r="O106" s="2066">
        <f t="shared" ref="O106:Q106" si="124">O104+O105</f>
        <v>0</v>
      </c>
      <c r="P106" s="2066">
        <f t="shared" ref="P106" si="125">P104+P105</f>
        <v>0</v>
      </c>
      <c r="Q106" s="2066">
        <f t="shared" si="124"/>
        <v>0</v>
      </c>
      <c r="R106" s="2066">
        <f t="shared" ref="R106" si="126">R104+R105</f>
        <v>0</v>
      </c>
      <c r="S106" s="2069"/>
      <c r="T106" s="2698"/>
      <c r="U106" s="2694"/>
      <c r="V106" s="2694"/>
      <c r="W106" s="2694"/>
      <c r="X106" s="2694"/>
      <c r="Y106" s="2694"/>
      <c r="Z106" s="2694"/>
      <c r="AA106" s="2694"/>
      <c r="AB106" s="2694"/>
    </row>
    <row r="107" spans="1:28" s="221" customFormat="1" ht="32.25" hidden="1" customHeight="1">
      <c r="A107" s="2062" t="s">
        <v>3214</v>
      </c>
      <c r="B107" s="1975" t="s">
        <v>3113</v>
      </c>
      <c r="C107" s="1915"/>
      <c r="D107" s="2062" t="s">
        <v>470</v>
      </c>
      <c r="E107" s="1776"/>
      <c r="F107" s="2067"/>
      <c r="G107" s="1776"/>
      <c r="H107" s="1776"/>
      <c r="I107" s="2043"/>
      <c r="J107" s="1776">
        <v>0</v>
      </c>
      <c r="K107" s="1776">
        <v>0</v>
      </c>
      <c r="L107" s="1776">
        <v>0</v>
      </c>
      <c r="M107" s="1776">
        <v>0</v>
      </c>
      <c r="N107" s="2043" t="e">
        <f t="shared" si="95"/>
        <v>#DIV/0!</v>
      </c>
      <c r="O107" s="1776">
        <v>0</v>
      </c>
      <c r="P107" s="1776">
        <v>0</v>
      </c>
      <c r="Q107" s="1776">
        <v>0</v>
      </c>
      <c r="R107" s="1776">
        <v>0</v>
      </c>
      <c r="S107" s="2068"/>
      <c r="T107" s="2063" t="s">
        <v>3216</v>
      </c>
      <c r="U107" s="693"/>
      <c r="V107" s="693"/>
      <c r="W107" s="693"/>
      <c r="X107" s="693"/>
      <c r="Y107" s="693"/>
      <c r="Z107" s="693"/>
      <c r="AA107" s="693"/>
      <c r="AB107" s="656"/>
    </row>
    <row r="108" spans="1:28" s="221" customFormat="1" ht="50.25" hidden="1" customHeight="1">
      <c r="A108" s="2062" t="s">
        <v>3187</v>
      </c>
      <c r="B108" s="1975" t="s">
        <v>3165</v>
      </c>
      <c r="C108" s="1915"/>
      <c r="D108" s="2062" t="s">
        <v>470</v>
      </c>
      <c r="E108" s="1776"/>
      <c r="F108" s="2067"/>
      <c r="G108" s="1776"/>
      <c r="H108" s="1776"/>
      <c r="I108" s="2043"/>
      <c r="J108" s="1776">
        <v>0</v>
      </c>
      <c r="K108" s="1776">
        <v>0</v>
      </c>
      <c r="L108" s="1776">
        <v>0</v>
      </c>
      <c r="M108" s="1776">
        <v>0</v>
      </c>
      <c r="N108" s="2043" t="e">
        <f t="shared" si="95"/>
        <v>#DIV/0!</v>
      </c>
      <c r="O108" s="1776">
        <v>0</v>
      </c>
      <c r="P108" s="1776">
        <v>0</v>
      </c>
      <c r="Q108" s="1776">
        <v>0</v>
      </c>
      <c r="R108" s="1776">
        <v>0</v>
      </c>
      <c r="S108" s="2068"/>
      <c r="T108" s="2063" t="s">
        <v>3217</v>
      </c>
      <c r="U108" s="693"/>
      <c r="V108" s="693"/>
      <c r="W108" s="693"/>
      <c r="X108" s="693"/>
      <c r="Y108" s="693"/>
      <c r="Z108" s="693"/>
      <c r="AA108" s="693"/>
      <c r="AB108" s="656"/>
    </row>
    <row r="109" spans="1:28" s="221" customFormat="1" ht="87.75" hidden="1" customHeight="1">
      <c r="A109" s="2062" t="s">
        <v>3185</v>
      </c>
      <c r="B109" s="1975" t="s">
        <v>3186</v>
      </c>
      <c r="C109" s="1915"/>
      <c r="D109" s="2062" t="s">
        <v>470</v>
      </c>
      <c r="E109" s="1776"/>
      <c r="F109" s="2067"/>
      <c r="G109" s="1776"/>
      <c r="H109" s="1776"/>
      <c r="I109" s="2043"/>
      <c r="J109" s="1776">
        <v>50</v>
      </c>
      <c r="K109" s="1776">
        <v>50</v>
      </c>
      <c r="L109" s="1776">
        <v>25</v>
      </c>
      <c r="M109" s="1776">
        <v>25</v>
      </c>
      <c r="N109" s="2043">
        <f t="shared" si="95"/>
        <v>-0.5</v>
      </c>
      <c r="O109" s="1776">
        <v>30</v>
      </c>
      <c r="P109" s="1776">
        <v>25</v>
      </c>
      <c r="Q109" s="1776">
        <v>30</v>
      </c>
      <c r="R109" s="1776">
        <v>25</v>
      </c>
      <c r="S109" s="2068"/>
      <c r="T109" s="2063" t="s">
        <v>3836</v>
      </c>
      <c r="U109" s="693"/>
      <c r="V109" s="693"/>
      <c r="W109" s="693"/>
      <c r="X109" s="693"/>
      <c r="Y109" s="693"/>
      <c r="Z109" s="693"/>
      <c r="AA109" s="693"/>
      <c r="AB109" s="656"/>
    </row>
    <row r="110" spans="1:28" s="221" customFormat="1" ht="41.4" hidden="1" customHeight="1">
      <c r="A110" s="2062"/>
      <c r="B110" s="1975" t="s">
        <v>3919</v>
      </c>
      <c r="C110" s="1915"/>
      <c r="D110" s="2062"/>
      <c r="E110" s="1776"/>
      <c r="F110" s="2067"/>
      <c r="G110" s="1776"/>
      <c r="H110" s="1776"/>
      <c r="I110" s="2043"/>
      <c r="J110" s="1776"/>
      <c r="K110" s="1776"/>
      <c r="L110" s="1776">
        <v>1.5</v>
      </c>
      <c r="M110" s="1776">
        <v>1.5</v>
      </c>
      <c r="N110" s="2043"/>
      <c r="O110" s="1776"/>
      <c r="P110" s="1776">
        <v>1.65</v>
      </c>
      <c r="Q110" s="1776"/>
      <c r="R110" s="1776">
        <v>1.8149999999999999</v>
      </c>
      <c r="S110" s="2068"/>
      <c r="T110" s="2063" t="s">
        <v>3920</v>
      </c>
      <c r="U110" s="693"/>
      <c r="V110" s="693"/>
      <c r="W110" s="693"/>
      <c r="X110" s="693"/>
      <c r="Y110" s="693"/>
      <c r="Z110" s="693"/>
      <c r="AA110" s="693"/>
      <c r="AB110" s="656"/>
    </row>
    <row r="111" spans="1:28" s="221" customFormat="1" ht="32.25" hidden="1" customHeight="1">
      <c r="A111" s="2062" t="s">
        <v>3187</v>
      </c>
      <c r="B111" s="1975" t="s">
        <v>3915</v>
      </c>
      <c r="C111" s="1915"/>
      <c r="D111" s="2062"/>
      <c r="E111" s="1776"/>
      <c r="F111" s="2067"/>
      <c r="G111" s="1776"/>
      <c r="H111" s="1776"/>
      <c r="I111" s="2043"/>
      <c r="J111" s="1776">
        <v>18.149999999999999</v>
      </c>
      <c r="K111" s="1776">
        <v>18.149999999999999</v>
      </c>
      <c r="L111" s="1776">
        <v>5.0999999999999996</v>
      </c>
      <c r="M111" s="1776">
        <v>5.0999999999999996</v>
      </c>
      <c r="N111" s="2043">
        <f t="shared" si="95"/>
        <v>-0.71900826446280997</v>
      </c>
      <c r="O111" s="1776">
        <v>5.0999999999999996</v>
      </c>
      <c r="P111" s="1776">
        <v>5.61</v>
      </c>
      <c r="Q111" s="1776">
        <v>5.0999999999999996</v>
      </c>
      <c r="R111" s="1776">
        <v>6.1710000000000003</v>
      </c>
      <c r="S111" s="2068"/>
      <c r="T111" s="2063" t="s">
        <v>3916</v>
      </c>
      <c r="U111" s="693"/>
      <c r="V111" s="693"/>
      <c r="W111" s="693"/>
      <c r="X111" s="693"/>
      <c r="Y111" s="693"/>
      <c r="Z111" s="693"/>
      <c r="AA111" s="693"/>
      <c r="AB111" s="656"/>
    </row>
    <row r="112" spans="1:28" s="221" customFormat="1" ht="32.4" hidden="1" customHeight="1">
      <c r="A112" s="2062" t="s">
        <v>3187</v>
      </c>
      <c r="B112" s="1975" t="s">
        <v>3396</v>
      </c>
      <c r="C112" s="1915"/>
      <c r="D112" s="2062" t="s">
        <v>470</v>
      </c>
      <c r="E112" s="1776"/>
      <c r="F112" s="2067"/>
      <c r="G112" s="1776"/>
      <c r="H112" s="1776"/>
      <c r="I112" s="2043"/>
      <c r="J112" s="1776">
        <v>18.149999999999999</v>
      </c>
      <c r="K112" s="1776">
        <v>18.149999999999999</v>
      </c>
      <c r="L112" s="1776"/>
      <c r="M112" s="1776"/>
      <c r="N112" s="2043">
        <f t="shared" si="95"/>
        <v>-1</v>
      </c>
      <c r="O112" s="1776"/>
      <c r="P112" s="1776"/>
      <c r="Q112" s="1776"/>
      <c r="R112" s="1776"/>
      <c r="S112" s="2068"/>
      <c r="T112" s="2063" t="s">
        <v>3921</v>
      </c>
      <c r="U112" s="693"/>
      <c r="V112" s="693"/>
      <c r="W112" s="693"/>
      <c r="X112" s="693"/>
      <c r="Y112" s="693"/>
      <c r="Z112" s="693"/>
      <c r="AA112" s="693"/>
      <c r="AB112" s="656"/>
    </row>
    <row r="113" spans="1:28" s="221" customFormat="1" ht="32.4" hidden="1" customHeight="1">
      <c r="A113" s="2062" t="s">
        <v>3912</v>
      </c>
      <c r="B113" s="1975" t="s">
        <v>3532</v>
      </c>
      <c r="C113" s="1915"/>
      <c r="D113" s="2062" t="s">
        <v>470</v>
      </c>
      <c r="E113" s="1776"/>
      <c r="F113" s="2067"/>
      <c r="G113" s="1776"/>
      <c r="H113" s="1776"/>
      <c r="I113" s="2043"/>
      <c r="J113" s="1776">
        <v>115</v>
      </c>
      <c r="K113" s="1776">
        <v>60</v>
      </c>
      <c r="L113" s="1776">
        <v>72.2</v>
      </c>
      <c r="M113" s="1776">
        <v>72.2</v>
      </c>
      <c r="N113" s="2043">
        <f t="shared" si="95"/>
        <v>0.20333333333333339</v>
      </c>
      <c r="O113" s="1776">
        <v>73</v>
      </c>
      <c r="P113" s="1776">
        <v>69.14</v>
      </c>
      <c r="Q113" s="1776">
        <v>74</v>
      </c>
      <c r="R113" s="1776">
        <v>65.774000000000001</v>
      </c>
      <c r="S113" s="2068"/>
      <c r="T113" s="2063"/>
      <c r="U113" s="693"/>
      <c r="V113" s="693"/>
      <c r="W113" s="693"/>
      <c r="X113" s="693"/>
      <c r="Y113" s="693"/>
      <c r="Z113" s="693"/>
      <c r="AA113" s="693"/>
      <c r="AB113" s="656"/>
    </row>
    <row r="114" spans="1:28" s="221" customFormat="1" ht="33" customHeight="1">
      <c r="A114" s="2690" t="s">
        <v>2666</v>
      </c>
      <c r="B114" s="2703" t="s">
        <v>703</v>
      </c>
      <c r="C114" s="2700">
        <v>188711925</v>
      </c>
      <c r="D114" s="706" t="s">
        <v>470</v>
      </c>
      <c r="E114" s="720">
        <v>28</v>
      </c>
      <c r="F114" s="721">
        <f t="shared" si="107"/>
        <v>-0.2857142857142857</v>
      </c>
      <c r="G114" s="720">
        <v>35</v>
      </c>
      <c r="H114" s="722">
        <v>20</v>
      </c>
      <c r="I114" s="723">
        <f t="shared" si="102"/>
        <v>0.25</v>
      </c>
      <c r="J114" s="720">
        <v>35</v>
      </c>
      <c r="K114" s="722">
        <v>25</v>
      </c>
      <c r="L114" s="722">
        <v>25</v>
      </c>
      <c r="M114" s="1496">
        <v>25</v>
      </c>
      <c r="N114" s="2055">
        <f t="shared" si="95"/>
        <v>0</v>
      </c>
      <c r="O114" s="722">
        <v>25</v>
      </c>
      <c r="P114" s="1496">
        <v>25</v>
      </c>
      <c r="Q114" s="722">
        <v>25</v>
      </c>
      <c r="R114" s="1496">
        <v>25</v>
      </c>
      <c r="S114" s="2697" t="s">
        <v>2151</v>
      </c>
      <c r="T114" s="2704" t="s">
        <v>3307</v>
      </c>
      <c r="U114" s="2694" t="s">
        <v>1157</v>
      </c>
      <c r="V114" s="2694" t="s">
        <v>1091</v>
      </c>
      <c r="W114" s="2694" t="s">
        <v>9</v>
      </c>
      <c r="X114" s="2694" t="s">
        <v>9</v>
      </c>
      <c r="Y114" s="2694" t="s">
        <v>9</v>
      </c>
      <c r="Z114" s="2694" t="s">
        <v>9</v>
      </c>
      <c r="AA114" s="2694" t="s">
        <v>9</v>
      </c>
      <c r="AB114" s="2694" t="s">
        <v>2152</v>
      </c>
    </row>
    <row r="115" spans="1:28" s="221" customFormat="1" ht="44.25" customHeight="1">
      <c r="A115" s="2690"/>
      <c r="B115" s="2703"/>
      <c r="C115" s="2700"/>
      <c r="D115" s="725" t="s">
        <v>1067</v>
      </c>
      <c r="E115" s="726">
        <f>E114</f>
        <v>28</v>
      </c>
      <c r="F115" s="727">
        <f t="shared" si="107"/>
        <v>-0.2857142857142857</v>
      </c>
      <c r="G115" s="726">
        <f>G114</f>
        <v>35</v>
      </c>
      <c r="H115" s="728">
        <f>H114</f>
        <v>20</v>
      </c>
      <c r="I115" s="729">
        <f t="shared" si="102"/>
        <v>0.25</v>
      </c>
      <c r="J115" s="726">
        <f t="shared" ref="J115:O115" si="127">J114</f>
        <v>35</v>
      </c>
      <c r="K115" s="728">
        <f t="shared" si="127"/>
        <v>25</v>
      </c>
      <c r="L115" s="728">
        <f t="shared" si="127"/>
        <v>25</v>
      </c>
      <c r="M115" s="1464">
        <f t="shared" ref="M115" si="128">M114</f>
        <v>25</v>
      </c>
      <c r="N115" s="2056">
        <f t="shared" si="95"/>
        <v>0</v>
      </c>
      <c r="O115" s="728">
        <f t="shared" si="127"/>
        <v>25</v>
      </c>
      <c r="P115" s="1464">
        <f t="shared" ref="P115" si="129">P114</f>
        <v>25</v>
      </c>
      <c r="Q115" s="728">
        <f t="shared" ref="Q115:R115" si="130">Q114</f>
        <v>25</v>
      </c>
      <c r="R115" s="1464">
        <f t="shared" si="130"/>
        <v>25</v>
      </c>
      <c r="S115" s="2697"/>
      <c r="T115" s="2704"/>
      <c r="U115" s="2694"/>
      <c r="V115" s="2694"/>
      <c r="W115" s="2694"/>
      <c r="X115" s="2694"/>
      <c r="Y115" s="2694"/>
      <c r="Z115" s="2694"/>
      <c r="AA115" s="2694"/>
      <c r="AB115" s="2694"/>
    </row>
    <row r="116" spans="1:28" s="221" customFormat="1" ht="33.6" customHeight="1">
      <c r="A116" s="2690" t="s">
        <v>2665</v>
      </c>
      <c r="B116" s="2699" t="s">
        <v>700</v>
      </c>
      <c r="C116" s="2700">
        <v>188711925</v>
      </c>
      <c r="D116" s="706" t="s">
        <v>470</v>
      </c>
      <c r="E116" s="720">
        <v>0.2</v>
      </c>
      <c r="F116" s="721">
        <f t="shared" si="107"/>
        <v>0</v>
      </c>
      <c r="G116" s="720">
        <v>0.2</v>
      </c>
      <c r="H116" s="722">
        <v>0.2</v>
      </c>
      <c r="I116" s="723">
        <f t="shared" si="102"/>
        <v>0</v>
      </c>
      <c r="J116" s="720">
        <v>0.2</v>
      </c>
      <c r="K116" s="722">
        <v>0.2</v>
      </c>
      <c r="L116" s="722">
        <v>0.5</v>
      </c>
      <c r="M116" s="1496">
        <v>0.5</v>
      </c>
      <c r="N116" s="2045">
        <f t="shared" si="95"/>
        <v>1.4999999999999998</v>
      </c>
      <c r="O116" s="722">
        <v>0.5</v>
      </c>
      <c r="P116" s="1496">
        <v>0.5</v>
      </c>
      <c r="Q116" s="722">
        <v>0.5</v>
      </c>
      <c r="R116" s="1496">
        <v>0.5</v>
      </c>
      <c r="S116" s="2697"/>
      <c r="T116" s="2701" t="s">
        <v>2807</v>
      </c>
      <c r="U116" s="2694" t="s">
        <v>1158</v>
      </c>
      <c r="V116" s="2694" t="s">
        <v>603</v>
      </c>
      <c r="W116" s="2694">
        <v>1</v>
      </c>
      <c r="X116" s="2694">
        <v>3</v>
      </c>
      <c r="Y116" s="2694">
        <v>3</v>
      </c>
      <c r="Z116" s="2694">
        <v>3</v>
      </c>
      <c r="AA116" s="2694">
        <v>3</v>
      </c>
      <c r="AB116" s="2694"/>
    </row>
    <row r="117" spans="1:28" s="221" customFormat="1" ht="39" customHeight="1">
      <c r="A117" s="2690"/>
      <c r="B117" s="2699"/>
      <c r="C117" s="2700"/>
      <c r="D117" s="725" t="s">
        <v>1067</v>
      </c>
      <c r="E117" s="726">
        <f>E116</f>
        <v>0.2</v>
      </c>
      <c r="F117" s="727">
        <f t="shared" si="107"/>
        <v>0</v>
      </c>
      <c r="G117" s="726">
        <f>G116</f>
        <v>0.2</v>
      </c>
      <c r="H117" s="728">
        <f>H116</f>
        <v>0.2</v>
      </c>
      <c r="I117" s="729">
        <f t="shared" si="102"/>
        <v>0</v>
      </c>
      <c r="J117" s="726">
        <f t="shared" ref="J117:O117" si="131">J116</f>
        <v>0.2</v>
      </c>
      <c r="K117" s="728">
        <f t="shared" si="131"/>
        <v>0.2</v>
      </c>
      <c r="L117" s="728">
        <f t="shared" si="131"/>
        <v>0.5</v>
      </c>
      <c r="M117" s="1464">
        <f t="shared" ref="M117" si="132">M116</f>
        <v>0.5</v>
      </c>
      <c r="N117" s="2056">
        <f t="shared" si="95"/>
        <v>1.4999999999999998</v>
      </c>
      <c r="O117" s="728">
        <f t="shared" si="131"/>
        <v>0.5</v>
      </c>
      <c r="P117" s="1464">
        <f t="shared" ref="P117" si="133">P116</f>
        <v>0.5</v>
      </c>
      <c r="Q117" s="728">
        <f t="shared" ref="Q117:R117" si="134">Q116</f>
        <v>0.5</v>
      </c>
      <c r="R117" s="1464">
        <f t="shared" si="134"/>
        <v>0.5</v>
      </c>
      <c r="S117" s="2697"/>
      <c r="T117" s="2701"/>
      <c r="U117" s="2694"/>
      <c r="V117" s="2694"/>
      <c r="W117" s="2694"/>
      <c r="X117" s="2694"/>
      <c r="Y117" s="2694"/>
      <c r="Z117" s="2694"/>
      <c r="AA117" s="2694"/>
      <c r="AB117" s="2694"/>
    </row>
    <row r="118" spans="1:28" s="532" customFormat="1" ht="55.5" customHeight="1">
      <c r="A118" s="697" t="s">
        <v>1908</v>
      </c>
      <c r="B118" s="663" t="s">
        <v>2826</v>
      </c>
      <c r="C118" s="697"/>
      <c r="D118" s="697"/>
      <c r="E118" s="745">
        <f t="shared" ref="E118:O118" si="135">SUM(E120,E123,E126,E128)</f>
        <v>410.70000000000005</v>
      </c>
      <c r="F118" s="716">
        <f t="shared" si="107"/>
        <v>0.68697345994643255</v>
      </c>
      <c r="G118" s="745">
        <f t="shared" si="135"/>
        <v>709.62</v>
      </c>
      <c r="H118" s="746">
        <f t="shared" si="135"/>
        <v>692.83999999999992</v>
      </c>
      <c r="I118" s="747">
        <f t="shared" si="102"/>
        <v>0.10005196004849615</v>
      </c>
      <c r="J118" s="745">
        <f t="shared" si="135"/>
        <v>849.93799999999999</v>
      </c>
      <c r="K118" s="746">
        <f t="shared" si="135"/>
        <v>762.16</v>
      </c>
      <c r="L118" s="746">
        <f>SUM(L120,L123,L126,L128)</f>
        <v>732.52</v>
      </c>
      <c r="M118" s="746">
        <f t="shared" ref="M118:Q118" si="136">SUM(M120,M123,M126,M128)</f>
        <v>742.52</v>
      </c>
      <c r="N118" s="746">
        <f t="shared" si="136"/>
        <v>-0.94338870792136476</v>
      </c>
      <c r="O118" s="746">
        <f t="shared" si="136"/>
        <v>783.2</v>
      </c>
      <c r="P118" s="746">
        <f t="shared" si="136"/>
        <v>783.2</v>
      </c>
      <c r="Q118" s="746">
        <f>SUM(Q120,Q123,Q126,Q128)</f>
        <v>793.19999999999993</v>
      </c>
      <c r="R118" s="1497">
        <f t="shared" ref="Q118:R118" si="137">SUM(R120,R123,R126,R128)</f>
        <v>793.19999999999993</v>
      </c>
      <c r="S118" s="178" t="s">
        <v>965</v>
      </c>
      <c r="T118" s="690"/>
      <c r="U118" s="671" t="s">
        <v>2154</v>
      </c>
      <c r="V118" s="671" t="s">
        <v>2155</v>
      </c>
      <c r="W118" s="671" t="s">
        <v>1681</v>
      </c>
      <c r="X118" s="671" t="s">
        <v>1681</v>
      </c>
      <c r="Y118" s="671" t="s">
        <v>1681</v>
      </c>
      <c r="Z118" s="671" t="s">
        <v>1681</v>
      </c>
      <c r="AA118" s="671" t="s">
        <v>1681</v>
      </c>
      <c r="AB118" s="671" t="s">
        <v>967</v>
      </c>
    </row>
    <row r="119" spans="1:28" s="221" customFormat="1" ht="37.5" customHeight="1">
      <c r="A119" s="2690" t="s">
        <v>2664</v>
      </c>
      <c r="B119" s="2703" t="s">
        <v>1092</v>
      </c>
      <c r="C119" s="2700">
        <v>188711925</v>
      </c>
      <c r="D119" s="706" t="s">
        <v>470</v>
      </c>
      <c r="E119" s="720">
        <v>62.5</v>
      </c>
      <c r="F119" s="721">
        <f>(H119-E119)/E119</f>
        <v>0.28000000000000003</v>
      </c>
      <c r="G119" s="720">
        <v>98</v>
      </c>
      <c r="H119" s="722">
        <v>80</v>
      </c>
      <c r="I119" s="723">
        <f t="shared" si="102"/>
        <v>0</v>
      </c>
      <c r="J119" s="720">
        <v>100</v>
      </c>
      <c r="K119" s="722">
        <v>80</v>
      </c>
      <c r="L119" s="722">
        <v>100</v>
      </c>
      <c r="M119" s="1496">
        <v>110</v>
      </c>
      <c r="N119" s="2055">
        <f t="shared" si="95"/>
        <v>0.25</v>
      </c>
      <c r="O119" s="722">
        <v>110</v>
      </c>
      <c r="P119" s="1496">
        <v>110</v>
      </c>
      <c r="Q119" s="722">
        <v>110</v>
      </c>
      <c r="R119" s="1496">
        <v>110</v>
      </c>
      <c r="S119" s="2697" t="s">
        <v>2141</v>
      </c>
      <c r="T119" s="2704" t="s">
        <v>2808</v>
      </c>
      <c r="U119" s="2694" t="s">
        <v>1159</v>
      </c>
      <c r="V119" s="2694" t="s">
        <v>1890</v>
      </c>
      <c r="W119" s="2694">
        <v>100</v>
      </c>
      <c r="X119" s="2694">
        <v>100</v>
      </c>
      <c r="Y119" s="2694">
        <v>100</v>
      </c>
      <c r="Z119" s="2694">
        <v>100</v>
      </c>
      <c r="AA119" s="2694">
        <v>100</v>
      </c>
      <c r="AB119" s="2694" t="s">
        <v>2833</v>
      </c>
    </row>
    <row r="120" spans="1:28" s="221" customFormat="1" ht="52.5" customHeight="1">
      <c r="A120" s="2690"/>
      <c r="B120" s="2703"/>
      <c r="C120" s="2700"/>
      <c r="D120" s="725" t="s">
        <v>1067</v>
      </c>
      <c r="E120" s="726">
        <f>E119</f>
        <v>62.5</v>
      </c>
      <c r="F120" s="727">
        <f t="shared" si="107"/>
        <v>0.28000000000000003</v>
      </c>
      <c r="G120" s="726">
        <f>G119</f>
        <v>98</v>
      </c>
      <c r="H120" s="728">
        <f>H119</f>
        <v>80</v>
      </c>
      <c r="I120" s="729">
        <f t="shared" si="102"/>
        <v>0</v>
      </c>
      <c r="J120" s="726">
        <f t="shared" ref="J120:O120" si="138">J119</f>
        <v>100</v>
      </c>
      <c r="K120" s="728">
        <f t="shared" si="138"/>
        <v>80</v>
      </c>
      <c r="L120" s="728">
        <f t="shared" si="138"/>
        <v>100</v>
      </c>
      <c r="M120" s="1464">
        <f t="shared" ref="M120" si="139">M119</f>
        <v>110</v>
      </c>
      <c r="N120" s="2056">
        <f t="shared" si="95"/>
        <v>0.25</v>
      </c>
      <c r="O120" s="728">
        <f t="shared" si="138"/>
        <v>110</v>
      </c>
      <c r="P120" s="1464">
        <f t="shared" ref="P120" si="140">P119</f>
        <v>110</v>
      </c>
      <c r="Q120" s="728">
        <f t="shared" ref="Q120:R120" si="141">Q119</f>
        <v>110</v>
      </c>
      <c r="R120" s="1464">
        <f t="shared" si="141"/>
        <v>110</v>
      </c>
      <c r="S120" s="2697"/>
      <c r="T120" s="2704"/>
      <c r="U120" s="2694"/>
      <c r="V120" s="2694"/>
      <c r="W120" s="2694"/>
      <c r="X120" s="2694"/>
      <c r="Y120" s="2694"/>
      <c r="Z120" s="2694"/>
      <c r="AA120" s="2694"/>
      <c r="AB120" s="2694"/>
    </row>
    <row r="121" spans="1:28" s="221" customFormat="1" ht="33.75" customHeight="1">
      <c r="A121" s="2690" t="s">
        <v>2663</v>
      </c>
      <c r="B121" s="2703" t="s">
        <v>712</v>
      </c>
      <c r="C121" s="2700">
        <v>188711925</v>
      </c>
      <c r="D121" s="706" t="s">
        <v>470</v>
      </c>
      <c r="E121" s="720">
        <v>290.86</v>
      </c>
      <c r="F121" s="721">
        <f t="shared" si="107"/>
        <v>0.89924706044144931</v>
      </c>
      <c r="G121" s="720">
        <v>551.58000000000004</v>
      </c>
      <c r="H121" s="722">
        <v>552.41499999999996</v>
      </c>
      <c r="I121" s="723">
        <f t="shared" si="102"/>
        <v>-1</v>
      </c>
      <c r="J121" s="720">
        <v>672.18</v>
      </c>
      <c r="K121" s="722">
        <v>0</v>
      </c>
      <c r="L121" s="722"/>
      <c r="M121" s="1496">
        <v>564</v>
      </c>
      <c r="N121" s="2055"/>
      <c r="O121" s="722">
        <v>622.5</v>
      </c>
      <c r="P121" s="1496">
        <v>622.5</v>
      </c>
      <c r="Q121" s="722">
        <v>644.29999999999995</v>
      </c>
      <c r="R121" s="1496">
        <v>644.29999999999995</v>
      </c>
      <c r="S121" s="2697"/>
      <c r="T121" s="2704" t="s">
        <v>3581</v>
      </c>
      <c r="U121" s="2694" t="s">
        <v>1160</v>
      </c>
      <c r="V121" s="2694" t="s">
        <v>84</v>
      </c>
      <c r="W121" s="2694" t="s">
        <v>1891</v>
      </c>
      <c r="X121" s="2694" t="s">
        <v>1892</v>
      </c>
      <c r="Y121" s="2694" t="s">
        <v>308</v>
      </c>
      <c r="Z121" s="2694" t="s">
        <v>308</v>
      </c>
      <c r="AA121" s="2694" t="s">
        <v>308</v>
      </c>
      <c r="AB121" s="2694"/>
    </row>
    <row r="122" spans="1:28" s="221" customFormat="1" ht="33.75" customHeight="1">
      <c r="A122" s="2690"/>
      <c r="B122" s="2703"/>
      <c r="C122" s="2700"/>
      <c r="D122" s="706" t="s">
        <v>2747</v>
      </c>
      <c r="E122" s="720"/>
      <c r="F122" s="721"/>
      <c r="G122" s="720"/>
      <c r="H122" s="722"/>
      <c r="I122" s="723"/>
      <c r="J122" s="720"/>
      <c r="K122" s="722">
        <v>602.60199999999998</v>
      </c>
      <c r="L122" s="722">
        <v>564</v>
      </c>
      <c r="M122" s="1496"/>
      <c r="N122" s="2055">
        <f t="shared" si="95"/>
        <v>-6.4058864723316511E-2</v>
      </c>
      <c r="O122" s="722"/>
      <c r="P122" s="1496"/>
      <c r="Q122" s="722"/>
      <c r="R122" s="1496"/>
      <c r="S122" s="2697"/>
      <c r="T122" s="2704"/>
      <c r="U122" s="2694"/>
      <c r="V122" s="2694"/>
      <c r="W122" s="2694"/>
      <c r="X122" s="2694"/>
      <c r="Y122" s="2694"/>
      <c r="Z122" s="2694"/>
      <c r="AA122" s="2694"/>
      <c r="AB122" s="2694"/>
    </row>
    <row r="123" spans="1:28" s="221" customFormat="1" ht="43.2" customHeight="1">
      <c r="A123" s="2690"/>
      <c r="B123" s="2703">
        <f>SUM(B121:B121)</f>
        <v>0</v>
      </c>
      <c r="C123" s="2700">
        <f>SUM(C121:C121)</f>
        <v>188711925</v>
      </c>
      <c r="D123" s="725" t="s">
        <v>1067</v>
      </c>
      <c r="E123" s="726">
        <f>E121</f>
        <v>290.86</v>
      </c>
      <c r="F123" s="727">
        <f t="shared" si="107"/>
        <v>0.89924706044144931</v>
      </c>
      <c r="G123" s="726">
        <f>G121</f>
        <v>551.58000000000004</v>
      </c>
      <c r="H123" s="728">
        <f>H121</f>
        <v>552.41499999999996</v>
      </c>
      <c r="I123" s="729">
        <f t="shared" si="102"/>
        <v>9.0850176045183417E-2</v>
      </c>
      <c r="J123" s="726">
        <f>J121</f>
        <v>672.18</v>
      </c>
      <c r="K123" s="728">
        <f>K122</f>
        <v>602.60199999999998</v>
      </c>
      <c r="L123" s="728">
        <f>L122</f>
        <v>564</v>
      </c>
      <c r="M123" s="1464">
        <f t="shared" ref="M123" si="142">M121</f>
        <v>564</v>
      </c>
      <c r="N123" s="2056">
        <f t="shared" si="95"/>
        <v>-6.4058864723316511E-2</v>
      </c>
      <c r="O123" s="728">
        <f t="shared" ref="O123:Q123" si="143">O121</f>
        <v>622.5</v>
      </c>
      <c r="P123" s="1464">
        <f t="shared" ref="P123" si="144">P121</f>
        <v>622.5</v>
      </c>
      <c r="Q123" s="728">
        <f t="shared" si="143"/>
        <v>644.29999999999995</v>
      </c>
      <c r="R123" s="1464">
        <f t="shared" ref="R123" si="145">R121</f>
        <v>644.29999999999995</v>
      </c>
      <c r="S123" s="2697"/>
      <c r="T123" s="2704"/>
      <c r="U123" s="2694"/>
      <c r="V123" s="2694"/>
      <c r="W123" s="2694"/>
      <c r="X123" s="2694"/>
      <c r="Y123" s="2694"/>
      <c r="Z123" s="2694"/>
      <c r="AA123" s="2694"/>
      <c r="AB123" s="2694"/>
    </row>
    <row r="124" spans="1:28" s="221" customFormat="1" ht="32.25" customHeight="1">
      <c r="A124" s="2690" t="s">
        <v>2662</v>
      </c>
      <c r="B124" s="2703" t="s">
        <v>709</v>
      </c>
      <c r="C124" s="2700">
        <v>188711925</v>
      </c>
      <c r="D124" s="706" t="s">
        <v>470</v>
      </c>
      <c r="E124" s="720">
        <v>55.84</v>
      </c>
      <c r="F124" s="721">
        <f>(H124-E124)/E124</f>
        <v>5.5247134670486989E-2</v>
      </c>
      <c r="G124" s="720">
        <v>58.54</v>
      </c>
      <c r="H124" s="722">
        <v>58.924999999999997</v>
      </c>
      <c r="I124" s="723">
        <f t="shared" si="102"/>
        <v>-1</v>
      </c>
      <c r="J124" s="720">
        <v>76.897999999999996</v>
      </c>
      <c r="K124" s="722">
        <v>0</v>
      </c>
      <c r="L124" s="722"/>
      <c r="M124" s="1496">
        <v>68.52</v>
      </c>
      <c r="N124" s="2055"/>
      <c r="O124" s="722">
        <v>50.7</v>
      </c>
      <c r="P124" s="1496">
        <v>50.7</v>
      </c>
      <c r="Q124" s="722">
        <v>38.9</v>
      </c>
      <c r="R124" s="1496">
        <v>38.9</v>
      </c>
      <c r="S124" s="2697"/>
      <c r="T124" s="2704" t="s">
        <v>3913</v>
      </c>
      <c r="U124" s="2694" t="s">
        <v>1161</v>
      </c>
      <c r="V124" s="2694" t="s">
        <v>3914</v>
      </c>
      <c r="W124" s="2694" t="s">
        <v>1891</v>
      </c>
      <c r="X124" s="2694" t="s">
        <v>1892</v>
      </c>
      <c r="Y124" s="2694" t="s">
        <v>308</v>
      </c>
      <c r="Z124" s="2694" t="s">
        <v>308</v>
      </c>
      <c r="AA124" s="2694" t="s">
        <v>308</v>
      </c>
      <c r="AB124" s="2694"/>
    </row>
    <row r="125" spans="1:28" s="221" customFormat="1" ht="32.25" customHeight="1">
      <c r="A125" s="2690"/>
      <c r="B125" s="2703"/>
      <c r="C125" s="2700"/>
      <c r="D125" s="706" t="s">
        <v>2747</v>
      </c>
      <c r="E125" s="720"/>
      <c r="F125" s="721"/>
      <c r="G125" s="720"/>
      <c r="H125" s="722"/>
      <c r="I125" s="723"/>
      <c r="J125" s="720"/>
      <c r="K125" s="722">
        <v>78.697999999999993</v>
      </c>
      <c r="L125" s="722">
        <v>68.52</v>
      </c>
      <c r="M125" s="1496"/>
      <c r="N125" s="2055">
        <f>SUM(L125-K125)/K125</f>
        <v>-0.12932984319804822</v>
      </c>
      <c r="O125" s="722"/>
      <c r="P125" s="1496"/>
      <c r="Q125" s="722"/>
      <c r="R125" s="1496"/>
      <c r="S125" s="2697"/>
      <c r="T125" s="2704"/>
      <c r="U125" s="2694"/>
      <c r="V125" s="2694"/>
      <c r="W125" s="2694"/>
      <c r="X125" s="2694"/>
      <c r="Y125" s="2694"/>
      <c r="Z125" s="2694"/>
      <c r="AA125" s="2694"/>
      <c r="AB125" s="2694"/>
    </row>
    <row r="126" spans="1:28" s="221" customFormat="1" ht="49.2" customHeight="1">
      <c r="A126" s="2690"/>
      <c r="B126" s="2703"/>
      <c r="C126" s="2700"/>
      <c r="D126" s="725" t="s">
        <v>1067</v>
      </c>
      <c r="E126" s="726">
        <f>E124</f>
        <v>55.84</v>
      </c>
      <c r="F126" s="727">
        <f t="shared" si="107"/>
        <v>5.5247134670486989E-2</v>
      </c>
      <c r="G126" s="726">
        <f>G124</f>
        <v>58.54</v>
      </c>
      <c r="H126" s="728">
        <f>H124</f>
        <v>58.924999999999997</v>
      </c>
      <c r="I126" s="729">
        <f t="shared" si="102"/>
        <v>0.33556215528213817</v>
      </c>
      <c r="J126" s="726">
        <f>J124</f>
        <v>76.897999999999996</v>
      </c>
      <c r="K126" s="728">
        <f>K124+K125</f>
        <v>78.697999999999993</v>
      </c>
      <c r="L126" s="728">
        <f>L125</f>
        <v>68.52</v>
      </c>
      <c r="M126" s="1464">
        <f t="shared" ref="L126:M126" si="146">M124</f>
        <v>68.52</v>
      </c>
      <c r="N126" s="2056">
        <f t="shared" si="95"/>
        <v>-0.12932984319804822</v>
      </c>
      <c r="O126" s="728">
        <f t="shared" ref="O126:Q126" si="147">O124</f>
        <v>50.7</v>
      </c>
      <c r="P126" s="1464">
        <f t="shared" ref="P126" si="148">P124</f>
        <v>50.7</v>
      </c>
      <c r="Q126" s="728">
        <f t="shared" si="147"/>
        <v>38.9</v>
      </c>
      <c r="R126" s="1464">
        <f t="shared" ref="R126" si="149">R124</f>
        <v>38.9</v>
      </c>
      <c r="S126" s="2697"/>
      <c r="T126" s="2704"/>
      <c r="U126" s="2694"/>
      <c r="V126" s="2694"/>
      <c r="W126" s="2694"/>
      <c r="X126" s="2694"/>
      <c r="Y126" s="2694"/>
      <c r="Z126" s="2694"/>
      <c r="AA126" s="2694"/>
      <c r="AB126" s="2694"/>
    </row>
    <row r="127" spans="1:28" s="221" customFormat="1" ht="39.75" hidden="1" customHeight="1">
      <c r="A127" s="2690" t="s">
        <v>2661</v>
      </c>
      <c r="B127" s="2703" t="s">
        <v>355</v>
      </c>
      <c r="C127" s="2700">
        <v>188711925</v>
      </c>
      <c r="D127" s="706" t="s">
        <v>470</v>
      </c>
      <c r="E127" s="720">
        <v>1.5</v>
      </c>
      <c r="F127" s="721">
        <f t="shared" si="107"/>
        <v>0</v>
      </c>
      <c r="G127" s="720">
        <v>1.5</v>
      </c>
      <c r="H127" s="722">
        <v>1.5</v>
      </c>
      <c r="I127" s="723">
        <f t="shared" si="102"/>
        <v>-0.42666666666666664</v>
      </c>
      <c r="J127" s="720">
        <v>0.86</v>
      </c>
      <c r="K127" s="722">
        <v>0.86</v>
      </c>
      <c r="L127" s="722">
        <v>0</v>
      </c>
      <c r="M127" s="1496">
        <v>0</v>
      </c>
      <c r="N127" s="2055">
        <f t="shared" si="95"/>
        <v>-1</v>
      </c>
      <c r="O127" s="722">
        <v>0</v>
      </c>
      <c r="P127" s="1496">
        <v>0</v>
      </c>
      <c r="Q127" s="722">
        <v>0</v>
      </c>
      <c r="R127" s="1496">
        <v>0</v>
      </c>
      <c r="S127" s="2697"/>
      <c r="T127" s="2704" t="s">
        <v>1141</v>
      </c>
      <c r="U127" s="2694" t="s">
        <v>1162</v>
      </c>
      <c r="V127" s="2694" t="s">
        <v>1093</v>
      </c>
      <c r="W127" s="2694" t="s">
        <v>1891</v>
      </c>
      <c r="X127" s="2694" t="s">
        <v>1892</v>
      </c>
      <c r="Y127" s="2694" t="s">
        <v>1891</v>
      </c>
      <c r="Z127" s="2694" t="s">
        <v>1891</v>
      </c>
      <c r="AA127" s="2694" t="s">
        <v>1891</v>
      </c>
      <c r="AB127" s="2694"/>
    </row>
    <row r="128" spans="1:28" s="221" customFormat="1" ht="38.25" hidden="1" customHeight="1">
      <c r="A128" s="2690"/>
      <c r="B128" s="2703"/>
      <c r="C128" s="2700"/>
      <c r="D128" s="725" t="s">
        <v>1067</v>
      </c>
      <c r="E128" s="726">
        <f>E127</f>
        <v>1.5</v>
      </c>
      <c r="F128" s="727">
        <f t="shared" si="107"/>
        <v>0</v>
      </c>
      <c r="G128" s="726">
        <f>G127</f>
        <v>1.5</v>
      </c>
      <c r="H128" s="728">
        <f>H127</f>
        <v>1.5</v>
      </c>
      <c r="I128" s="729">
        <f t="shared" si="102"/>
        <v>-0.42666666666666664</v>
      </c>
      <c r="J128" s="726">
        <f t="shared" ref="J128:O128" si="150">J127</f>
        <v>0.86</v>
      </c>
      <c r="K128" s="728">
        <f t="shared" si="150"/>
        <v>0.86</v>
      </c>
      <c r="L128" s="728">
        <f t="shared" si="150"/>
        <v>0</v>
      </c>
      <c r="M128" s="1464">
        <f t="shared" ref="M128" si="151">M127</f>
        <v>0</v>
      </c>
      <c r="N128" s="2056">
        <f t="shared" si="95"/>
        <v>-1</v>
      </c>
      <c r="O128" s="728">
        <f t="shared" si="150"/>
        <v>0</v>
      </c>
      <c r="P128" s="1464">
        <f t="shared" ref="P128" si="152">P127</f>
        <v>0</v>
      </c>
      <c r="Q128" s="728">
        <f t="shared" ref="Q128:R128" si="153">Q127</f>
        <v>0</v>
      </c>
      <c r="R128" s="1464">
        <f t="shared" si="153"/>
        <v>0</v>
      </c>
      <c r="S128" s="2697"/>
      <c r="T128" s="2704"/>
      <c r="U128" s="2694"/>
      <c r="V128" s="2694"/>
      <c r="W128" s="2694"/>
      <c r="X128" s="2694"/>
      <c r="Y128" s="2694"/>
      <c r="Z128" s="2694"/>
      <c r="AA128" s="2694"/>
      <c r="AB128" s="2694"/>
    </row>
    <row r="129" spans="1:28" s="532" customFormat="1" ht="48.75" customHeight="1">
      <c r="A129" s="697" t="s">
        <v>1909</v>
      </c>
      <c r="B129" s="663" t="s">
        <v>3296</v>
      </c>
      <c r="C129" s="714"/>
      <c r="D129" s="697"/>
      <c r="E129" s="745">
        <f t="shared" ref="E129" si="154">SUM(E131)</f>
        <v>1</v>
      </c>
      <c r="F129" s="716">
        <f t="shared" si="107"/>
        <v>0.5</v>
      </c>
      <c r="G129" s="745">
        <f>SUM(G131)</f>
        <v>2.2999999999999998</v>
      </c>
      <c r="H129" s="746">
        <f>SUM(H131)</f>
        <v>1.5</v>
      </c>
      <c r="I129" s="747">
        <f t="shared" si="102"/>
        <v>0.33333333333333326</v>
      </c>
      <c r="J129" s="745">
        <f>SUM(J131)</f>
        <v>2.5</v>
      </c>
      <c r="K129" s="746">
        <f t="shared" ref="K129:L129" si="155">SUM(K131)</f>
        <v>2</v>
      </c>
      <c r="L129" s="746">
        <f>SUM(L131)</f>
        <v>4</v>
      </c>
      <c r="M129" s="1497">
        <f t="shared" ref="M129" si="156">SUM(M131)</f>
        <v>4</v>
      </c>
      <c r="N129" s="2057">
        <f t="shared" si="95"/>
        <v>1</v>
      </c>
      <c r="O129" s="746">
        <f t="shared" ref="O129:Q129" si="157">SUM(O131)</f>
        <v>4</v>
      </c>
      <c r="P129" s="1497">
        <f t="shared" ref="P129" si="158">SUM(P131)</f>
        <v>2.6</v>
      </c>
      <c r="Q129" s="746">
        <f t="shared" si="157"/>
        <v>4</v>
      </c>
      <c r="R129" s="1497">
        <f t="shared" ref="R129" si="159">SUM(R131)</f>
        <v>3</v>
      </c>
      <c r="S129" s="178" t="s">
        <v>970</v>
      </c>
      <c r="T129" s="696"/>
      <c r="U129" s="697" t="s">
        <v>1893</v>
      </c>
      <c r="V129" s="663" t="s">
        <v>3286</v>
      </c>
      <c r="W129" s="671" t="s">
        <v>1725</v>
      </c>
      <c r="X129" s="671" t="s">
        <v>1725</v>
      </c>
      <c r="Y129" s="671" t="s">
        <v>1725</v>
      </c>
      <c r="Z129" s="671" t="s">
        <v>1725</v>
      </c>
      <c r="AA129" s="671" t="s">
        <v>1725</v>
      </c>
      <c r="AB129" s="671" t="s">
        <v>972</v>
      </c>
    </row>
    <row r="130" spans="1:28" s="221" customFormat="1" ht="39" customHeight="1">
      <c r="A130" s="2690" t="s">
        <v>2660</v>
      </c>
      <c r="B130" s="2703" t="s">
        <v>701</v>
      </c>
      <c r="C130" s="2700">
        <v>188711925</v>
      </c>
      <c r="D130" s="706" t="s">
        <v>470</v>
      </c>
      <c r="E130" s="720">
        <v>1</v>
      </c>
      <c r="F130" s="721">
        <f>(H130-E130)/E130</f>
        <v>0.5</v>
      </c>
      <c r="G130" s="720">
        <v>2.2999999999999998</v>
      </c>
      <c r="H130" s="722">
        <v>1.5</v>
      </c>
      <c r="I130" s="723">
        <f t="shared" si="102"/>
        <v>0.33333333333333326</v>
      </c>
      <c r="J130" s="720">
        <v>2.5</v>
      </c>
      <c r="K130" s="722">
        <v>2</v>
      </c>
      <c r="L130" s="722">
        <v>4</v>
      </c>
      <c r="M130" s="1496">
        <v>4</v>
      </c>
      <c r="N130" s="2055">
        <f t="shared" si="95"/>
        <v>1</v>
      </c>
      <c r="O130" s="722">
        <v>4</v>
      </c>
      <c r="P130" s="1496">
        <v>2.6</v>
      </c>
      <c r="Q130" s="722">
        <v>4</v>
      </c>
      <c r="R130" s="1496">
        <v>3</v>
      </c>
      <c r="S130" s="2697" t="s">
        <v>2156</v>
      </c>
      <c r="T130" s="2704" t="s">
        <v>4324</v>
      </c>
      <c r="U130" s="2694" t="s">
        <v>1163</v>
      </c>
      <c r="V130" s="2694" t="s">
        <v>1709</v>
      </c>
      <c r="W130" s="2694">
        <v>200</v>
      </c>
      <c r="X130" s="2694">
        <v>250</v>
      </c>
      <c r="Y130" s="2694" t="s">
        <v>3121</v>
      </c>
      <c r="Z130" s="2694" t="s">
        <v>3121</v>
      </c>
      <c r="AA130" s="2694" t="s">
        <v>3121</v>
      </c>
      <c r="AB130" s="2694" t="s">
        <v>2157</v>
      </c>
    </row>
    <row r="131" spans="1:28" s="221" customFormat="1" ht="93.75" customHeight="1">
      <c r="A131" s="2690"/>
      <c r="B131" s="2703"/>
      <c r="C131" s="2700"/>
      <c r="D131" s="725" t="s">
        <v>1067</v>
      </c>
      <c r="E131" s="726">
        <f>E130</f>
        <v>1</v>
      </c>
      <c r="F131" s="727">
        <f t="shared" si="107"/>
        <v>0.5</v>
      </c>
      <c r="G131" s="726">
        <f>G130</f>
        <v>2.2999999999999998</v>
      </c>
      <c r="H131" s="728">
        <f>H130</f>
        <v>1.5</v>
      </c>
      <c r="I131" s="729">
        <f t="shared" si="102"/>
        <v>0.33333333333333326</v>
      </c>
      <c r="J131" s="726">
        <f t="shared" ref="J131:O131" si="160">J130</f>
        <v>2.5</v>
      </c>
      <c r="K131" s="728">
        <f t="shared" si="160"/>
        <v>2</v>
      </c>
      <c r="L131" s="728">
        <f t="shared" si="160"/>
        <v>4</v>
      </c>
      <c r="M131" s="1464">
        <f t="shared" ref="M131" si="161">M130</f>
        <v>4</v>
      </c>
      <c r="N131" s="2056">
        <f t="shared" si="95"/>
        <v>1</v>
      </c>
      <c r="O131" s="728">
        <f t="shared" si="160"/>
        <v>4</v>
      </c>
      <c r="P131" s="1464">
        <f t="shared" ref="P131" si="162">P130</f>
        <v>2.6</v>
      </c>
      <c r="Q131" s="728">
        <f t="shared" ref="Q131:R131" si="163">Q130</f>
        <v>4</v>
      </c>
      <c r="R131" s="1464">
        <f t="shared" si="163"/>
        <v>3</v>
      </c>
      <c r="S131" s="2697"/>
      <c r="T131" s="2704"/>
      <c r="U131" s="2694"/>
      <c r="V131" s="2694"/>
      <c r="W131" s="2694"/>
      <c r="X131" s="2694"/>
      <c r="Y131" s="2694"/>
      <c r="Z131" s="2694"/>
      <c r="AA131" s="2694"/>
      <c r="AB131" s="2694"/>
    </row>
    <row r="132" spans="1:28" s="532" customFormat="1" ht="49.2" customHeight="1">
      <c r="A132" s="697" t="s">
        <v>1910</v>
      </c>
      <c r="B132" s="663" t="s">
        <v>561</v>
      </c>
      <c r="C132" s="714"/>
      <c r="D132" s="697"/>
      <c r="E132" s="745">
        <f>SUM(E136,E182,E162,E169,E175,E172)</f>
        <v>262.99599999999998</v>
      </c>
      <c r="F132" s="716">
        <f t="shared" si="107"/>
        <v>-6.5118861123363014E-2</v>
      </c>
      <c r="G132" s="745" t="e">
        <f>SUM(G136,G182,G162,G169,G175,G172)</f>
        <v>#REF!</v>
      </c>
      <c r="H132" s="746">
        <f>SUM(H136,H182,H162,H169,H175,H172)</f>
        <v>245.87</v>
      </c>
      <c r="I132" s="747">
        <f t="shared" si="102"/>
        <v>0.48731443445723355</v>
      </c>
      <c r="J132" s="745">
        <f>SUM(J136,J182,J162,J169,J175,J172)</f>
        <v>286.762</v>
      </c>
      <c r="K132" s="746">
        <f>SUM(K136,K182,K162,K169,K175,K172)</f>
        <v>365.68600000000004</v>
      </c>
      <c r="L132" s="746">
        <f>SUM(L136,L182,L162,L175,L172)</f>
        <v>362.38</v>
      </c>
      <c r="M132" s="1497">
        <f>SUM(M136,M182,M162,M169,M175,M172)</f>
        <v>391.38</v>
      </c>
      <c r="N132" s="2057">
        <f t="shared" si="95"/>
        <v>-9.040542979496179E-3</v>
      </c>
      <c r="O132" s="746">
        <f>SUM(O136,O182,O162,O169,O175,O172)</f>
        <v>368.8</v>
      </c>
      <c r="P132" s="1497">
        <f>SUM(P136,P182,P162,P169,P175,P172)</f>
        <v>492.28</v>
      </c>
      <c r="Q132" s="746">
        <f>SUM(Q136,Q182,Q162,Q169,Q175,Q172)</f>
        <v>393.3</v>
      </c>
      <c r="R132" s="1497">
        <f>SUM(R136,R182,R162,R169,R175,R172)</f>
        <v>378.38</v>
      </c>
      <c r="S132" s="178" t="s">
        <v>965</v>
      </c>
      <c r="T132" s="696"/>
      <c r="U132" s="697" t="s">
        <v>4340</v>
      </c>
      <c r="V132" s="663" t="s">
        <v>2158</v>
      </c>
      <c r="W132" s="671">
        <v>50</v>
      </c>
      <c r="X132" s="671">
        <v>50</v>
      </c>
      <c r="Y132" s="671" t="s">
        <v>4</v>
      </c>
      <c r="Z132" s="671" t="s">
        <v>1306</v>
      </c>
      <c r="AA132" s="671" t="s">
        <v>1430</v>
      </c>
      <c r="AB132" s="671" t="s">
        <v>2837</v>
      </c>
    </row>
    <row r="133" spans="1:28" s="221" customFormat="1" ht="42.75" customHeight="1">
      <c r="A133" s="2727" t="s">
        <v>2659</v>
      </c>
      <c r="B133" s="2728" t="s">
        <v>81</v>
      </c>
      <c r="C133" s="2700">
        <v>188711925</v>
      </c>
      <c r="D133" s="706" t="s">
        <v>470</v>
      </c>
      <c r="E133" s="720">
        <v>49</v>
      </c>
      <c r="F133" s="721">
        <f t="shared" si="107"/>
        <v>0.57551020408163267</v>
      </c>
      <c r="G133" s="720">
        <f>SUM(G147:G157)</f>
        <v>135.69999999999999</v>
      </c>
      <c r="H133" s="722">
        <f t="shared" ref="H133" si="164">SUM(H147:H157)</f>
        <v>77.2</v>
      </c>
      <c r="I133" s="723">
        <f t="shared" si="102"/>
        <v>1.7383419689119171</v>
      </c>
      <c r="J133" s="720">
        <f>SUM(J146,J149,J147,J148,J150,J151,J152,J153,J154,J156,J157,)</f>
        <v>201.4</v>
      </c>
      <c r="K133" s="722">
        <f>SUM(K146,K149,K147,K148,K150,K151,K152,K153,K154,K156,K157,K155)</f>
        <v>211.4</v>
      </c>
      <c r="L133" s="722">
        <f>SUM(L137,L139,L140,L141,L142,L143,L145)</f>
        <v>139.5</v>
      </c>
      <c r="M133" s="722">
        <f>SUM(M137,M139,M140,M141,M142,M143,M144,M145)</f>
        <v>308.5</v>
      </c>
      <c r="N133" s="2055">
        <f t="shared" si="95"/>
        <v>-0.3401135288552507</v>
      </c>
      <c r="O133" s="722">
        <v>300</v>
      </c>
      <c r="P133" s="1496">
        <v>404.4</v>
      </c>
      <c r="Q133" s="722">
        <v>324.5</v>
      </c>
      <c r="R133" s="1496">
        <v>324.5</v>
      </c>
      <c r="S133" s="2697" t="s">
        <v>2141</v>
      </c>
      <c r="T133" s="2704" t="s">
        <v>4341</v>
      </c>
      <c r="U133" s="2694" t="s">
        <v>1164</v>
      </c>
      <c r="V133" s="2694" t="s">
        <v>1922</v>
      </c>
      <c r="W133" s="2690">
        <v>3</v>
      </c>
      <c r="X133" s="2690">
        <v>5</v>
      </c>
      <c r="Y133" s="2690">
        <v>5</v>
      </c>
      <c r="Z133" s="2690">
        <v>5</v>
      </c>
      <c r="AA133" s="2690">
        <v>5</v>
      </c>
      <c r="AB133" s="2694" t="s">
        <v>2836</v>
      </c>
    </row>
    <row r="134" spans="1:28" s="221" customFormat="1" ht="33" customHeight="1">
      <c r="A134" s="2727"/>
      <c r="B134" s="2728"/>
      <c r="C134" s="2700"/>
      <c r="D134" s="706" t="s">
        <v>2747</v>
      </c>
      <c r="E134" s="657"/>
      <c r="F134" s="721"/>
      <c r="G134" s="657"/>
      <c r="H134" s="655"/>
      <c r="I134" s="723" t="e">
        <f t="shared" si="102"/>
        <v>#DIV/0!</v>
      </c>
      <c r="J134" s="657"/>
      <c r="K134" s="722"/>
      <c r="L134" s="722">
        <f>L144</f>
        <v>157</v>
      </c>
      <c r="M134" s="1496"/>
      <c r="N134" s="2055"/>
      <c r="O134" s="722"/>
      <c r="P134" s="1496"/>
      <c r="Q134" s="722"/>
      <c r="R134" s="1496"/>
      <c r="S134" s="2697"/>
      <c r="T134" s="2704"/>
      <c r="U134" s="2694"/>
      <c r="V134" s="2694"/>
      <c r="W134" s="2690"/>
      <c r="X134" s="2690"/>
      <c r="Y134" s="2690"/>
      <c r="Z134" s="2690"/>
      <c r="AA134" s="2690"/>
      <c r="AB134" s="2694"/>
    </row>
    <row r="135" spans="1:28" s="221" customFormat="1" ht="27.6" hidden="1" customHeight="1">
      <c r="A135" s="2727"/>
      <c r="B135" s="2728"/>
      <c r="C135" s="2700"/>
      <c r="D135" s="706" t="s">
        <v>412</v>
      </c>
      <c r="E135" s="657"/>
      <c r="F135" s="721"/>
      <c r="G135" s="657"/>
      <c r="H135" s="655"/>
      <c r="I135" s="723" t="e">
        <f t="shared" si="102"/>
        <v>#DIV/0!</v>
      </c>
      <c r="J135" s="657"/>
      <c r="K135" s="722"/>
      <c r="L135" s="722"/>
      <c r="M135" s="1496"/>
      <c r="N135" s="2042"/>
      <c r="O135" s="722"/>
      <c r="P135" s="1496"/>
      <c r="Q135" s="722"/>
      <c r="R135" s="1496"/>
      <c r="S135" s="2697"/>
      <c r="T135" s="2704"/>
      <c r="U135" s="2694"/>
      <c r="V135" s="2694"/>
      <c r="W135" s="2690"/>
      <c r="X135" s="2690"/>
      <c r="Y135" s="2690"/>
      <c r="Z135" s="2690"/>
      <c r="AA135" s="2690"/>
      <c r="AB135" s="2694"/>
    </row>
    <row r="136" spans="1:28" s="221" customFormat="1" ht="65.25" customHeight="1">
      <c r="A136" s="2727"/>
      <c r="B136" s="2728"/>
      <c r="C136" s="2700"/>
      <c r="D136" s="725" t="s">
        <v>1067</v>
      </c>
      <c r="E136" s="726">
        <f>E133</f>
        <v>49</v>
      </c>
      <c r="F136" s="727">
        <f>(H136-E136)/E136</f>
        <v>0.57551020408163267</v>
      </c>
      <c r="G136" s="726">
        <f>G133+G134+G135</f>
        <v>135.69999999999999</v>
      </c>
      <c r="H136" s="728">
        <f>H133+H134+H135</f>
        <v>77.2</v>
      </c>
      <c r="I136" s="729">
        <f t="shared" si="102"/>
        <v>1.7383419689119171</v>
      </c>
      <c r="J136" s="726">
        <f>J133+J134+J135</f>
        <v>201.4</v>
      </c>
      <c r="K136" s="728">
        <f>K133+K134+K135</f>
        <v>211.4</v>
      </c>
      <c r="L136" s="728">
        <f>L133+L134+L135</f>
        <v>296.5</v>
      </c>
      <c r="M136" s="1464">
        <f>M133+M134+M135</f>
        <v>308.5</v>
      </c>
      <c r="N136" s="2056">
        <f t="shared" si="95"/>
        <v>0.4025543992431409</v>
      </c>
      <c r="O136" s="728">
        <f>O133+O134+O135</f>
        <v>300</v>
      </c>
      <c r="P136" s="1464">
        <f>P133+P134+P135</f>
        <v>404.4</v>
      </c>
      <c r="Q136" s="728">
        <f>Q133+Q134+Q135</f>
        <v>324.5</v>
      </c>
      <c r="R136" s="1464">
        <f>R133+R134+R135</f>
        <v>324.5</v>
      </c>
      <c r="S136" s="2697"/>
      <c r="T136" s="2704"/>
      <c r="U136" s="2694"/>
      <c r="V136" s="2694"/>
      <c r="W136" s="2690"/>
      <c r="X136" s="2690"/>
      <c r="Y136" s="2690"/>
      <c r="Z136" s="2690"/>
      <c r="AA136" s="2690"/>
      <c r="AB136" s="2694"/>
    </row>
    <row r="137" spans="1:28" s="221" customFormat="1" ht="30.6" hidden="1" customHeight="1">
      <c r="A137" s="2755" t="s">
        <v>3926</v>
      </c>
      <c r="B137" s="665" t="s">
        <v>3922</v>
      </c>
      <c r="C137" s="976"/>
      <c r="D137" s="682"/>
      <c r="E137" s="681"/>
      <c r="F137" s="777"/>
      <c r="G137" s="681"/>
      <c r="H137" s="681"/>
      <c r="I137" s="778"/>
      <c r="J137" s="681"/>
      <c r="K137" s="681"/>
      <c r="L137" s="681">
        <v>0</v>
      </c>
      <c r="M137" s="686">
        <v>12</v>
      </c>
      <c r="N137" s="2044"/>
      <c r="O137" s="686"/>
      <c r="P137" s="1498"/>
      <c r="Q137" s="686"/>
      <c r="R137" s="1498"/>
      <c r="S137" s="1804"/>
      <c r="T137" s="907"/>
      <c r="U137" s="688"/>
      <c r="V137" s="688"/>
      <c r="W137" s="687"/>
      <c r="X137" s="687"/>
      <c r="Y137" s="687"/>
      <c r="Z137" s="687"/>
      <c r="AA137" s="687"/>
      <c r="AB137" s="688"/>
    </row>
    <row r="138" spans="1:28" s="221" customFormat="1" ht="34.950000000000003" hidden="1" customHeight="1">
      <c r="A138" s="2756"/>
      <c r="B138" s="665" t="s">
        <v>3923</v>
      </c>
      <c r="C138" s="976"/>
      <c r="D138" s="682"/>
      <c r="E138" s="681"/>
      <c r="F138" s="777"/>
      <c r="G138" s="681"/>
      <c r="H138" s="681"/>
      <c r="I138" s="778"/>
      <c r="J138" s="681"/>
      <c r="K138" s="681"/>
      <c r="L138" s="681">
        <v>0</v>
      </c>
      <c r="M138" s="686">
        <v>316.52499999999998</v>
      </c>
      <c r="N138" s="2044"/>
      <c r="O138" s="686"/>
      <c r="P138" s="1498"/>
      <c r="Q138" s="686"/>
      <c r="R138" s="1498"/>
      <c r="S138" s="1804"/>
      <c r="T138" s="907"/>
      <c r="U138" s="688"/>
      <c r="V138" s="688"/>
      <c r="W138" s="687"/>
      <c r="X138" s="687"/>
      <c r="Y138" s="687"/>
      <c r="Z138" s="687"/>
      <c r="AA138" s="687"/>
      <c r="AB138" s="688"/>
    </row>
    <row r="139" spans="1:28" s="221" customFormat="1" ht="34.799999999999997" hidden="1" customHeight="1">
      <c r="A139" s="2756"/>
      <c r="B139" s="665" t="s">
        <v>3929</v>
      </c>
      <c r="C139" s="976"/>
      <c r="D139" s="682"/>
      <c r="E139" s="681"/>
      <c r="F139" s="777"/>
      <c r="G139" s="681"/>
      <c r="H139" s="681"/>
      <c r="I139" s="778"/>
      <c r="J139" s="681"/>
      <c r="K139" s="681"/>
      <c r="L139" s="681">
        <v>40</v>
      </c>
      <c r="M139" s="686">
        <v>40</v>
      </c>
      <c r="N139" s="2044"/>
      <c r="O139" s="686"/>
      <c r="P139" s="1498"/>
      <c r="Q139" s="686"/>
      <c r="R139" s="1498"/>
      <c r="S139" s="1804"/>
      <c r="T139" s="907"/>
      <c r="U139" s="688"/>
      <c r="V139" s="688"/>
      <c r="W139" s="687"/>
      <c r="X139" s="687"/>
      <c r="Y139" s="687"/>
      <c r="Z139" s="687"/>
      <c r="AA139" s="687"/>
      <c r="AB139" s="688"/>
    </row>
    <row r="140" spans="1:28" s="221" customFormat="1" ht="40.200000000000003" hidden="1" customHeight="1">
      <c r="A140" s="2756"/>
      <c r="B140" s="665" t="s">
        <v>3924</v>
      </c>
      <c r="C140" s="976"/>
      <c r="D140" s="682"/>
      <c r="E140" s="681"/>
      <c r="F140" s="777"/>
      <c r="G140" s="681"/>
      <c r="H140" s="681"/>
      <c r="I140" s="778"/>
      <c r="J140" s="681"/>
      <c r="K140" s="681"/>
      <c r="L140" s="681">
        <v>50</v>
      </c>
      <c r="M140" s="686">
        <v>50</v>
      </c>
      <c r="N140" s="2044"/>
      <c r="O140" s="686"/>
      <c r="P140" s="1498"/>
      <c r="Q140" s="686"/>
      <c r="R140" s="1498"/>
      <c r="S140" s="1804"/>
      <c r="T140" s="907"/>
      <c r="U140" s="688"/>
      <c r="V140" s="688"/>
      <c r="W140" s="687"/>
      <c r="X140" s="687"/>
      <c r="Y140" s="687"/>
      <c r="Z140" s="687"/>
      <c r="AA140" s="687"/>
      <c r="AB140" s="688"/>
    </row>
    <row r="141" spans="1:28" s="221" customFormat="1" ht="34.799999999999997" hidden="1" customHeight="1">
      <c r="A141" s="2756"/>
      <c r="B141" s="665" t="s">
        <v>4178</v>
      </c>
      <c r="C141" s="976"/>
      <c r="D141" s="682"/>
      <c r="E141" s="681"/>
      <c r="F141" s="777"/>
      <c r="G141" s="681"/>
      <c r="H141" s="681"/>
      <c r="I141" s="778"/>
      <c r="J141" s="681"/>
      <c r="K141" s="681"/>
      <c r="L141" s="681">
        <v>40</v>
      </c>
      <c r="M141" s="686">
        <v>40</v>
      </c>
      <c r="N141" s="2044"/>
      <c r="O141" s="686"/>
      <c r="P141" s="1498"/>
      <c r="Q141" s="686"/>
      <c r="R141" s="1498"/>
      <c r="S141" s="1804"/>
      <c r="T141" s="907"/>
      <c r="U141" s="688"/>
      <c r="V141" s="688"/>
      <c r="W141" s="687"/>
      <c r="X141" s="687"/>
      <c r="Y141" s="687"/>
      <c r="Z141" s="687"/>
      <c r="AA141" s="687"/>
      <c r="AB141" s="688"/>
    </row>
    <row r="142" spans="1:28" s="221" customFormat="1" ht="33.6" hidden="1" customHeight="1">
      <c r="A142" s="2756"/>
      <c r="B142" s="665" t="s">
        <v>3930</v>
      </c>
      <c r="C142" s="976"/>
      <c r="D142" s="682"/>
      <c r="E142" s="681"/>
      <c r="F142" s="777"/>
      <c r="G142" s="681"/>
      <c r="H142" s="681"/>
      <c r="I142" s="778"/>
      <c r="J142" s="681"/>
      <c r="K142" s="681"/>
      <c r="L142" s="681">
        <v>4.5</v>
      </c>
      <c r="M142" s="686">
        <v>4.5</v>
      </c>
      <c r="N142" s="2044"/>
      <c r="O142" s="686"/>
      <c r="P142" s="1498"/>
      <c r="Q142" s="686"/>
      <c r="R142" s="1498"/>
      <c r="S142" s="1804"/>
      <c r="T142" s="907"/>
      <c r="U142" s="688"/>
      <c r="V142" s="688"/>
      <c r="W142" s="687"/>
      <c r="X142" s="687"/>
      <c r="Y142" s="687"/>
      <c r="Z142" s="687"/>
      <c r="AA142" s="687"/>
      <c r="AB142" s="688"/>
    </row>
    <row r="143" spans="1:28" s="221" customFormat="1" ht="30.6" hidden="1" customHeight="1">
      <c r="A143" s="2756"/>
      <c r="B143" s="665" t="s">
        <v>3931</v>
      </c>
      <c r="C143" s="976"/>
      <c r="D143" s="682"/>
      <c r="E143" s="681"/>
      <c r="F143" s="777"/>
      <c r="G143" s="681"/>
      <c r="H143" s="681"/>
      <c r="I143" s="778"/>
      <c r="J143" s="681"/>
      <c r="K143" s="681"/>
      <c r="L143" s="681">
        <v>5</v>
      </c>
      <c r="M143" s="686">
        <v>5</v>
      </c>
      <c r="N143" s="2044"/>
      <c r="O143" s="686"/>
      <c r="P143" s="1498"/>
      <c r="Q143" s="686"/>
      <c r="R143" s="1498"/>
      <c r="S143" s="1804"/>
      <c r="T143" s="907"/>
      <c r="U143" s="688"/>
      <c r="V143" s="688"/>
      <c r="W143" s="687"/>
      <c r="X143" s="687"/>
      <c r="Y143" s="687"/>
      <c r="Z143" s="687"/>
      <c r="AA143" s="687"/>
      <c r="AB143" s="688"/>
    </row>
    <row r="144" spans="1:28" s="221" customFormat="1" ht="52.8" hidden="1" customHeight="1">
      <c r="A144" s="2757"/>
      <c r="B144" s="665" t="s">
        <v>3928</v>
      </c>
      <c r="C144" s="976"/>
      <c r="D144" s="682"/>
      <c r="E144" s="681"/>
      <c r="F144" s="777"/>
      <c r="G144" s="681"/>
      <c r="H144" s="681"/>
      <c r="I144" s="778"/>
      <c r="J144" s="681"/>
      <c r="K144" s="681"/>
      <c r="L144" s="681">
        <f>150+2+5</f>
        <v>157</v>
      </c>
      <c r="M144" s="686">
        <f>150+2+5</f>
        <v>157</v>
      </c>
      <c r="N144" s="2044"/>
      <c r="O144" s="686"/>
      <c r="P144" s="1498">
        <f>150+2+5</f>
        <v>157</v>
      </c>
      <c r="Q144" s="686"/>
      <c r="R144" s="1498"/>
      <c r="S144" s="1804"/>
      <c r="T144" s="907"/>
      <c r="U144" s="688"/>
      <c r="V144" s="688"/>
      <c r="W144" s="687"/>
      <c r="X144" s="687"/>
      <c r="Y144" s="687"/>
      <c r="Z144" s="687"/>
      <c r="AA144" s="687"/>
      <c r="AB144" s="688"/>
    </row>
    <row r="145" spans="1:28" s="221" customFormat="1" ht="31.8" hidden="1" customHeight="1">
      <c r="A145" s="1805" t="s">
        <v>3925</v>
      </c>
      <c r="B145" s="1472"/>
      <c r="C145" s="1024"/>
      <c r="D145" s="687"/>
      <c r="E145" s="751"/>
      <c r="F145" s="1803"/>
      <c r="G145" s="751"/>
      <c r="H145" s="686"/>
      <c r="I145" s="1112"/>
      <c r="J145" s="751"/>
      <c r="K145" s="686"/>
      <c r="L145" s="1498">
        <v>0</v>
      </c>
      <c r="M145" s="1498">
        <v>0</v>
      </c>
      <c r="N145" s="2044"/>
      <c r="O145" s="686"/>
      <c r="P145" s="1498">
        <v>18</v>
      </c>
      <c r="Q145" s="686"/>
      <c r="R145" s="1498">
        <v>18</v>
      </c>
      <c r="S145" s="1804"/>
      <c r="T145" s="907" t="s">
        <v>3927</v>
      </c>
      <c r="U145" s="688"/>
      <c r="V145" s="688"/>
      <c r="W145" s="687"/>
      <c r="X145" s="687"/>
      <c r="Y145" s="687"/>
      <c r="Z145" s="687"/>
      <c r="AA145" s="687"/>
      <c r="AB145" s="688"/>
    </row>
    <row r="146" spans="1:28" s="221" customFormat="1" ht="39" hidden="1" customHeight="1">
      <c r="A146" s="682">
        <v>2025</v>
      </c>
      <c r="B146" s="665" t="s">
        <v>3223</v>
      </c>
      <c r="C146" s="976"/>
      <c r="D146" s="700"/>
      <c r="E146" s="755"/>
      <c r="F146" s="731"/>
      <c r="G146" s="755"/>
      <c r="H146" s="737"/>
      <c r="I146" s="733"/>
      <c r="J146" s="755">
        <v>72.599999999999994</v>
      </c>
      <c r="K146" s="681">
        <v>72.599999999999994</v>
      </c>
      <c r="L146" s="681"/>
      <c r="M146" s="1470"/>
      <c r="N146" s="2043">
        <f t="shared" si="95"/>
        <v>-1</v>
      </c>
      <c r="O146" s="681"/>
      <c r="P146" s="1470"/>
      <c r="Q146" s="681"/>
      <c r="R146" s="1470"/>
      <c r="S146" s="871"/>
      <c r="T146" s="691" t="s">
        <v>3287</v>
      </c>
      <c r="U146" s="693"/>
      <c r="V146" s="693"/>
      <c r="W146" s="682"/>
      <c r="X146" s="682"/>
      <c r="Y146" s="682"/>
      <c r="Z146" s="682"/>
      <c r="AA146" s="682"/>
      <c r="AB146" s="693"/>
    </row>
    <row r="147" spans="1:28" s="221" customFormat="1" ht="34.200000000000003" hidden="1" customHeight="1">
      <c r="A147" s="682">
        <v>2025</v>
      </c>
      <c r="B147" s="665" t="s">
        <v>3288</v>
      </c>
      <c r="C147" s="976"/>
      <c r="D147" s="762"/>
      <c r="E147" s="763"/>
      <c r="F147" s="731"/>
      <c r="G147" s="763">
        <v>5</v>
      </c>
      <c r="H147" s="764">
        <v>10</v>
      </c>
      <c r="I147" s="733"/>
      <c r="J147" s="763"/>
      <c r="K147" s="764">
        <v>30</v>
      </c>
      <c r="L147" s="764">
        <v>0</v>
      </c>
      <c r="M147" s="1499">
        <v>0</v>
      </c>
      <c r="N147" s="2046">
        <f t="shared" ref="N147:N210" si="165">SUM(L147-K147)/K147</f>
        <v>-1</v>
      </c>
      <c r="O147" s="764">
        <v>0</v>
      </c>
      <c r="P147" s="1499">
        <v>0</v>
      </c>
      <c r="Q147" s="764">
        <v>0</v>
      </c>
      <c r="R147" s="1499">
        <v>0</v>
      </c>
      <c r="S147" s="873"/>
      <c r="T147" s="699" t="s">
        <v>3295</v>
      </c>
      <c r="U147" s="700"/>
      <c r="V147" s="682"/>
      <c r="W147" s="682">
        <v>1</v>
      </c>
      <c r="X147" s="682"/>
      <c r="Y147" s="682"/>
      <c r="Z147" s="682"/>
      <c r="AA147" s="682"/>
      <c r="AB147" s="693"/>
    </row>
    <row r="148" spans="1:28" s="221" customFormat="1" ht="34.200000000000003" hidden="1" customHeight="1">
      <c r="A148" s="682">
        <v>2025</v>
      </c>
      <c r="B148" s="665" t="s">
        <v>3290</v>
      </c>
      <c r="C148" s="976"/>
      <c r="D148" s="762"/>
      <c r="E148" s="763"/>
      <c r="F148" s="731"/>
      <c r="G148" s="763"/>
      <c r="H148" s="764"/>
      <c r="I148" s="733"/>
      <c r="J148" s="763"/>
      <c r="K148" s="764">
        <v>0</v>
      </c>
      <c r="L148" s="764">
        <v>40</v>
      </c>
      <c r="M148" s="1499"/>
      <c r="N148" s="2046" t="e">
        <f t="shared" si="165"/>
        <v>#DIV/0!</v>
      </c>
      <c r="O148" s="764">
        <v>0</v>
      </c>
      <c r="P148" s="1499">
        <v>0</v>
      </c>
      <c r="Q148" s="764">
        <v>0</v>
      </c>
      <c r="R148" s="1499">
        <v>0</v>
      </c>
      <c r="S148" s="873"/>
      <c r="T148" s="699" t="s">
        <v>3289</v>
      </c>
      <c r="U148" s="700"/>
      <c r="V148" s="682"/>
      <c r="W148" s="682"/>
      <c r="X148" s="682"/>
      <c r="Y148" s="682"/>
      <c r="Z148" s="682"/>
      <c r="AA148" s="682"/>
      <c r="AB148" s="693"/>
    </row>
    <row r="149" spans="1:28" s="221" customFormat="1" ht="38.25" hidden="1" customHeight="1">
      <c r="A149" s="682">
        <v>2025</v>
      </c>
      <c r="B149" s="665" t="s">
        <v>3218</v>
      </c>
      <c r="C149" s="976"/>
      <c r="D149" s="762"/>
      <c r="E149" s="763"/>
      <c r="F149" s="731"/>
      <c r="G149" s="763">
        <v>40</v>
      </c>
      <c r="H149" s="764">
        <v>40</v>
      </c>
      <c r="I149" s="733"/>
      <c r="J149" s="765">
        <v>40</v>
      </c>
      <c r="K149" s="764">
        <v>40</v>
      </c>
      <c r="L149" s="764">
        <v>14</v>
      </c>
      <c r="M149" s="1499"/>
      <c r="N149" s="2046">
        <f t="shared" si="165"/>
        <v>-0.65</v>
      </c>
      <c r="O149" s="764">
        <v>14</v>
      </c>
      <c r="P149" s="1499"/>
      <c r="Q149" s="764">
        <v>14</v>
      </c>
      <c r="R149" s="1499"/>
      <c r="S149" s="873"/>
      <c r="T149" s="699"/>
      <c r="U149" s="700"/>
      <c r="V149" s="682"/>
      <c r="W149" s="682">
        <v>2</v>
      </c>
      <c r="X149" s="682"/>
      <c r="Y149" s="682"/>
      <c r="Z149" s="682"/>
      <c r="AA149" s="682"/>
      <c r="AB149" s="693"/>
    </row>
    <row r="150" spans="1:28" s="221" customFormat="1" ht="31.5" hidden="1" customHeight="1">
      <c r="A150" s="682">
        <v>2025</v>
      </c>
      <c r="B150" s="665" t="s">
        <v>3291</v>
      </c>
      <c r="C150" s="976"/>
      <c r="D150" s="762"/>
      <c r="E150" s="763"/>
      <c r="F150" s="731"/>
      <c r="G150" s="763">
        <v>11</v>
      </c>
      <c r="H150" s="764">
        <v>10</v>
      </c>
      <c r="I150" s="733"/>
      <c r="J150" s="765">
        <v>15</v>
      </c>
      <c r="K150" s="764">
        <v>15</v>
      </c>
      <c r="L150" s="764">
        <v>15</v>
      </c>
      <c r="M150" s="1499"/>
      <c r="N150" s="2046">
        <f t="shared" si="165"/>
        <v>0</v>
      </c>
      <c r="O150" s="764">
        <v>15</v>
      </c>
      <c r="P150" s="1499"/>
      <c r="Q150" s="764">
        <v>15</v>
      </c>
      <c r="R150" s="1499"/>
      <c r="S150" s="873"/>
      <c r="T150" s="699"/>
      <c r="U150" s="700"/>
      <c r="V150" s="682"/>
      <c r="W150" s="682"/>
      <c r="X150" s="682"/>
      <c r="Y150" s="682"/>
      <c r="Z150" s="682"/>
      <c r="AA150" s="682"/>
      <c r="AB150" s="693"/>
    </row>
    <row r="151" spans="1:28" s="221" customFormat="1" ht="42" hidden="1" customHeight="1">
      <c r="A151" s="682">
        <v>2025</v>
      </c>
      <c r="B151" s="665" t="s">
        <v>2570</v>
      </c>
      <c r="C151" s="976"/>
      <c r="D151" s="762"/>
      <c r="E151" s="763"/>
      <c r="F151" s="731"/>
      <c r="G151" s="763">
        <v>10</v>
      </c>
      <c r="H151" s="764">
        <v>2.5</v>
      </c>
      <c r="I151" s="733"/>
      <c r="J151" s="763">
        <v>35</v>
      </c>
      <c r="K151" s="764">
        <v>15</v>
      </c>
      <c r="L151" s="764">
        <v>15</v>
      </c>
      <c r="M151" s="1499"/>
      <c r="N151" s="2046">
        <f t="shared" si="165"/>
        <v>0</v>
      </c>
      <c r="O151" s="764">
        <v>15</v>
      </c>
      <c r="P151" s="1499"/>
      <c r="Q151" s="764">
        <v>15</v>
      </c>
      <c r="R151" s="1499"/>
      <c r="S151" s="873"/>
      <c r="T151" s="699"/>
      <c r="U151" s="700"/>
      <c r="V151" s="682"/>
      <c r="W151" s="682"/>
      <c r="X151" s="682"/>
      <c r="Y151" s="682"/>
      <c r="Z151" s="682"/>
      <c r="AA151" s="682"/>
      <c r="AB151" s="693"/>
    </row>
    <row r="152" spans="1:28" s="221" customFormat="1" ht="28.2" hidden="1" customHeight="1">
      <c r="A152" s="682">
        <v>2025</v>
      </c>
      <c r="B152" s="665" t="s">
        <v>3292</v>
      </c>
      <c r="C152" s="976"/>
      <c r="D152" s="762"/>
      <c r="E152" s="763"/>
      <c r="F152" s="731"/>
      <c r="G152" s="763"/>
      <c r="H152" s="764"/>
      <c r="I152" s="733"/>
      <c r="J152" s="763">
        <v>8</v>
      </c>
      <c r="K152" s="764">
        <v>8</v>
      </c>
      <c r="L152" s="766"/>
      <c r="M152" s="1500"/>
      <c r="N152" s="2046">
        <f t="shared" si="165"/>
        <v>-1</v>
      </c>
      <c r="O152" s="766"/>
      <c r="P152" s="1500"/>
      <c r="Q152" s="766"/>
      <c r="R152" s="1500"/>
      <c r="S152" s="873"/>
      <c r="T152" s="699"/>
      <c r="U152" s="700"/>
      <c r="V152" s="682"/>
      <c r="W152" s="682"/>
      <c r="X152" s="682"/>
      <c r="Y152" s="682"/>
      <c r="Z152" s="682"/>
      <c r="AA152" s="682"/>
      <c r="AB152" s="693"/>
    </row>
    <row r="153" spans="1:28" s="221" customFormat="1" ht="27" hidden="1" customHeight="1">
      <c r="A153" s="682"/>
      <c r="B153" s="665" t="s">
        <v>2571</v>
      </c>
      <c r="C153" s="976"/>
      <c r="D153" s="762"/>
      <c r="E153" s="763"/>
      <c r="F153" s="731"/>
      <c r="G153" s="763">
        <v>15</v>
      </c>
      <c r="H153" s="764"/>
      <c r="I153" s="733"/>
      <c r="J153" s="763"/>
      <c r="K153" s="764"/>
      <c r="L153" s="764"/>
      <c r="M153" s="1499"/>
      <c r="N153" s="2046" t="e">
        <f t="shared" si="165"/>
        <v>#DIV/0!</v>
      </c>
      <c r="O153" s="764"/>
      <c r="P153" s="1499"/>
      <c r="Q153" s="764"/>
      <c r="R153" s="1499"/>
      <c r="S153" s="873"/>
      <c r="T153" s="699"/>
      <c r="U153" s="700"/>
      <c r="V153" s="682"/>
      <c r="W153" s="682"/>
      <c r="X153" s="682"/>
      <c r="Y153" s="682"/>
      <c r="Z153" s="682"/>
      <c r="AA153" s="682"/>
      <c r="AB153" s="693"/>
    </row>
    <row r="154" spans="1:28" s="221" customFormat="1" ht="41.25" hidden="1" customHeight="1">
      <c r="A154" s="682">
        <v>2025</v>
      </c>
      <c r="B154" s="665" t="s">
        <v>3222</v>
      </c>
      <c r="C154" s="976"/>
      <c r="D154" s="762"/>
      <c r="E154" s="763"/>
      <c r="F154" s="731"/>
      <c r="G154" s="763">
        <v>40</v>
      </c>
      <c r="H154" s="764"/>
      <c r="I154" s="733"/>
      <c r="J154" s="763">
        <v>30.8</v>
      </c>
      <c r="K154" s="764">
        <v>30.8</v>
      </c>
      <c r="L154" s="764"/>
      <c r="M154" s="1499"/>
      <c r="N154" s="2046">
        <f t="shared" si="165"/>
        <v>-1</v>
      </c>
      <c r="O154" s="764"/>
      <c r="P154" s="1499"/>
      <c r="Q154" s="764"/>
      <c r="R154" s="1499"/>
      <c r="S154" s="873"/>
      <c r="T154" s="699"/>
      <c r="U154" s="700"/>
      <c r="V154" s="682"/>
      <c r="W154" s="682"/>
      <c r="X154" s="682"/>
      <c r="Y154" s="682"/>
      <c r="Z154" s="682"/>
      <c r="AA154" s="682"/>
      <c r="AB154" s="693"/>
    </row>
    <row r="155" spans="1:28" s="221" customFormat="1" ht="33.6" hidden="1" customHeight="1">
      <c r="A155" s="682">
        <v>2025</v>
      </c>
      <c r="B155" s="665" t="s">
        <v>3293</v>
      </c>
      <c r="C155" s="976"/>
      <c r="D155" s="762"/>
      <c r="E155" s="763"/>
      <c r="F155" s="731"/>
      <c r="G155" s="763"/>
      <c r="H155" s="764"/>
      <c r="I155" s="733"/>
      <c r="J155" s="763"/>
      <c r="K155" s="764"/>
      <c r="L155" s="764">
        <v>20</v>
      </c>
      <c r="M155" s="1499"/>
      <c r="N155" s="2046" t="e">
        <f t="shared" si="165"/>
        <v>#DIV/0!</v>
      </c>
      <c r="O155" s="764">
        <v>20</v>
      </c>
      <c r="P155" s="1499"/>
      <c r="Q155" s="764">
        <v>20</v>
      </c>
      <c r="R155" s="1499"/>
      <c r="S155" s="873"/>
      <c r="T155" s="699"/>
      <c r="U155" s="700"/>
      <c r="V155" s="682"/>
      <c r="W155" s="682"/>
      <c r="X155" s="682"/>
      <c r="Y155" s="682"/>
      <c r="Z155" s="682"/>
      <c r="AA155" s="682"/>
      <c r="AB155" s="693"/>
    </row>
    <row r="156" spans="1:28" s="221" customFormat="1" ht="27" hidden="1" customHeight="1">
      <c r="A156" s="682"/>
      <c r="B156" s="665" t="s">
        <v>2572</v>
      </c>
      <c r="C156" s="976"/>
      <c r="D156" s="762"/>
      <c r="E156" s="763"/>
      <c r="F156" s="731"/>
      <c r="G156" s="763">
        <v>4.7</v>
      </c>
      <c r="H156" s="764">
        <v>4.7</v>
      </c>
      <c r="I156" s="733"/>
      <c r="J156" s="763"/>
      <c r="K156" s="764"/>
      <c r="L156" s="764"/>
      <c r="M156" s="1499"/>
      <c r="N156" s="2047" t="e">
        <f t="shared" si="165"/>
        <v>#DIV/0!</v>
      </c>
      <c r="O156" s="764"/>
      <c r="P156" s="1499"/>
      <c r="Q156" s="764"/>
      <c r="R156" s="1499"/>
      <c r="S156" s="873"/>
      <c r="T156" s="699"/>
      <c r="U156" s="700"/>
      <c r="V156" s="682"/>
      <c r="W156" s="682"/>
      <c r="X156" s="682"/>
      <c r="Y156" s="682"/>
      <c r="Z156" s="682"/>
      <c r="AA156" s="682"/>
      <c r="AB156" s="693"/>
    </row>
    <row r="157" spans="1:28" s="221" customFormat="1" ht="27" hidden="1" customHeight="1">
      <c r="A157" s="682"/>
      <c r="B157" s="665" t="s">
        <v>3294</v>
      </c>
      <c r="C157" s="976"/>
      <c r="D157" s="762"/>
      <c r="E157" s="763"/>
      <c r="F157" s="731"/>
      <c r="G157" s="763">
        <v>10</v>
      </c>
      <c r="H157" s="764">
        <v>10</v>
      </c>
      <c r="I157" s="733"/>
      <c r="J157" s="763"/>
      <c r="K157" s="764"/>
      <c r="L157" s="764"/>
      <c r="M157" s="1499"/>
      <c r="N157" s="2047" t="e">
        <f t="shared" si="165"/>
        <v>#DIV/0!</v>
      </c>
      <c r="O157" s="764"/>
      <c r="P157" s="1499"/>
      <c r="Q157" s="764"/>
      <c r="R157" s="1499"/>
      <c r="S157" s="873"/>
      <c r="T157" s="699"/>
      <c r="U157" s="700"/>
      <c r="V157" s="682"/>
      <c r="W157" s="682"/>
      <c r="X157" s="682"/>
      <c r="Y157" s="682"/>
      <c r="Z157" s="682"/>
      <c r="AA157" s="682"/>
      <c r="AB157" s="693"/>
    </row>
    <row r="158" spans="1:28" s="221" customFormat="1" ht="32.25" customHeight="1">
      <c r="A158" s="2690" t="s">
        <v>2658</v>
      </c>
      <c r="B158" s="2703" t="s">
        <v>438</v>
      </c>
      <c r="C158" s="2700">
        <v>188711925</v>
      </c>
      <c r="D158" s="706" t="s">
        <v>470</v>
      </c>
      <c r="E158" s="720">
        <v>20</v>
      </c>
      <c r="F158" s="721">
        <f t="shared" si="107"/>
        <v>-0.25</v>
      </c>
      <c r="G158" s="720">
        <v>27</v>
      </c>
      <c r="H158" s="722">
        <v>15</v>
      </c>
      <c r="I158" s="723">
        <f t="shared" si="102"/>
        <v>0</v>
      </c>
      <c r="J158" s="720">
        <f>SUM(J165,J168)</f>
        <v>15</v>
      </c>
      <c r="K158" s="722">
        <f>SUM(K168)</f>
        <v>15</v>
      </c>
      <c r="L158" s="722">
        <f t="shared" ref="L158" si="166">SUM(L165,L168)</f>
        <v>12</v>
      </c>
      <c r="M158" s="1496">
        <f t="shared" ref="M158" si="167">SUM(M165,M168)</f>
        <v>12</v>
      </c>
      <c r="N158" s="2055">
        <f t="shared" si="165"/>
        <v>-0.2</v>
      </c>
      <c r="O158" s="722">
        <v>15</v>
      </c>
      <c r="P158" s="1496">
        <f t="shared" ref="P158" si="168">SUM(P165,P168)</f>
        <v>17</v>
      </c>
      <c r="Q158" s="722">
        <v>15</v>
      </c>
      <c r="R158" s="1496">
        <f t="shared" ref="R158" si="169">SUM(R165,R168)</f>
        <v>0</v>
      </c>
      <c r="S158" s="2697" t="s">
        <v>2141</v>
      </c>
      <c r="T158" s="2704" t="s">
        <v>4342</v>
      </c>
      <c r="U158" s="2694" t="s">
        <v>1165</v>
      </c>
      <c r="V158" s="2694" t="s">
        <v>611</v>
      </c>
      <c r="W158" s="2694">
        <v>90</v>
      </c>
      <c r="X158" s="2694">
        <v>90</v>
      </c>
      <c r="Y158" s="2694">
        <v>90</v>
      </c>
      <c r="Z158" s="2694">
        <v>90</v>
      </c>
      <c r="AA158" s="2694">
        <v>90</v>
      </c>
      <c r="AB158" s="2694" t="s">
        <v>2836</v>
      </c>
    </row>
    <row r="159" spans="1:28" s="221" customFormat="1" ht="33" customHeight="1">
      <c r="A159" s="2690"/>
      <c r="B159" s="2703"/>
      <c r="C159" s="2700"/>
      <c r="D159" s="706" t="s">
        <v>2747</v>
      </c>
      <c r="E159" s="720"/>
      <c r="F159" s="721"/>
      <c r="G159" s="720"/>
      <c r="H159" s="722"/>
      <c r="I159" s="723"/>
      <c r="J159" s="720">
        <f>SUM(J166)</f>
        <v>32.445999999999998</v>
      </c>
      <c r="K159" s="722">
        <v>32.445999999999998</v>
      </c>
      <c r="L159" s="722">
        <f t="shared" ref="L159:O159" si="170">SUM(L166)</f>
        <v>0</v>
      </c>
      <c r="M159" s="1496">
        <f t="shared" ref="M159" si="171">SUM(M166)</f>
        <v>0</v>
      </c>
      <c r="N159" s="2055">
        <f t="shared" si="165"/>
        <v>-1</v>
      </c>
      <c r="O159" s="722">
        <f t="shared" si="170"/>
        <v>0</v>
      </c>
      <c r="P159" s="1496">
        <f t="shared" ref="P159" si="172">SUM(P166)</f>
        <v>0</v>
      </c>
      <c r="Q159" s="722">
        <f t="shared" ref="Q159:R159" si="173">SUM(Q166)</f>
        <v>0</v>
      </c>
      <c r="R159" s="1496">
        <f t="shared" si="173"/>
        <v>0</v>
      </c>
      <c r="S159" s="2697"/>
      <c r="T159" s="2704"/>
      <c r="U159" s="2694"/>
      <c r="V159" s="2694"/>
      <c r="W159" s="2694"/>
      <c r="X159" s="2694"/>
      <c r="Y159" s="2694"/>
      <c r="Z159" s="2694"/>
      <c r="AA159" s="2694"/>
      <c r="AB159" s="2694"/>
    </row>
    <row r="160" spans="1:28" s="221" customFormat="1" ht="33" customHeight="1">
      <c r="A160" s="2690"/>
      <c r="B160" s="2703"/>
      <c r="C160" s="2700"/>
      <c r="D160" s="706" t="s">
        <v>412</v>
      </c>
      <c r="E160" s="720"/>
      <c r="F160" s="721"/>
      <c r="G160" s="720"/>
      <c r="H160" s="722"/>
      <c r="I160" s="723"/>
      <c r="J160" s="720">
        <f>SUM(J164)</f>
        <v>10.066000000000001</v>
      </c>
      <c r="K160" s="722">
        <f t="shared" ref="K160:O160" si="174">SUM(K164)</f>
        <v>10.066000000000001</v>
      </c>
      <c r="L160" s="722">
        <f t="shared" si="174"/>
        <v>0</v>
      </c>
      <c r="M160" s="1496">
        <f t="shared" ref="M160" si="175">SUM(M164)</f>
        <v>0</v>
      </c>
      <c r="N160" s="2055">
        <f t="shared" si="165"/>
        <v>-1</v>
      </c>
      <c r="O160" s="722">
        <f t="shared" si="174"/>
        <v>0</v>
      </c>
      <c r="P160" s="1496">
        <f t="shared" ref="P160" si="176">SUM(P164)</f>
        <v>0</v>
      </c>
      <c r="Q160" s="722">
        <f t="shared" ref="Q160:R160" si="177">SUM(Q164)</f>
        <v>0</v>
      </c>
      <c r="R160" s="1496">
        <f t="shared" si="177"/>
        <v>0</v>
      </c>
      <c r="S160" s="2697"/>
      <c r="T160" s="2704"/>
      <c r="U160" s="2694"/>
      <c r="V160" s="2694"/>
      <c r="W160" s="2694"/>
      <c r="X160" s="2694"/>
      <c r="Y160" s="2694"/>
      <c r="Z160" s="2694"/>
      <c r="AA160" s="2694"/>
      <c r="AB160" s="2694"/>
    </row>
    <row r="161" spans="1:29" s="221" customFormat="1" ht="32.25" customHeight="1">
      <c r="A161" s="2690"/>
      <c r="B161" s="2703"/>
      <c r="C161" s="2700"/>
      <c r="D161" s="706" t="s">
        <v>246</v>
      </c>
      <c r="E161" s="720"/>
      <c r="F161" s="721"/>
      <c r="G161" s="720"/>
      <c r="H161" s="722"/>
      <c r="I161" s="723"/>
      <c r="J161" s="720">
        <f>SUM(J163)</f>
        <v>30.533999999999999</v>
      </c>
      <c r="K161" s="722">
        <f t="shared" ref="K161:O161" si="178">SUM(K163)</f>
        <v>30.533999999999999</v>
      </c>
      <c r="L161" s="722">
        <f t="shared" si="178"/>
        <v>0</v>
      </c>
      <c r="M161" s="1496">
        <f t="shared" ref="M161" si="179">SUM(M163)</f>
        <v>0</v>
      </c>
      <c r="N161" s="2055">
        <f t="shared" si="165"/>
        <v>-1</v>
      </c>
      <c r="O161" s="722">
        <f t="shared" si="178"/>
        <v>0</v>
      </c>
      <c r="P161" s="1496">
        <f t="shared" ref="P161" si="180">SUM(P163)</f>
        <v>0</v>
      </c>
      <c r="Q161" s="722">
        <f t="shared" ref="Q161:R161" si="181">SUM(Q163)</f>
        <v>0</v>
      </c>
      <c r="R161" s="1496">
        <f t="shared" si="181"/>
        <v>0</v>
      </c>
      <c r="S161" s="2697"/>
      <c r="T161" s="2704"/>
      <c r="U161" s="2694"/>
      <c r="V161" s="2694"/>
      <c r="W161" s="2694"/>
      <c r="X161" s="2694"/>
      <c r="Y161" s="2694"/>
      <c r="Z161" s="2694"/>
      <c r="AA161" s="2694"/>
      <c r="AB161" s="2694"/>
    </row>
    <row r="162" spans="1:29" s="221" customFormat="1" ht="38.25" customHeight="1">
      <c r="A162" s="2690"/>
      <c r="B162" s="2703"/>
      <c r="C162" s="2700"/>
      <c r="D162" s="725" t="s">
        <v>1067</v>
      </c>
      <c r="E162" s="726">
        <f>E158</f>
        <v>20</v>
      </c>
      <c r="F162" s="727">
        <f t="shared" si="107"/>
        <v>-0.25</v>
      </c>
      <c r="G162" s="726">
        <f>G158</f>
        <v>27</v>
      </c>
      <c r="H162" s="728">
        <f>H158</f>
        <v>15</v>
      </c>
      <c r="I162" s="729">
        <f t="shared" si="102"/>
        <v>4.8697333333333326</v>
      </c>
      <c r="J162" s="726">
        <f t="shared" ref="J162" si="182">J158</f>
        <v>15</v>
      </c>
      <c r="K162" s="728">
        <f>SUM(K158,K159,K160,K161)</f>
        <v>88.045999999999992</v>
      </c>
      <c r="L162" s="728">
        <f>SUM(L158,L159,L160,L161)</f>
        <v>12</v>
      </c>
      <c r="M162" s="1464">
        <f t="shared" ref="M162" si="183">SUM(M158,M159,M160,M161)</f>
        <v>12</v>
      </c>
      <c r="N162" s="2056">
        <f t="shared" si="165"/>
        <v>-0.86370760738704766</v>
      </c>
      <c r="O162" s="728">
        <f t="shared" ref="L162:O162" si="184">SUM(O158,O159,O160,O161)</f>
        <v>15</v>
      </c>
      <c r="P162" s="1464">
        <f t="shared" ref="P162" si="185">SUM(P158,P159,P160,P161)</f>
        <v>17</v>
      </c>
      <c r="Q162" s="728">
        <f t="shared" ref="Q162:R162" si="186">SUM(Q158,Q159,Q160,Q161)</f>
        <v>15</v>
      </c>
      <c r="R162" s="1464">
        <f t="shared" si="186"/>
        <v>0</v>
      </c>
      <c r="S162" s="2697"/>
      <c r="T162" s="2704"/>
      <c r="U162" s="2694"/>
      <c r="V162" s="2694"/>
      <c r="W162" s="2694"/>
      <c r="X162" s="2694"/>
      <c r="Y162" s="2694"/>
      <c r="Z162" s="2694"/>
      <c r="AA162" s="2694"/>
      <c r="AB162" s="2694"/>
    </row>
    <row r="163" spans="1:29" s="221" customFormat="1" ht="34.200000000000003" hidden="1" customHeight="1">
      <c r="A163" s="2730" t="s">
        <v>3094</v>
      </c>
      <c r="B163" s="2741" t="s">
        <v>3654</v>
      </c>
      <c r="C163" s="2700"/>
      <c r="D163" s="706" t="s">
        <v>246</v>
      </c>
      <c r="E163" s="720"/>
      <c r="F163" s="721"/>
      <c r="G163" s="720"/>
      <c r="H163" s="767"/>
      <c r="I163" s="768"/>
      <c r="J163" s="769">
        <v>30.533999999999999</v>
      </c>
      <c r="K163" s="770">
        <v>30.533999999999999</v>
      </c>
      <c r="L163" s="770"/>
      <c r="M163" s="1501"/>
      <c r="N163" s="2048">
        <f t="shared" si="165"/>
        <v>-1</v>
      </c>
      <c r="O163" s="770"/>
      <c r="P163" s="1501"/>
      <c r="Q163" s="770"/>
      <c r="R163" s="1501"/>
      <c r="S163" s="2697"/>
      <c r="T163" s="2735" t="s">
        <v>3934</v>
      </c>
      <c r="U163" s="2693" t="s">
        <v>3297</v>
      </c>
      <c r="V163" s="2693" t="s">
        <v>3298</v>
      </c>
      <c r="W163" s="930"/>
      <c r="X163" s="2693" t="s">
        <v>433</v>
      </c>
      <c r="Y163" s="2693" t="s">
        <v>324</v>
      </c>
      <c r="Z163" s="2693" t="s">
        <v>433</v>
      </c>
      <c r="AA163" s="2693" t="s">
        <v>433</v>
      </c>
      <c r="AB163" s="2694"/>
    </row>
    <row r="164" spans="1:29" s="221" customFormat="1" ht="34.5" hidden="1" customHeight="1">
      <c r="A164" s="2730"/>
      <c r="B164" s="2741"/>
      <c r="C164" s="2700"/>
      <c r="D164" s="706" t="s">
        <v>412</v>
      </c>
      <c r="E164" s="720"/>
      <c r="F164" s="721"/>
      <c r="G164" s="720"/>
      <c r="H164" s="767"/>
      <c r="I164" s="768"/>
      <c r="J164" s="769">
        <v>10.066000000000001</v>
      </c>
      <c r="K164" s="770">
        <v>10.066000000000001</v>
      </c>
      <c r="L164" s="770"/>
      <c r="M164" s="1501"/>
      <c r="N164" s="2048">
        <f t="shared" si="165"/>
        <v>-1</v>
      </c>
      <c r="O164" s="770"/>
      <c r="P164" s="1501"/>
      <c r="Q164" s="770"/>
      <c r="R164" s="1501"/>
      <c r="S164" s="2697"/>
      <c r="T164" s="2735"/>
      <c r="U164" s="2693"/>
      <c r="V164" s="2693"/>
      <c r="W164" s="930"/>
      <c r="X164" s="2693"/>
      <c r="Y164" s="2693"/>
      <c r="Z164" s="2693"/>
      <c r="AA164" s="2693"/>
      <c r="AB164" s="2694"/>
    </row>
    <row r="165" spans="1:29" s="221" customFormat="1" ht="33" hidden="1" customHeight="1">
      <c r="A165" s="2730"/>
      <c r="B165" s="2741"/>
      <c r="C165" s="2700"/>
      <c r="D165" s="706" t="s">
        <v>470</v>
      </c>
      <c r="E165" s="720"/>
      <c r="F165" s="721"/>
      <c r="G165" s="720"/>
      <c r="H165" s="767"/>
      <c r="I165" s="768"/>
      <c r="J165" s="769">
        <v>0</v>
      </c>
      <c r="K165" s="770">
        <v>0</v>
      </c>
      <c r="L165" s="770"/>
      <c r="M165" s="1501"/>
      <c r="N165" s="2048" t="e">
        <f t="shared" si="165"/>
        <v>#DIV/0!</v>
      </c>
      <c r="O165" s="770"/>
      <c r="P165" s="1501"/>
      <c r="Q165" s="770"/>
      <c r="R165" s="1501"/>
      <c r="S165" s="2697"/>
      <c r="T165" s="2735"/>
      <c r="U165" s="2693"/>
      <c r="V165" s="2693"/>
      <c r="W165" s="930"/>
      <c r="X165" s="2693"/>
      <c r="Y165" s="2693"/>
      <c r="Z165" s="2693"/>
      <c r="AA165" s="2693"/>
      <c r="AB165" s="2694"/>
    </row>
    <row r="166" spans="1:29" s="221" customFormat="1" ht="33" hidden="1" customHeight="1">
      <c r="A166" s="2730"/>
      <c r="B166" s="2741"/>
      <c r="C166" s="2700"/>
      <c r="D166" s="706" t="s">
        <v>2747</v>
      </c>
      <c r="E166" s="720"/>
      <c r="F166" s="721"/>
      <c r="G166" s="720"/>
      <c r="H166" s="767"/>
      <c r="I166" s="768"/>
      <c r="J166" s="769">
        <v>32.445999999999998</v>
      </c>
      <c r="K166" s="770">
        <v>32.445999999999998</v>
      </c>
      <c r="L166" s="770"/>
      <c r="M166" s="1501"/>
      <c r="N166" s="2048">
        <f t="shared" si="165"/>
        <v>-1</v>
      </c>
      <c r="O166" s="770"/>
      <c r="P166" s="1501"/>
      <c r="Q166" s="770"/>
      <c r="R166" s="1501"/>
      <c r="S166" s="2697"/>
      <c r="T166" s="2735"/>
      <c r="U166" s="2693"/>
      <c r="V166" s="2693"/>
      <c r="W166" s="930"/>
      <c r="X166" s="2693"/>
      <c r="Y166" s="2693"/>
      <c r="Z166" s="2693"/>
      <c r="AA166" s="2693"/>
      <c r="AB166" s="2694"/>
    </row>
    <row r="167" spans="1:29" s="221" customFormat="1" ht="33" hidden="1" customHeight="1">
      <c r="A167" s="2730"/>
      <c r="B167" s="2741"/>
      <c r="C167" s="2700"/>
      <c r="D167" s="725" t="s">
        <v>1067</v>
      </c>
      <c r="E167" s="726"/>
      <c r="F167" s="727"/>
      <c r="G167" s="726"/>
      <c r="H167" s="771"/>
      <c r="I167" s="772"/>
      <c r="J167" s="773">
        <f>SUM(J163,J164,J165,J166,)</f>
        <v>73.045999999999992</v>
      </c>
      <c r="K167" s="774">
        <f t="shared" ref="K167:O167" si="187">SUM(K163,K164,K165,K166,)</f>
        <v>73.045999999999992</v>
      </c>
      <c r="L167" s="774">
        <v>6</v>
      </c>
      <c r="M167" s="1502">
        <f t="shared" ref="M167" si="188">SUM(M163,M164,M165,M166,)</f>
        <v>0</v>
      </c>
      <c r="N167" s="2049">
        <f t="shared" si="165"/>
        <v>-0.91785997864359448</v>
      </c>
      <c r="O167" s="774">
        <f t="shared" si="187"/>
        <v>0</v>
      </c>
      <c r="P167" s="1502">
        <f t="shared" ref="P167" si="189">SUM(P163,P164,P165,P166,)</f>
        <v>0</v>
      </c>
      <c r="Q167" s="774">
        <f t="shared" ref="Q167:R167" si="190">SUM(Q163,Q164,Q165,Q166,)</f>
        <v>0</v>
      </c>
      <c r="R167" s="1502">
        <f t="shared" si="190"/>
        <v>0</v>
      </c>
      <c r="S167" s="2697"/>
      <c r="T167" s="2735"/>
      <c r="U167" s="2693"/>
      <c r="V167" s="2693"/>
      <c r="W167" s="930"/>
      <c r="X167" s="2693"/>
      <c r="Y167" s="2693"/>
      <c r="Z167" s="2693"/>
      <c r="AA167" s="2693"/>
      <c r="AB167" s="2694"/>
    </row>
    <row r="168" spans="1:29" s="221" customFormat="1" ht="30.75" hidden="1" customHeight="1">
      <c r="A168" s="2730" t="s">
        <v>3094</v>
      </c>
      <c r="B168" s="2741" t="s">
        <v>1590</v>
      </c>
      <c r="C168" s="2700">
        <v>188711925</v>
      </c>
      <c r="D168" s="706" t="s">
        <v>470</v>
      </c>
      <c r="E168" s="720">
        <v>12</v>
      </c>
      <c r="F168" s="721">
        <f t="shared" si="107"/>
        <v>-1</v>
      </c>
      <c r="G168" s="720"/>
      <c r="H168" s="767"/>
      <c r="I168" s="775"/>
      <c r="J168" s="769">
        <v>15</v>
      </c>
      <c r="K168" s="770">
        <v>15</v>
      </c>
      <c r="L168" s="770">
        <v>12</v>
      </c>
      <c r="M168" s="1501">
        <v>12</v>
      </c>
      <c r="N168" s="2048">
        <f t="shared" si="165"/>
        <v>-0.2</v>
      </c>
      <c r="O168" s="770">
        <v>0</v>
      </c>
      <c r="P168" s="1501">
        <v>17</v>
      </c>
      <c r="Q168" s="770">
        <v>0</v>
      </c>
      <c r="R168" s="1501">
        <v>0</v>
      </c>
      <c r="S168" s="2697"/>
      <c r="T168" s="2731" t="s">
        <v>3299</v>
      </c>
      <c r="U168" s="2693" t="s">
        <v>3300</v>
      </c>
      <c r="V168" s="2693" t="s">
        <v>1680</v>
      </c>
      <c r="W168" s="2693" t="s">
        <v>433</v>
      </c>
      <c r="X168" s="2693" t="s">
        <v>324</v>
      </c>
      <c r="Y168" s="2693" t="s">
        <v>433</v>
      </c>
      <c r="Z168" s="2693" t="s">
        <v>433</v>
      </c>
      <c r="AA168" s="2693" t="s">
        <v>433</v>
      </c>
      <c r="AB168" s="2694"/>
    </row>
    <row r="169" spans="1:29" s="221" customFormat="1" ht="83.25" hidden="1" customHeight="1">
      <c r="A169" s="2730"/>
      <c r="B169" s="2741"/>
      <c r="C169" s="2700"/>
      <c r="D169" s="725" t="s">
        <v>1067</v>
      </c>
      <c r="E169" s="726">
        <f>E168</f>
        <v>12</v>
      </c>
      <c r="F169" s="727">
        <f t="shared" si="107"/>
        <v>-1</v>
      </c>
      <c r="G169" s="726" t="e">
        <f>G168+#REF!</f>
        <v>#REF!</v>
      </c>
      <c r="H169" s="771"/>
      <c r="I169" s="776"/>
      <c r="J169" s="773">
        <f>J168</f>
        <v>15</v>
      </c>
      <c r="K169" s="771">
        <f>K168</f>
        <v>15</v>
      </c>
      <c r="L169" s="771">
        <f>L168</f>
        <v>12</v>
      </c>
      <c r="M169" s="1503">
        <f t="shared" ref="M169" si="191">M168</f>
        <v>12</v>
      </c>
      <c r="N169" s="2049">
        <f t="shared" si="165"/>
        <v>-0.2</v>
      </c>
      <c r="O169" s="771">
        <f t="shared" ref="O169" si="192">O168</f>
        <v>0</v>
      </c>
      <c r="P169" s="1503">
        <f t="shared" ref="P169" si="193">P168</f>
        <v>17</v>
      </c>
      <c r="Q169" s="771">
        <f t="shared" ref="Q169:R169" si="194">Q168</f>
        <v>0</v>
      </c>
      <c r="R169" s="1503">
        <f t="shared" si="194"/>
        <v>0</v>
      </c>
      <c r="S169" s="2697"/>
      <c r="T169" s="2732"/>
      <c r="U169" s="2693"/>
      <c r="V169" s="2693"/>
      <c r="W169" s="2693"/>
      <c r="X169" s="2693"/>
      <c r="Y169" s="2693"/>
      <c r="Z169" s="2693"/>
      <c r="AA169" s="2693"/>
      <c r="AB169" s="2694"/>
    </row>
    <row r="170" spans="1:29" s="221" customFormat="1" ht="33.75" customHeight="1">
      <c r="A170" s="2690" t="s">
        <v>2657</v>
      </c>
      <c r="B170" s="2703" t="s">
        <v>1074</v>
      </c>
      <c r="C170" s="2700">
        <v>188711925</v>
      </c>
      <c r="D170" s="706" t="s">
        <v>470</v>
      </c>
      <c r="E170" s="720">
        <v>5</v>
      </c>
      <c r="F170" s="721">
        <f t="shared" si="107"/>
        <v>-1</v>
      </c>
      <c r="G170" s="720">
        <v>0</v>
      </c>
      <c r="H170" s="722">
        <v>0</v>
      </c>
      <c r="I170" s="723"/>
      <c r="J170" s="720">
        <v>10</v>
      </c>
      <c r="K170" s="722">
        <v>5</v>
      </c>
      <c r="L170" s="722">
        <v>5</v>
      </c>
      <c r="M170" s="1496">
        <v>10</v>
      </c>
      <c r="N170" s="2055">
        <f t="shared" si="165"/>
        <v>0</v>
      </c>
      <c r="O170" s="722">
        <v>5</v>
      </c>
      <c r="P170" s="1496">
        <v>5</v>
      </c>
      <c r="Q170" s="722">
        <v>5</v>
      </c>
      <c r="R170" s="1496">
        <v>5</v>
      </c>
      <c r="S170" s="2697"/>
      <c r="T170" s="2704" t="s">
        <v>4325</v>
      </c>
      <c r="U170" s="2694" t="s">
        <v>1166</v>
      </c>
      <c r="V170" s="2694" t="s">
        <v>1094</v>
      </c>
      <c r="W170" s="2690">
        <v>3</v>
      </c>
      <c r="X170" s="2690">
        <v>3</v>
      </c>
      <c r="Y170" s="2690">
        <v>3</v>
      </c>
      <c r="Z170" s="2690">
        <v>3</v>
      </c>
      <c r="AA170" s="2690">
        <v>3</v>
      </c>
      <c r="AB170" s="2694"/>
    </row>
    <row r="171" spans="1:29" s="221" customFormat="1" ht="27" hidden="1" customHeight="1">
      <c r="A171" s="2690"/>
      <c r="B171" s="2703"/>
      <c r="C171" s="2700"/>
      <c r="D171" s="706" t="s">
        <v>246</v>
      </c>
      <c r="E171" s="720"/>
      <c r="F171" s="721"/>
      <c r="G171" s="720"/>
      <c r="H171" s="722"/>
      <c r="I171" s="723"/>
      <c r="J171" s="720"/>
      <c r="K171" s="655"/>
      <c r="L171" s="722"/>
      <c r="M171" s="1496"/>
      <c r="N171" s="2042" t="e">
        <f t="shared" si="165"/>
        <v>#DIV/0!</v>
      </c>
      <c r="O171" s="722"/>
      <c r="P171" s="1496"/>
      <c r="Q171" s="722"/>
      <c r="R171" s="1496"/>
      <c r="S171" s="2697"/>
      <c r="T171" s="2704"/>
      <c r="U171" s="2694"/>
      <c r="V171" s="2694"/>
      <c r="W171" s="2690"/>
      <c r="X171" s="2690"/>
      <c r="Y171" s="2690"/>
      <c r="Z171" s="2690"/>
      <c r="AA171" s="2690"/>
      <c r="AB171" s="2694"/>
    </row>
    <row r="172" spans="1:29" s="221" customFormat="1" ht="35.25" customHeight="1">
      <c r="A172" s="2690"/>
      <c r="B172" s="2703"/>
      <c r="C172" s="2700"/>
      <c r="D172" s="725" t="s">
        <v>1067</v>
      </c>
      <c r="E172" s="726">
        <f>E170</f>
        <v>5</v>
      </c>
      <c r="F172" s="727">
        <f t="shared" si="107"/>
        <v>-1</v>
      </c>
      <c r="G172" s="726">
        <f>G170+G171</f>
        <v>0</v>
      </c>
      <c r="H172" s="728">
        <f>H170+H171</f>
        <v>0</v>
      </c>
      <c r="I172" s="729"/>
      <c r="J172" s="726">
        <f>J170+J171</f>
        <v>10</v>
      </c>
      <c r="K172" s="728">
        <f t="shared" ref="K172:L172" si="195">K170+K171</f>
        <v>5</v>
      </c>
      <c r="L172" s="728">
        <f t="shared" si="195"/>
        <v>5</v>
      </c>
      <c r="M172" s="1464">
        <f t="shared" ref="M172" si="196">M170+M171</f>
        <v>10</v>
      </c>
      <c r="N172" s="2056">
        <f t="shared" si="165"/>
        <v>0</v>
      </c>
      <c r="O172" s="728">
        <f t="shared" ref="O172:Q172" si="197">O170+O171</f>
        <v>5</v>
      </c>
      <c r="P172" s="1464">
        <f t="shared" ref="P172" si="198">P170+P171</f>
        <v>5</v>
      </c>
      <c r="Q172" s="728">
        <f t="shared" si="197"/>
        <v>5</v>
      </c>
      <c r="R172" s="1464">
        <f t="shared" ref="R172" si="199">R170+R171</f>
        <v>5</v>
      </c>
      <c r="S172" s="2697"/>
      <c r="T172" s="2704"/>
      <c r="U172" s="2694"/>
      <c r="V172" s="2694"/>
      <c r="W172" s="2690"/>
      <c r="X172" s="2690"/>
      <c r="Y172" s="2690"/>
      <c r="Z172" s="2690"/>
      <c r="AA172" s="2690"/>
      <c r="AB172" s="2694"/>
    </row>
    <row r="173" spans="1:29" s="221" customFormat="1" ht="33" customHeight="1">
      <c r="A173" s="2690" t="s">
        <v>2656</v>
      </c>
      <c r="B173" s="2703" t="s">
        <v>711</v>
      </c>
      <c r="C173" s="2700" t="s">
        <v>1071</v>
      </c>
      <c r="D173" s="706" t="s">
        <v>470</v>
      </c>
      <c r="E173" s="720">
        <v>33.006</v>
      </c>
      <c r="F173" s="721">
        <f t="shared" si="107"/>
        <v>-1.0179967278676559E-2</v>
      </c>
      <c r="G173" s="720">
        <v>31.8</v>
      </c>
      <c r="H173" s="722">
        <f>SUM(H176:H178)</f>
        <v>32.67</v>
      </c>
      <c r="I173" s="723"/>
      <c r="J173" s="720">
        <v>45.362000000000002</v>
      </c>
      <c r="K173" s="722">
        <f>SUM(K176,K177,K178,)</f>
        <v>46.24</v>
      </c>
      <c r="L173" s="722">
        <v>48.88</v>
      </c>
      <c r="M173" s="1496">
        <f>SUM(M177,M178)</f>
        <v>48.88</v>
      </c>
      <c r="N173" s="2055">
        <f t="shared" si="165"/>
        <v>5.709342560553634E-2</v>
      </c>
      <c r="O173" s="722">
        <v>48.8</v>
      </c>
      <c r="P173" s="1496">
        <f>SUM(P177,P178)</f>
        <v>48.88</v>
      </c>
      <c r="Q173" s="722">
        <v>48.8</v>
      </c>
      <c r="R173" s="1496">
        <f>SUM(R177,R178)</f>
        <v>48.88</v>
      </c>
      <c r="S173" s="2697"/>
      <c r="T173" s="2704" t="s">
        <v>4343</v>
      </c>
      <c r="U173" s="2694" t="s">
        <v>1167</v>
      </c>
      <c r="V173" s="2694" t="s">
        <v>3655</v>
      </c>
      <c r="W173" s="2690" t="s">
        <v>2160</v>
      </c>
      <c r="X173" s="2690" t="s">
        <v>2160</v>
      </c>
      <c r="Y173" s="2690" t="s">
        <v>2160</v>
      </c>
      <c r="Z173" s="2690" t="s">
        <v>2160</v>
      </c>
      <c r="AA173" s="2690" t="s">
        <v>2160</v>
      </c>
      <c r="AB173" s="2694"/>
    </row>
    <row r="174" spans="1:29" s="221" customFormat="1" ht="27" hidden="1" customHeight="1">
      <c r="A174" s="2690"/>
      <c r="B174" s="2703"/>
      <c r="C174" s="2700"/>
      <c r="D174" s="706" t="s">
        <v>246</v>
      </c>
      <c r="E174" s="720"/>
      <c r="F174" s="721"/>
      <c r="G174" s="720"/>
      <c r="H174" s="722"/>
      <c r="I174" s="723"/>
      <c r="J174" s="720"/>
      <c r="K174" s="722"/>
      <c r="L174" s="722"/>
      <c r="M174" s="1496"/>
      <c r="N174" s="2042" t="e">
        <f t="shared" si="165"/>
        <v>#DIV/0!</v>
      </c>
      <c r="O174" s="722"/>
      <c r="P174" s="1496"/>
      <c r="Q174" s="722"/>
      <c r="R174" s="1496"/>
      <c r="S174" s="2697"/>
      <c r="T174" s="2704"/>
      <c r="U174" s="2694"/>
      <c r="V174" s="2694"/>
      <c r="W174" s="2690"/>
      <c r="X174" s="2690"/>
      <c r="Y174" s="2690"/>
      <c r="Z174" s="2690"/>
      <c r="AA174" s="2690"/>
      <c r="AB174" s="2694"/>
    </row>
    <row r="175" spans="1:29" s="221" customFormat="1" ht="54" customHeight="1">
      <c r="A175" s="2690"/>
      <c r="B175" s="2703"/>
      <c r="C175" s="2700"/>
      <c r="D175" s="725" t="s">
        <v>1067</v>
      </c>
      <c r="E175" s="726">
        <f>E173</f>
        <v>33.006</v>
      </c>
      <c r="F175" s="727">
        <f t="shared" si="107"/>
        <v>-1.0179967278676559E-2</v>
      </c>
      <c r="G175" s="726">
        <f>G173+G174</f>
        <v>31.8</v>
      </c>
      <c r="H175" s="728">
        <f>H173+H174</f>
        <v>32.67</v>
      </c>
      <c r="I175" s="729">
        <f t="shared" ref="I175:I219" si="200">K175/H175-1</f>
        <v>0.41536577900214255</v>
      </c>
      <c r="J175" s="726">
        <f t="shared" ref="J175:O175" si="201">J173+J174</f>
        <v>45.362000000000002</v>
      </c>
      <c r="K175" s="728">
        <f t="shared" si="201"/>
        <v>46.24</v>
      </c>
      <c r="L175" s="728">
        <f t="shared" si="201"/>
        <v>48.88</v>
      </c>
      <c r="M175" s="1464">
        <f t="shared" ref="M175" si="202">M173+M174</f>
        <v>48.88</v>
      </c>
      <c r="N175" s="2056">
        <f t="shared" si="165"/>
        <v>5.709342560553634E-2</v>
      </c>
      <c r="O175" s="728">
        <f t="shared" si="201"/>
        <v>48.8</v>
      </c>
      <c r="P175" s="1464">
        <f t="shared" ref="P175" si="203">P173+P174</f>
        <v>48.88</v>
      </c>
      <c r="Q175" s="728">
        <f t="shared" ref="Q175:R175" si="204">Q173+Q174</f>
        <v>48.8</v>
      </c>
      <c r="R175" s="1464">
        <f t="shared" si="204"/>
        <v>48.88</v>
      </c>
      <c r="S175" s="2697"/>
      <c r="T175" s="2704"/>
      <c r="U175" s="2694"/>
      <c r="V175" s="2694"/>
      <c r="W175" s="2690"/>
      <c r="X175" s="2690"/>
      <c r="Y175" s="2690"/>
      <c r="Z175" s="2690"/>
      <c r="AA175" s="2690"/>
      <c r="AB175" s="2694"/>
    </row>
    <row r="176" spans="1:29" s="221" customFormat="1" ht="31.5" hidden="1" customHeight="1">
      <c r="A176" s="682"/>
      <c r="B176" s="665" t="s">
        <v>2540</v>
      </c>
      <c r="C176" s="976"/>
      <c r="D176" s="682"/>
      <c r="E176" s="681"/>
      <c r="F176" s="777"/>
      <c r="G176" s="681">
        <v>45.362000000000002</v>
      </c>
      <c r="H176" s="681">
        <v>31.79</v>
      </c>
      <c r="I176" s="778">
        <f t="shared" si="200"/>
        <v>-1</v>
      </c>
      <c r="J176" s="734"/>
      <c r="K176" s="734"/>
      <c r="L176" s="734"/>
      <c r="M176" s="1470"/>
      <c r="N176" s="2043"/>
      <c r="O176" s="734"/>
      <c r="P176" s="1470"/>
      <c r="Q176" s="734"/>
      <c r="R176" s="1470"/>
      <c r="S176" s="1334"/>
      <c r="T176" s="691"/>
      <c r="U176" s="693"/>
      <c r="V176" s="693"/>
      <c r="W176" s="682"/>
      <c r="X176" s="682"/>
      <c r="Y176" s="682"/>
      <c r="Z176" s="682"/>
      <c r="AA176" s="682"/>
      <c r="AB176" s="693"/>
      <c r="AC176" s="354"/>
    </row>
    <row r="177" spans="1:29" s="221" customFormat="1" ht="39.6" hidden="1" customHeight="1">
      <c r="A177" s="682"/>
      <c r="B177" s="665" t="s">
        <v>2540</v>
      </c>
      <c r="C177" s="976"/>
      <c r="D177" s="682"/>
      <c r="E177" s="681"/>
      <c r="F177" s="777"/>
      <c r="G177" s="681"/>
      <c r="H177" s="681"/>
      <c r="I177" s="778"/>
      <c r="J177" s="734"/>
      <c r="K177" s="681">
        <v>45.36</v>
      </c>
      <c r="L177" s="681">
        <v>49.9</v>
      </c>
      <c r="M177" s="1470">
        <v>48</v>
      </c>
      <c r="N177" s="2043">
        <f t="shared" si="165"/>
        <v>0.10008818342151674</v>
      </c>
      <c r="O177" s="681">
        <v>49.9</v>
      </c>
      <c r="P177" s="1470">
        <v>48</v>
      </c>
      <c r="Q177" s="681">
        <v>49.9</v>
      </c>
      <c r="R177" s="1470">
        <v>48</v>
      </c>
      <c r="S177" s="1334"/>
      <c r="T177" s="691" t="s">
        <v>4332</v>
      </c>
      <c r="U177" s="693"/>
      <c r="V177" s="693"/>
      <c r="W177" s="682"/>
      <c r="X177" s="682"/>
      <c r="Y177" s="682"/>
      <c r="Z177" s="682"/>
      <c r="AA177" s="682"/>
      <c r="AB177" s="693"/>
      <c r="AC177" s="354"/>
    </row>
    <row r="178" spans="1:29" s="221" customFormat="1" ht="30" hidden="1" customHeight="1">
      <c r="A178" s="682"/>
      <c r="B178" s="665" t="s">
        <v>2541</v>
      </c>
      <c r="C178" s="976"/>
      <c r="D178" s="682"/>
      <c r="E178" s="681"/>
      <c r="F178" s="777"/>
      <c r="G178" s="681">
        <v>0.872</v>
      </c>
      <c r="H178" s="681">
        <v>0.88</v>
      </c>
      <c r="I178" s="778">
        <f t="shared" si="200"/>
        <v>0</v>
      </c>
      <c r="J178" s="734">
        <v>0.88</v>
      </c>
      <c r="K178" s="681">
        <v>0.88</v>
      </c>
      <c r="L178" s="681">
        <v>0.88</v>
      </c>
      <c r="M178" s="1470">
        <v>0.88</v>
      </c>
      <c r="N178" s="2043">
        <f t="shared" si="165"/>
        <v>0</v>
      </c>
      <c r="O178" s="681">
        <v>0.88</v>
      </c>
      <c r="P178" s="1470">
        <v>0.88</v>
      </c>
      <c r="Q178" s="681">
        <v>0.88</v>
      </c>
      <c r="R178" s="1470">
        <v>0.88</v>
      </c>
      <c r="S178" s="1334"/>
      <c r="T178" s="691"/>
      <c r="U178" s="693"/>
      <c r="V178" s="693"/>
      <c r="W178" s="682"/>
      <c r="X178" s="682"/>
      <c r="Y178" s="682"/>
      <c r="Z178" s="682"/>
      <c r="AA178" s="682"/>
      <c r="AB178" s="693"/>
      <c r="AC178" s="354"/>
    </row>
    <row r="179" spans="1:29" s="221" customFormat="1" ht="27" hidden="1" customHeight="1">
      <c r="A179" s="2690" t="s">
        <v>3219</v>
      </c>
      <c r="B179" s="2728" t="s">
        <v>2809</v>
      </c>
      <c r="C179" s="2700">
        <v>188711925</v>
      </c>
      <c r="D179" s="706" t="s">
        <v>2747</v>
      </c>
      <c r="E179" s="720">
        <v>143.99</v>
      </c>
      <c r="F179" s="721">
        <f t="shared" si="107"/>
        <v>-0.15966386554621853</v>
      </c>
      <c r="G179" s="720">
        <v>160</v>
      </c>
      <c r="H179" s="722">
        <v>121</v>
      </c>
      <c r="I179" s="723">
        <f t="shared" si="200"/>
        <v>-1</v>
      </c>
      <c r="J179" s="720"/>
      <c r="K179" s="722">
        <v>0</v>
      </c>
      <c r="L179" s="722">
        <v>0</v>
      </c>
      <c r="M179" s="1496">
        <v>0</v>
      </c>
      <c r="N179" s="2055" t="e">
        <f t="shared" si="165"/>
        <v>#DIV/0!</v>
      </c>
      <c r="O179" s="722">
        <v>0</v>
      </c>
      <c r="P179" s="1496">
        <v>0</v>
      </c>
      <c r="Q179" s="722">
        <v>0</v>
      </c>
      <c r="R179" s="1496">
        <v>0</v>
      </c>
      <c r="S179" s="2697" t="s">
        <v>2159</v>
      </c>
      <c r="T179" s="2704" t="s">
        <v>2542</v>
      </c>
      <c r="U179" s="2694" t="s">
        <v>1168</v>
      </c>
      <c r="V179" s="2694" t="s">
        <v>1095</v>
      </c>
      <c r="W179" s="2690">
        <v>1</v>
      </c>
      <c r="X179" s="2690">
        <v>0</v>
      </c>
      <c r="Y179" s="2690">
        <v>0</v>
      </c>
      <c r="Z179" s="2690">
        <v>0</v>
      </c>
      <c r="AA179" s="2690">
        <v>0</v>
      </c>
      <c r="AB179" s="2694" t="s">
        <v>2172</v>
      </c>
      <c r="AC179" s="221">
        <v>15000</v>
      </c>
    </row>
    <row r="180" spans="1:29" s="221" customFormat="1" ht="27" hidden="1" customHeight="1">
      <c r="A180" s="2690"/>
      <c r="B180" s="2728"/>
      <c r="C180" s="2700"/>
      <c r="D180" s="706" t="s">
        <v>470</v>
      </c>
      <c r="E180" s="720"/>
      <c r="F180" s="721"/>
      <c r="G180" s="720"/>
      <c r="H180" s="722"/>
      <c r="I180" s="723" t="e">
        <f t="shared" si="200"/>
        <v>#DIV/0!</v>
      </c>
      <c r="J180" s="1335"/>
      <c r="K180" s="722"/>
      <c r="L180" s="722"/>
      <c r="M180" s="1496"/>
      <c r="N180" s="2055" t="e">
        <f t="shared" si="165"/>
        <v>#DIV/0!</v>
      </c>
      <c r="O180" s="722"/>
      <c r="P180" s="1496"/>
      <c r="Q180" s="722"/>
      <c r="R180" s="1496"/>
      <c r="S180" s="2697"/>
      <c r="T180" s="2704"/>
      <c r="U180" s="2694"/>
      <c r="V180" s="2694"/>
      <c r="W180" s="2690"/>
      <c r="X180" s="2690"/>
      <c r="Y180" s="2690"/>
      <c r="Z180" s="2690"/>
      <c r="AA180" s="2690"/>
      <c r="AB180" s="2694"/>
    </row>
    <row r="181" spans="1:29" s="221" customFormat="1" ht="27" hidden="1" customHeight="1">
      <c r="A181" s="2690"/>
      <c r="B181" s="2728"/>
      <c r="C181" s="2700"/>
      <c r="D181" s="706" t="s">
        <v>246</v>
      </c>
      <c r="E181" s="720"/>
      <c r="F181" s="721"/>
      <c r="G181" s="720"/>
      <c r="H181" s="722"/>
      <c r="I181" s="723" t="e">
        <f t="shared" si="200"/>
        <v>#DIV/0!</v>
      </c>
      <c r="J181" s="720">
        <v>0</v>
      </c>
      <c r="K181" s="722"/>
      <c r="L181" s="722"/>
      <c r="M181" s="1496"/>
      <c r="N181" s="2055" t="e">
        <f t="shared" si="165"/>
        <v>#DIV/0!</v>
      </c>
      <c r="O181" s="722"/>
      <c r="P181" s="1496"/>
      <c r="Q181" s="722"/>
      <c r="R181" s="1496"/>
      <c r="S181" s="2697"/>
      <c r="T181" s="2704"/>
      <c r="U181" s="2694"/>
      <c r="V181" s="2694"/>
      <c r="W181" s="2690"/>
      <c r="X181" s="2690"/>
      <c r="Y181" s="2690"/>
      <c r="Z181" s="2690"/>
      <c r="AA181" s="2690"/>
      <c r="AB181" s="2694"/>
    </row>
    <row r="182" spans="1:29" s="221" customFormat="1" ht="27" hidden="1" customHeight="1">
      <c r="A182" s="2690"/>
      <c r="B182" s="2728"/>
      <c r="C182" s="2700"/>
      <c r="D182" s="725" t="s">
        <v>1067</v>
      </c>
      <c r="E182" s="726">
        <f>E179</f>
        <v>143.99</v>
      </c>
      <c r="F182" s="727">
        <f t="shared" si="107"/>
        <v>-0.15966386554621853</v>
      </c>
      <c r="G182" s="726">
        <f>G179+G181</f>
        <v>160</v>
      </c>
      <c r="H182" s="728">
        <f>H179+H181</f>
        <v>121</v>
      </c>
      <c r="I182" s="728" t="e">
        <f t="shared" ref="I182" si="205">I179+I181</f>
        <v>#DIV/0!</v>
      </c>
      <c r="J182" s="726">
        <v>0</v>
      </c>
      <c r="K182" s="728">
        <f t="shared" ref="K182:O182" si="206">SUM(K179,K180,K181)</f>
        <v>0</v>
      </c>
      <c r="L182" s="728">
        <f t="shared" si="206"/>
        <v>0</v>
      </c>
      <c r="M182" s="1464">
        <f t="shared" ref="M182" si="207">SUM(M179,M180,M181)</f>
        <v>0</v>
      </c>
      <c r="N182" s="2056" t="e">
        <f t="shared" si="165"/>
        <v>#DIV/0!</v>
      </c>
      <c r="O182" s="728">
        <f t="shared" si="206"/>
        <v>0</v>
      </c>
      <c r="P182" s="1464">
        <f t="shared" ref="P182" si="208">SUM(P179,P180,P181)</f>
        <v>0</v>
      </c>
      <c r="Q182" s="728">
        <f t="shared" ref="Q182:R182" si="209">SUM(Q179,Q180,Q181)</f>
        <v>0</v>
      </c>
      <c r="R182" s="1464">
        <f t="shared" si="209"/>
        <v>0</v>
      </c>
      <c r="S182" s="2697"/>
      <c r="T182" s="2704"/>
      <c r="U182" s="2694"/>
      <c r="V182" s="2694"/>
      <c r="W182" s="2690"/>
      <c r="X182" s="2690"/>
      <c r="Y182" s="2690"/>
      <c r="Z182" s="2690"/>
      <c r="AA182" s="2690"/>
      <c r="AB182" s="2694"/>
    </row>
    <row r="183" spans="1:29" s="532" customFormat="1" ht="42.6" customHeight="1">
      <c r="A183" s="697" t="s">
        <v>1911</v>
      </c>
      <c r="B183" s="663" t="s">
        <v>258</v>
      </c>
      <c r="C183" s="714"/>
      <c r="D183" s="697"/>
      <c r="E183" s="745">
        <f t="shared" ref="E183:O183" si="210">SUM(E187)</f>
        <v>17</v>
      </c>
      <c r="F183" s="716">
        <f t="shared" si="107"/>
        <v>-0.70588235294117652</v>
      </c>
      <c r="G183" s="745">
        <f t="shared" si="210"/>
        <v>12</v>
      </c>
      <c r="H183" s="746">
        <f t="shared" si="210"/>
        <v>5</v>
      </c>
      <c r="I183" s="747">
        <f t="shared" si="200"/>
        <v>-1</v>
      </c>
      <c r="J183" s="745">
        <f t="shared" si="210"/>
        <v>5</v>
      </c>
      <c r="K183" s="746">
        <f t="shared" si="210"/>
        <v>0</v>
      </c>
      <c r="L183" s="746">
        <f>SUM(L187)</f>
        <v>15</v>
      </c>
      <c r="M183" s="1497">
        <f t="shared" ref="M183" si="211">SUM(M187)</f>
        <v>20</v>
      </c>
      <c r="N183" s="2057"/>
      <c r="O183" s="746">
        <f t="shared" si="210"/>
        <v>15</v>
      </c>
      <c r="P183" s="1497">
        <f t="shared" ref="P183" si="212">SUM(P187)</f>
        <v>10</v>
      </c>
      <c r="Q183" s="746">
        <f t="shared" ref="Q183:R183" si="213">SUM(Q187)</f>
        <v>15</v>
      </c>
      <c r="R183" s="1497">
        <f t="shared" si="213"/>
        <v>10</v>
      </c>
      <c r="S183" s="874"/>
      <c r="T183" s="703"/>
      <c r="U183" s="697" t="s">
        <v>4339</v>
      </c>
      <c r="V183" s="663" t="s">
        <v>2172</v>
      </c>
      <c r="W183" s="663" t="s">
        <v>1686</v>
      </c>
      <c r="X183" s="663" t="s">
        <v>1686</v>
      </c>
      <c r="Y183" s="663" t="s">
        <v>1686</v>
      </c>
      <c r="Z183" s="663" t="s">
        <v>1686</v>
      </c>
      <c r="AA183" s="663" t="s">
        <v>1686</v>
      </c>
      <c r="AB183" s="2694"/>
    </row>
    <row r="184" spans="1:29" s="221" customFormat="1" ht="30.75" customHeight="1">
      <c r="A184" s="2690" t="s">
        <v>2655</v>
      </c>
      <c r="B184" s="2733" t="s">
        <v>698</v>
      </c>
      <c r="C184" s="2700">
        <v>188711925</v>
      </c>
      <c r="D184" s="706" t="s">
        <v>470</v>
      </c>
      <c r="E184" s="720">
        <v>17</v>
      </c>
      <c r="F184" s="721">
        <f t="shared" si="107"/>
        <v>-0.70588235294117652</v>
      </c>
      <c r="G184" s="720">
        <v>12</v>
      </c>
      <c r="H184" s="722">
        <v>5</v>
      </c>
      <c r="I184" s="723">
        <f t="shared" si="200"/>
        <v>-1</v>
      </c>
      <c r="J184" s="720">
        <v>5</v>
      </c>
      <c r="K184" s="722">
        <v>0</v>
      </c>
      <c r="L184" s="722">
        <v>15</v>
      </c>
      <c r="M184" s="1496">
        <v>20</v>
      </c>
      <c r="N184" s="2055"/>
      <c r="O184" s="722">
        <v>15</v>
      </c>
      <c r="P184" s="1496">
        <v>10</v>
      </c>
      <c r="Q184" s="722">
        <v>15</v>
      </c>
      <c r="R184" s="1496">
        <v>10</v>
      </c>
      <c r="S184" s="2697" t="s">
        <v>2159</v>
      </c>
      <c r="T184" s="2704" t="s">
        <v>4150</v>
      </c>
      <c r="U184" s="2694" t="s">
        <v>1169</v>
      </c>
      <c r="V184" s="2694" t="s">
        <v>1895</v>
      </c>
      <c r="W184" s="2694">
        <v>3</v>
      </c>
      <c r="X184" s="2694" t="s">
        <v>432</v>
      </c>
      <c r="Y184" s="2694" t="s">
        <v>432</v>
      </c>
      <c r="Z184" s="2694" t="s">
        <v>432</v>
      </c>
      <c r="AA184" s="2694" t="s">
        <v>432</v>
      </c>
      <c r="AB184" s="2694"/>
    </row>
    <row r="185" spans="1:29" s="221" customFormat="1" ht="27" hidden="1" customHeight="1">
      <c r="A185" s="2690"/>
      <c r="B185" s="2733"/>
      <c r="C185" s="2700"/>
      <c r="D185" s="706" t="s">
        <v>246</v>
      </c>
      <c r="E185" s="720"/>
      <c r="F185" s="721"/>
      <c r="G185" s="720"/>
      <c r="H185" s="722"/>
      <c r="I185" s="723" t="e">
        <f t="shared" si="200"/>
        <v>#DIV/0!</v>
      </c>
      <c r="J185" s="720"/>
      <c r="K185" s="779"/>
      <c r="L185" s="779"/>
      <c r="M185" s="1504"/>
      <c r="N185" s="2042"/>
      <c r="O185" s="779"/>
      <c r="P185" s="1504"/>
      <c r="Q185" s="779"/>
      <c r="R185" s="1504"/>
      <c r="S185" s="2697"/>
      <c r="T185" s="2704"/>
      <c r="U185" s="2694"/>
      <c r="V185" s="2694"/>
      <c r="W185" s="2694"/>
      <c r="X185" s="2694"/>
      <c r="Y185" s="2694"/>
      <c r="Z185" s="2694"/>
      <c r="AA185" s="2694"/>
      <c r="AB185" s="2694"/>
    </row>
    <row r="186" spans="1:29" s="221" customFormat="1" ht="27" hidden="1" customHeight="1">
      <c r="A186" s="2690"/>
      <c r="B186" s="2733"/>
      <c r="C186" s="2700"/>
      <c r="D186" s="706" t="s">
        <v>412</v>
      </c>
      <c r="E186" s="720"/>
      <c r="F186" s="721"/>
      <c r="G186" s="720"/>
      <c r="H186" s="722"/>
      <c r="I186" s="723" t="e">
        <f t="shared" si="200"/>
        <v>#DIV/0!</v>
      </c>
      <c r="J186" s="720"/>
      <c r="K186" s="779"/>
      <c r="L186" s="779"/>
      <c r="M186" s="1504"/>
      <c r="N186" s="2042"/>
      <c r="O186" s="779"/>
      <c r="P186" s="1504"/>
      <c r="Q186" s="779"/>
      <c r="R186" s="1504"/>
      <c r="S186" s="2697"/>
      <c r="T186" s="2704"/>
      <c r="U186" s="2694"/>
      <c r="V186" s="2694"/>
      <c r="W186" s="2694"/>
      <c r="X186" s="2694"/>
      <c r="Y186" s="2694"/>
      <c r="Z186" s="2694"/>
      <c r="AA186" s="2694"/>
      <c r="AB186" s="2694"/>
    </row>
    <row r="187" spans="1:29" s="221" customFormat="1" ht="41.25" customHeight="1">
      <c r="A187" s="2690"/>
      <c r="B187" s="2733"/>
      <c r="C187" s="2700"/>
      <c r="D187" s="725" t="s">
        <v>1067</v>
      </c>
      <c r="E187" s="726">
        <f>E184</f>
        <v>17</v>
      </c>
      <c r="F187" s="727">
        <f t="shared" si="107"/>
        <v>-0.70588235294117652</v>
      </c>
      <c r="G187" s="726">
        <f>G184+G185+G186</f>
        <v>12</v>
      </c>
      <c r="H187" s="728">
        <f>H184+H185+H186</f>
        <v>5</v>
      </c>
      <c r="I187" s="729">
        <f t="shared" si="200"/>
        <v>-1</v>
      </c>
      <c r="J187" s="726">
        <f t="shared" ref="J187:O187" si="214">J184+J185+J186</f>
        <v>5</v>
      </c>
      <c r="K187" s="728">
        <f t="shared" si="214"/>
        <v>0</v>
      </c>
      <c r="L187" s="728">
        <f t="shared" si="214"/>
        <v>15</v>
      </c>
      <c r="M187" s="1464">
        <f t="shared" ref="M187" si="215">M184+M185+M186</f>
        <v>20</v>
      </c>
      <c r="N187" s="2056"/>
      <c r="O187" s="728">
        <f t="shared" si="214"/>
        <v>15</v>
      </c>
      <c r="P187" s="1464">
        <f t="shared" ref="P187" si="216">P184+P185+P186</f>
        <v>10</v>
      </c>
      <c r="Q187" s="728">
        <f t="shared" ref="Q187:R187" si="217">Q184+Q185+Q186</f>
        <v>15</v>
      </c>
      <c r="R187" s="1464">
        <f t="shared" si="217"/>
        <v>10</v>
      </c>
      <c r="S187" s="2697"/>
      <c r="T187" s="2704"/>
      <c r="U187" s="2694"/>
      <c r="V187" s="2694"/>
      <c r="W187" s="2694"/>
      <c r="X187" s="2694"/>
      <c r="Y187" s="2694"/>
      <c r="Z187" s="2694"/>
      <c r="AA187" s="2694"/>
      <c r="AB187" s="2694"/>
    </row>
    <row r="188" spans="1:29" s="221" customFormat="1" ht="27" hidden="1" customHeight="1">
      <c r="A188" s="687"/>
      <c r="B188" s="1284" t="s">
        <v>2752</v>
      </c>
      <c r="C188" s="1024"/>
      <c r="D188" s="780"/>
      <c r="E188" s="757"/>
      <c r="F188" s="752"/>
      <c r="G188" s="757"/>
      <c r="H188" s="689"/>
      <c r="I188" s="723" t="e">
        <f t="shared" si="200"/>
        <v>#DIV/0!</v>
      </c>
      <c r="J188" s="757"/>
      <c r="K188" s="689"/>
      <c r="L188" s="689"/>
      <c r="M188" s="1484"/>
      <c r="N188" s="2042" t="e">
        <f t="shared" si="165"/>
        <v>#DIV/0!</v>
      </c>
      <c r="O188" s="689"/>
      <c r="P188" s="1484"/>
      <c r="Q188" s="689"/>
      <c r="R188" s="1484"/>
      <c r="S188" s="872"/>
      <c r="T188" s="907"/>
      <c r="U188" s="925"/>
      <c r="V188" s="688"/>
      <c r="W188" s="688"/>
      <c r="X188" s="688"/>
      <c r="Y188" s="688"/>
      <c r="Z188" s="688"/>
      <c r="AA188" s="688"/>
      <c r="AB188" s="688"/>
    </row>
    <row r="189" spans="1:29" s="532" customFormat="1" ht="64.2" customHeight="1">
      <c r="A189" s="697" t="s">
        <v>1912</v>
      </c>
      <c r="B189" s="1336" t="s">
        <v>697</v>
      </c>
      <c r="C189" s="714"/>
      <c r="D189" s="697"/>
      <c r="E189" s="745">
        <f>SUM(E191,E199,E204,E206)</f>
        <v>96.589999999999989</v>
      </c>
      <c r="F189" s="716">
        <f t="shared" si="107"/>
        <v>2.3895848431514652</v>
      </c>
      <c r="G189" s="745">
        <f>SUM(G191,G199,G204,G206)</f>
        <v>193.24</v>
      </c>
      <c r="H189" s="746">
        <f>SUM(H191,H199,H204,H206)</f>
        <v>327.39999999999998</v>
      </c>
      <c r="I189" s="747">
        <f>K189/H189-1</f>
        <v>-0.39095907147220521</v>
      </c>
      <c r="J189" s="745">
        <f t="shared" ref="J189:R189" si="218">SUM(J191,J199,J204,J206)</f>
        <v>108</v>
      </c>
      <c r="K189" s="746">
        <f t="shared" si="218"/>
        <v>199.4</v>
      </c>
      <c r="L189" s="746">
        <f>SUM(L191,L199,L204,L206)</f>
        <v>175.5</v>
      </c>
      <c r="M189" s="1497">
        <f t="shared" si="218"/>
        <v>165.60000000000002</v>
      </c>
      <c r="N189" s="2057">
        <f>SUM(L189-K189)/K189</f>
        <v>-0.11985957873620866</v>
      </c>
      <c r="O189" s="746">
        <f>SUM(O191,O199,O204,O206)</f>
        <v>175.5</v>
      </c>
      <c r="P189" s="1497">
        <f t="shared" si="218"/>
        <v>157.4</v>
      </c>
      <c r="Q189" s="746">
        <f>SUM(Q191,Q199,Q204,Q206)</f>
        <v>175.5</v>
      </c>
      <c r="R189" s="1497">
        <f t="shared" si="218"/>
        <v>157.4</v>
      </c>
      <c r="S189" s="178" t="s">
        <v>974</v>
      </c>
      <c r="T189" s="696"/>
      <c r="U189" s="697" t="s">
        <v>4338</v>
      </c>
      <c r="V189" s="663" t="s">
        <v>3582</v>
      </c>
      <c r="W189" s="697">
        <v>4</v>
      </c>
      <c r="X189" s="697">
        <v>4</v>
      </c>
      <c r="Y189" s="697">
        <v>5</v>
      </c>
      <c r="Z189" s="697">
        <v>5</v>
      </c>
      <c r="AA189" s="697">
        <v>5</v>
      </c>
      <c r="AB189" s="671" t="s">
        <v>976</v>
      </c>
    </row>
    <row r="190" spans="1:29" s="221" customFormat="1" ht="38.4" customHeight="1">
      <c r="A190" s="2690" t="s">
        <v>2654</v>
      </c>
      <c r="B190" s="2733" t="s">
        <v>251</v>
      </c>
      <c r="C190" s="2719">
        <v>188711925</v>
      </c>
      <c r="D190" s="706" t="s">
        <v>470</v>
      </c>
      <c r="E190" s="720">
        <v>33</v>
      </c>
      <c r="F190" s="721">
        <f t="shared" si="107"/>
        <v>6.0636363636363635</v>
      </c>
      <c r="G190" s="720">
        <f>G197+G192</f>
        <v>74</v>
      </c>
      <c r="H190" s="722">
        <f>SUM(H192:H197)</f>
        <v>233.1</v>
      </c>
      <c r="I190" s="722"/>
      <c r="J190" s="720">
        <f>SUM(J192:J197)</f>
        <v>65</v>
      </c>
      <c r="K190" s="722">
        <f>SUM(K192:K197)</f>
        <v>93</v>
      </c>
      <c r="L190" s="722">
        <v>59</v>
      </c>
      <c r="M190" s="1496">
        <f>M195+M197</f>
        <v>59.2</v>
      </c>
      <c r="N190" s="2055">
        <f t="shared" si="165"/>
        <v>-0.36559139784946237</v>
      </c>
      <c r="O190" s="722">
        <v>59</v>
      </c>
      <c r="P190" s="1496">
        <f>P195+P197</f>
        <v>50</v>
      </c>
      <c r="Q190" s="722">
        <v>59</v>
      </c>
      <c r="R190" s="1496">
        <f>R195+R197</f>
        <v>50</v>
      </c>
      <c r="S190" s="2729" t="s">
        <v>2159</v>
      </c>
      <c r="T190" s="2734" t="s">
        <v>3933</v>
      </c>
      <c r="U190" s="2694" t="s">
        <v>4337</v>
      </c>
      <c r="V190" s="2694" t="s">
        <v>1096</v>
      </c>
      <c r="W190" s="2690">
        <v>2</v>
      </c>
      <c r="X190" s="2690">
        <v>2</v>
      </c>
      <c r="Y190" s="2690">
        <v>2</v>
      </c>
      <c r="Z190" s="2690">
        <v>2</v>
      </c>
      <c r="AA190" s="2690">
        <v>2</v>
      </c>
      <c r="AB190" s="2694" t="s">
        <v>2838</v>
      </c>
    </row>
    <row r="191" spans="1:29" s="221" customFormat="1" ht="39.75" customHeight="1">
      <c r="A191" s="2690"/>
      <c r="B191" s="2733"/>
      <c r="C191" s="2719"/>
      <c r="D191" s="725" t="s">
        <v>1067</v>
      </c>
      <c r="E191" s="726">
        <f>E190</f>
        <v>33</v>
      </c>
      <c r="F191" s="727">
        <f t="shared" si="107"/>
        <v>6.0636363636363635</v>
      </c>
      <c r="G191" s="726">
        <f t="shared" ref="G191" si="219">G190</f>
        <v>74</v>
      </c>
      <c r="H191" s="728">
        <f t="shared" ref="H191:O191" si="220">H190</f>
        <v>233.1</v>
      </c>
      <c r="I191" s="729">
        <f t="shared" si="200"/>
        <v>-0.60102960102960101</v>
      </c>
      <c r="J191" s="726">
        <f t="shared" si="220"/>
        <v>65</v>
      </c>
      <c r="K191" s="728">
        <f t="shared" si="220"/>
        <v>93</v>
      </c>
      <c r="L191" s="728">
        <f t="shared" si="220"/>
        <v>59</v>
      </c>
      <c r="M191" s="1464">
        <f t="shared" ref="M191" si="221">M190</f>
        <v>59.2</v>
      </c>
      <c r="N191" s="2056">
        <f t="shared" si="165"/>
        <v>-0.36559139784946237</v>
      </c>
      <c r="O191" s="728">
        <f t="shared" si="220"/>
        <v>59</v>
      </c>
      <c r="P191" s="1464">
        <f t="shared" ref="P191" si="222">P190</f>
        <v>50</v>
      </c>
      <c r="Q191" s="728">
        <f t="shared" ref="Q191:R191" si="223">Q190</f>
        <v>59</v>
      </c>
      <c r="R191" s="1464">
        <f t="shared" si="223"/>
        <v>50</v>
      </c>
      <c r="S191" s="2729"/>
      <c r="T191" s="2734"/>
      <c r="U191" s="2694"/>
      <c r="V191" s="2694"/>
      <c r="W191" s="2690"/>
      <c r="X191" s="2690"/>
      <c r="Y191" s="2690"/>
      <c r="Z191" s="2690"/>
      <c r="AA191" s="2690"/>
      <c r="AB191" s="2694"/>
    </row>
    <row r="192" spans="1:29" s="221" customFormat="1" ht="20.100000000000001" hidden="1" customHeight="1">
      <c r="A192" s="682"/>
      <c r="B192" s="673" t="s">
        <v>1077</v>
      </c>
      <c r="C192" s="739"/>
      <c r="D192" s="682" t="s">
        <v>470</v>
      </c>
      <c r="E192" s="681">
        <v>15</v>
      </c>
      <c r="F192" s="777">
        <f t="shared" si="107"/>
        <v>-1</v>
      </c>
      <c r="G192" s="681"/>
      <c r="H192" s="681"/>
      <c r="I192" s="778"/>
      <c r="J192" s="734">
        <v>25</v>
      </c>
      <c r="K192" s="681"/>
      <c r="L192" s="681"/>
      <c r="M192" s="1470"/>
      <c r="N192" s="2041" t="e">
        <f t="shared" si="165"/>
        <v>#DIV/0!</v>
      </c>
      <c r="O192" s="681"/>
      <c r="P192" s="1470"/>
      <c r="Q192" s="681"/>
      <c r="R192" s="1470"/>
      <c r="S192" s="499"/>
      <c r="T192" s="681"/>
      <c r="U192" s="682"/>
      <c r="V192" s="682"/>
      <c r="W192" s="682"/>
      <c r="X192" s="682"/>
      <c r="Y192" s="682"/>
      <c r="Z192" s="682"/>
      <c r="AA192" s="682"/>
      <c r="AB192" s="2694"/>
    </row>
    <row r="193" spans="1:28" s="221" customFormat="1" ht="28.95" hidden="1" customHeight="1">
      <c r="A193" s="682"/>
      <c r="B193" s="673" t="s">
        <v>2579</v>
      </c>
      <c r="C193" s="739"/>
      <c r="D193" s="682"/>
      <c r="E193" s="681"/>
      <c r="F193" s="777"/>
      <c r="G193" s="681"/>
      <c r="H193" s="681">
        <v>12.1</v>
      </c>
      <c r="I193" s="778"/>
      <c r="J193" s="734"/>
      <c r="K193" s="681"/>
      <c r="L193" s="681"/>
      <c r="M193" s="1470"/>
      <c r="N193" s="2041" t="e">
        <f t="shared" si="165"/>
        <v>#DIV/0!</v>
      </c>
      <c r="O193" s="681"/>
      <c r="P193" s="1470"/>
      <c r="Q193" s="681"/>
      <c r="R193" s="1470"/>
      <c r="S193" s="499"/>
      <c r="T193" s="681"/>
      <c r="U193" s="682"/>
      <c r="V193" s="682"/>
      <c r="W193" s="682"/>
      <c r="X193" s="682"/>
      <c r="Y193" s="682"/>
      <c r="Z193" s="682"/>
      <c r="AA193" s="682"/>
      <c r="AB193" s="2694"/>
    </row>
    <row r="194" spans="1:28" s="221" customFormat="1" ht="35.4" hidden="1" customHeight="1">
      <c r="A194" s="682"/>
      <c r="B194" s="673" t="s">
        <v>3220</v>
      </c>
      <c r="C194" s="739"/>
      <c r="D194" s="682"/>
      <c r="E194" s="681"/>
      <c r="F194" s="777"/>
      <c r="G194" s="681"/>
      <c r="H194" s="681">
        <v>15</v>
      </c>
      <c r="I194" s="778"/>
      <c r="J194" s="734">
        <v>15</v>
      </c>
      <c r="K194" s="681">
        <v>10</v>
      </c>
      <c r="L194" s="681"/>
      <c r="M194" s="1470"/>
      <c r="N194" s="2043"/>
      <c r="O194" s="681"/>
      <c r="P194" s="1470"/>
      <c r="Q194" s="681"/>
      <c r="R194" s="1470"/>
      <c r="S194" s="499"/>
      <c r="T194" s="681"/>
      <c r="U194" s="682"/>
      <c r="V194" s="682"/>
      <c r="W194" s="682"/>
      <c r="X194" s="682"/>
      <c r="Y194" s="682"/>
      <c r="Z194" s="682"/>
      <c r="AA194" s="682"/>
      <c r="AB194" s="2694"/>
    </row>
    <row r="195" spans="1:28" s="221" customFormat="1" ht="81" hidden="1" customHeight="1">
      <c r="A195" s="2062" t="s">
        <v>4083</v>
      </c>
      <c r="B195" s="1975" t="s">
        <v>4333</v>
      </c>
      <c r="C195" s="1915"/>
      <c r="D195" s="2062"/>
      <c r="E195" s="1776"/>
      <c r="F195" s="2067"/>
      <c r="G195" s="1776"/>
      <c r="H195" s="1776">
        <v>123</v>
      </c>
      <c r="I195" s="2043"/>
      <c r="J195" s="1776"/>
      <c r="K195" s="1776"/>
      <c r="L195" s="1776">
        <v>19</v>
      </c>
      <c r="M195" s="1776">
        <v>19.2</v>
      </c>
      <c r="N195" s="2043"/>
      <c r="O195" s="1776">
        <v>19</v>
      </c>
      <c r="P195" s="1776"/>
      <c r="Q195" s="1776">
        <v>19</v>
      </c>
      <c r="R195" s="1776"/>
      <c r="S195" s="2070"/>
      <c r="T195" s="2063" t="s">
        <v>3932</v>
      </c>
      <c r="U195" s="1509"/>
      <c r="V195" s="1509"/>
      <c r="W195" s="1474"/>
      <c r="X195" s="1474"/>
      <c r="Y195" s="1474"/>
      <c r="Z195" s="1474"/>
      <c r="AA195" s="700"/>
      <c r="AB195" s="2694"/>
    </row>
    <row r="196" spans="1:28" s="221" customFormat="1" ht="20.100000000000001" hidden="1" customHeight="1">
      <c r="A196" s="682"/>
      <c r="B196" s="673" t="s">
        <v>3169</v>
      </c>
      <c r="C196" s="739"/>
      <c r="D196" s="682"/>
      <c r="E196" s="681"/>
      <c r="F196" s="777"/>
      <c r="G196" s="681"/>
      <c r="H196" s="681">
        <v>50</v>
      </c>
      <c r="I196" s="778"/>
      <c r="J196" s="734"/>
      <c r="K196" s="681">
        <v>50</v>
      </c>
      <c r="L196" s="681">
        <v>0</v>
      </c>
      <c r="M196" s="1470">
        <v>0</v>
      </c>
      <c r="N196" s="2043">
        <f t="shared" si="165"/>
        <v>-1</v>
      </c>
      <c r="O196" s="681">
        <v>0</v>
      </c>
      <c r="P196" s="1470">
        <v>0</v>
      </c>
      <c r="Q196" s="681">
        <v>0</v>
      </c>
      <c r="R196" s="1470">
        <v>0</v>
      </c>
      <c r="S196" s="499"/>
      <c r="T196" s="681" t="s">
        <v>3168</v>
      </c>
      <c r="U196" s="682"/>
      <c r="V196" s="682"/>
      <c r="W196" s="682"/>
      <c r="X196" s="682"/>
      <c r="Y196" s="682"/>
      <c r="Z196" s="682"/>
      <c r="AA196" s="682"/>
      <c r="AB196" s="2694"/>
    </row>
    <row r="197" spans="1:28" s="221" customFormat="1" ht="26.4" hidden="1" customHeight="1">
      <c r="A197" s="682"/>
      <c r="B197" s="665" t="s">
        <v>2573</v>
      </c>
      <c r="C197" s="976"/>
      <c r="D197" s="682" t="s">
        <v>470</v>
      </c>
      <c r="E197" s="681">
        <v>18</v>
      </c>
      <c r="F197" s="777">
        <f t="shared" si="107"/>
        <v>0.83333333333333337</v>
      </c>
      <c r="G197" s="681">
        <v>74</v>
      </c>
      <c r="H197" s="681">
        <v>33</v>
      </c>
      <c r="I197" s="778"/>
      <c r="J197" s="734">
        <v>25</v>
      </c>
      <c r="K197" s="681">
        <v>33</v>
      </c>
      <c r="L197" s="681">
        <v>40</v>
      </c>
      <c r="M197" s="1470">
        <v>40</v>
      </c>
      <c r="N197" s="2043">
        <f t="shared" si="165"/>
        <v>0.21212121212121213</v>
      </c>
      <c r="O197" s="681">
        <v>40</v>
      </c>
      <c r="P197" s="1470">
        <v>50</v>
      </c>
      <c r="Q197" s="681">
        <v>40</v>
      </c>
      <c r="R197" s="1470">
        <v>50</v>
      </c>
      <c r="S197" s="499"/>
      <c r="T197" s="691" t="s">
        <v>2580</v>
      </c>
      <c r="U197" s="682"/>
      <c r="V197" s="682"/>
      <c r="W197" s="682"/>
      <c r="X197" s="682"/>
      <c r="Y197" s="682"/>
      <c r="Z197" s="682"/>
      <c r="AA197" s="682"/>
      <c r="AB197" s="2694"/>
    </row>
    <row r="198" spans="1:28" s="221" customFormat="1" ht="34.950000000000003" customHeight="1">
      <c r="A198" s="2690" t="s">
        <v>2653</v>
      </c>
      <c r="B198" s="2703" t="s">
        <v>559</v>
      </c>
      <c r="C198" s="2700">
        <v>188711925</v>
      </c>
      <c r="D198" s="706" t="s">
        <v>470</v>
      </c>
      <c r="E198" s="720">
        <v>42.6</v>
      </c>
      <c r="F198" s="721">
        <f>(H198-E198)/E198</f>
        <v>0.20422535211267595</v>
      </c>
      <c r="G198" s="720">
        <f>G201+G200</f>
        <v>61.239999999999995</v>
      </c>
      <c r="H198" s="722">
        <f>H201+H200</f>
        <v>51.3</v>
      </c>
      <c r="I198" s="723">
        <f>K198/H198-1</f>
        <v>0.21052631578947367</v>
      </c>
      <c r="J198" s="720">
        <v>0</v>
      </c>
      <c r="K198" s="722">
        <f>SUM(K200,K201)</f>
        <v>62.1</v>
      </c>
      <c r="L198" s="722">
        <f>SUM(L200,L201)</f>
        <v>66</v>
      </c>
      <c r="M198" s="1496">
        <f>SUM(M200,M201)</f>
        <v>62.1</v>
      </c>
      <c r="N198" s="2055">
        <f t="shared" si="165"/>
        <v>6.2801932367149732E-2</v>
      </c>
      <c r="O198" s="722">
        <f t="shared" ref="O198" si="224">SUM(O200,O201)</f>
        <v>66</v>
      </c>
      <c r="P198" s="1496">
        <f>SUM(P200,P201)</f>
        <v>62.1</v>
      </c>
      <c r="Q198" s="722">
        <f t="shared" ref="Q198" si="225">SUM(Q200,Q201)</f>
        <v>66</v>
      </c>
      <c r="R198" s="1496">
        <f>SUM(R200,R201)</f>
        <v>62.1</v>
      </c>
      <c r="S198" s="2697" t="s">
        <v>2159</v>
      </c>
      <c r="T198" s="2704" t="s">
        <v>1896</v>
      </c>
      <c r="U198" s="2694" t="s">
        <v>1170</v>
      </c>
      <c r="V198" s="2694" t="s">
        <v>283</v>
      </c>
      <c r="W198" s="2690"/>
      <c r="X198" s="2690"/>
      <c r="Y198" s="2690"/>
      <c r="Z198" s="2690"/>
      <c r="AA198" s="2690"/>
      <c r="AB198" s="2694"/>
    </row>
    <row r="199" spans="1:28" s="221" customFormat="1" ht="41.4" customHeight="1">
      <c r="A199" s="2690"/>
      <c r="B199" s="2703"/>
      <c r="C199" s="2700"/>
      <c r="D199" s="725" t="s">
        <v>1067</v>
      </c>
      <c r="E199" s="726">
        <f>E198</f>
        <v>42.6</v>
      </c>
      <c r="F199" s="727">
        <f t="shared" si="107"/>
        <v>0.20422535211267595</v>
      </c>
      <c r="G199" s="726">
        <f>G198</f>
        <v>61.239999999999995</v>
      </c>
      <c r="H199" s="728">
        <f>H198</f>
        <v>51.3</v>
      </c>
      <c r="I199" s="729">
        <f t="shared" si="200"/>
        <v>0.21052631578947367</v>
      </c>
      <c r="J199" s="726">
        <f t="shared" ref="J199:O199" si="226">J198</f>
        <v>0</v>
      </c>
      <c r="K199" s="728">
        <f t="shared" si="226"/>
        <v>62.1</v>
      </c>
      <c r="L199" s="728">
        <f t="shared" si="226"/>
        <v>66</v>
      </c>
      <c r="M199" s="1464">
        <f t="shared" ref="M199" si="227">M198</f>
        <v>62.1</v>
      </c>
      <c r="N199" s="2056">
        <f t="shared" si="165"/>
        <v>6.2801932367149732E-2</v>
      </c>
      <c r="O199" s="728">
        <f t="shared" si="226"/>
        <v>66</v>
      </c>
      <c r="P199" s="1464">
        <f t="shared" ref="P199" si="228">P198</f>
        <v>62.1</v>
      </c>
      <c r="Q199" s="728">
        <f t="shared" ref="Q199:R199" si="229">Q198</f>
        <v>66</v>
      </c>
      <c r="R199" s="1464">
        <f t="shared" si="229"/>
        <v>62.1</v>
      </c>
      <c r="S199" s="2697"/>
      <c r="T199" s="2704"/>
      <c r="U199" s="2694"/>
      <c r="V199" s="2694"/>
      <c r="W199" s="2690"/>
      <c r="X199" s="2690"/>
      <c r="Y199" s="2690"/>
      <c r="Z199" s="2690"/>
      <c r="AA199" s="2690"/>
      <c r="AB199" s="2694"/>
    </row>
    <row r="200" spans="1:28" s="221" customFormat="1" ht="20.100000000000001" hidden="1" customHeight="1">
      <c r="A200" s="706"/>
      <c r="B200" s="665" t="s">
        <v>2543</v>
      </c>
      <c r="C200" s="976"/>
      <c r="D200" s="700"/>
      <c r="E200" s="734"/>
      <c r="F200" s="731"/>
      <c r="G200" s="734">
        <v>24.24</v>
      </c>
      <c r="H200" s="681">
        <v>24.24</v>
      </c>
      <c r="I200" s="733">
        <f t="shared" si="200"/>
        <v>0.15511551155115511</v>
      </c>
      <c r="J200" s="734"/>
      <c r="K200" s="681">
        <v>28</v>
      </c>
      <c r="L200" s="681">
        <v>31.9</v>
      </c>
      <c r="M200" s="1470">
        <v>28</v>
      </c>
      <c r="N200" s="2043">
        <f t="shared" si="165"/>
        <v>0.13928571428571423</v>
      </c>
      <c r="O200" s="681">
        <v>31.9</v>
      </c>
      <c r="P200" s="1470">
        <v>28</v>
      </c>
      <c r="Q200" s="681">
        <v>31.9</v>
      </c>
      <c r="R200" s="1470">
        <v>28</v>
      </c>
      <c r="S200" s="499"/>
      <c r="T200" s="681"/>
      <c r="U200" s="682"/>
      <c r="V200" s="682"/>
      <c r="W200" s="682"/>
      <c r="X200" s="682"/>
      <c r="Y200" s="682"/>
      <c r="Z200" s="682"/>
      <c r="AA200" s="682"/>
      <c r="AB200" s="2694"/>
    </row>
    <row r="201" spans="1:28" s="221" customFormat="1" ht="20.100000000000001" hidden="1" customHeight="1">
      <c r="A201" s="706"/>
      <c r="B201" s="665" t="s">
        <v>1078</v>
      </c>
      <c r="C201" s="976"/>
      <c r="D201" s="700"/>
      <c r="E201" s="734"/>
      <c r="F201" s="731"/>
      <c r="G201" s="734">
        <v>37</v>
      </c>
      <c r="H201" s="681">
        <v>27.06</v>
      </c>
      <c r="I201" s="733">
        <f t="shared" si="200"/>
        <v>0.26016260162601634</v>
      </c>
      <c r="J201" s="734"/>
      <c r="K201" s="681">
        <f>27.1+7</f>
        <v>34.1</v>
      </c>
      <c r="L201" s="681">
        <v>34.1</v>
      </c>
      <c r="M201" s="1470">
        <v>34.1</v>
      </c>
      <c r="N201" s="2043">
        <f t="shared" si="165"/>
        <v>0</v>
      </c>
      <c r="O201" s="681">
        <v>34.1</v>
      </c>
      <c r="P201" s="1470">
        <v>34.1</v>
      </c>
      <c r="Q201" s="681">
        <v>34.1</v>
      </c>
      <c r="R201" s="1470">
        <v>34.1</v>
      </c>
      <c r="S201" s="499"/>
      <c r="T201" s="681"/>
      <c r="U201" s="682"/>
      <c r="V201" s="682"/>
      <c r="W201" s="682"/>
      <c r="X201" s="682"/>
      <c r="Y201" s="682"/>
      <c r="Z201" s="682"/>
      <c r="AA201" s="682"/>
      <c r="AB201" s="2694"/>
    </row>
    <row r="202" spans="1:28" s="221" customFormat="1" ht="30" customHeight="1">
      <c r="A202" s="2690" t="s">
        <v>2652</v>
      </c>
      <c r="B202" s="2703" t="s">
        <v>597</v>
      </c>
      <c r="C202" s="2700">
        <v>188711925</v>
      </c>
      <c r="D202" s="706" t="s">
        <v>470</v>
      </c>
      <c r="E202" s="720">
        <v>10</v>
      </c>
      <c r="F202" s="721">
        <f t="shared" si="107"/>
        <v>2</v>
      </c>
      <c r="G202" s="720">
        <v>45</v>
      </c>
      <c r="H202" s="722">
        <v>30</v>
      </c>
      <c r="I202" s="723">
        <f t="shared" si="200"/>
        <v>0</v>
      </c>
      <c r="J202" s="720">
        <v>30</v>
      </c>
      <c r="K202" s="722">
        <v>30</v>
      </c>
      <c r="L202" s="722">
        <v>35</v>
      </c>
      <c r="M202" s="1496">
        <v>30</v>
      </c>
      <c r="N202" s="2055">
        <f t="shared" si="165"/>
        <v>0.16666666666666666</v>
      </c>
      <c r="O202" s="722">
        <v>35</v>
      </c>
      <c r="P202" s="1496">
        <v>30</v>
      </c>
      <c r="Q202" s="722">
        <v>35</v>
      </c>
      <c r="R202" s="1496">
        <v>30</v>
      </c>
      <c r="S202" s="2697" t="s">
        <v>2159</v>
      </c>
      <c r="T202" s="2704" t="s">
        <v>3656</v>
      </c>
      <c r="U202" s="2694" t="s">
        <v>1171</v>
      </c>
      <c r="V202" s="2694" t="s">
        <v>1923</v>
      </c>
      <c r="W202" s="2690">
        <v>1</v>
      </c>
      <c r="X202" s="2690">
        <v>1</v>
      </c>
      <c r="Y202" s="2690">
        <v>1</v>
      </c>
      <c r="Z202" s="2690">
        <v>1</v>
      </c>
      <c r="AA202" s="2690">
        <v>1</v>
      </c>
      <c r="AB202" s="2694"/>
    </row>
    <row r="203" spans="1:28" s="221" customFormat="1" ht="27" hidden="1" customHeight="1">
      <c r="A203" s="2690"/>
      <c r="B203" s="2703"/>
      <c r="C203" s="2700"/>
      <c r="D203" s="706" t="s">
        <v>246</v>
      </c>
      <c r="E203" s="720"/>
      <c r="F203" s="721"/>
      <c r="G203" s="720"/>
      <c r="H203" s="722"/>
      <c r="I203" s="723"/>
      <c r="J203" s="720"/>
      <c r="K203" s="655"/>
      <c r="L203" s="655"/>
      <c r="M203" s="1488"/>
      <c r="N203" s="2042" t="e">
        <f t="shared" si="165"/>
        <v>#DIV/0!</v>
      </c>
      <c r="O203" s="655"/>
      <c r="P203" s="1488"/>
      <c r="Q203" s="655"/>
      <c r="R203" s="1488"/>
      <c r="S203" s="2697"/>
      <c r="T203" s="2704"/>
      <c r="U203" s="2694"/>
      <c r="V203" s="2694"/>
      <c r="W203" s="2690"/>
      <c r="X203" s="2690"/>
      <c r="Y203" s="2690"/>
      <c r="Z203" s="2690"/>
      <c r="AA203" s="2690"/>
      <c r="AB203" s="2694"/>
    </row>
    <row r="204" spans="1:28" s="221" customFormat="1" ht="81" customHeight="1">
      <c r="A204" s="2690"/>
      <c r="B204" s="2703"/>
      <c r="C204" s="2700"/>
      <c r="D204" s="725" t="s">
        <v>1067</v>
      </c>
      <c r="E204" s="726">
        <f>E202</f>
        <v>10</v>
      </c>
      <c r="F204" s="727">
        <f t="shared" si="107"/>
        <v>2</v>
      </c>
      <c r="G204" s="726">
        <f>G202+G203</f>
        <v>45</v>
      </c>
      <c r="H204" s="728">
        <f>H202+H203</f>
        <v>30</v>
      </c>
      <c r="I204" s="729">
        <f t="shared" si="200"/>
        <v>0</v>
      </c>
      <c r="J204" s="726">
        <f t="shared" ref="J204:O204" si="230">J202+J203</f>
        <v>30</v>
      </c>
      <c r="K204" s="728">
        <f t="shared" si="230"/>
        <v>30</v>
      </c>
      <c r="L204" s="728">
        <f t="shared" si="230"/>
        <v>35</v>
      </c>
      <c r="M204" s="1464">
        <f t="shared" ref="M204" si="231">M202+M203</f>
        <v>30</v>
      </c>
      <c r="N204" s="2056">
        <f t="shared" si="165"/>
        <v>0.16666666666666666</v>
      </c>
      <c r="O204" s="728">
        <f t="shared" si="230"/>
        <v>35</v>
      </c>
      <c r="P204" s="1464">
        <f t="shared" ref="P204" si="232">P202+P203</f>
        <v>30</v>
      </c>
      <c r="Q204" s="728">
        <f t="shared" ref="Q204:R204" si="233">Q202+Q203</f>
        <v>35</v>
      </c>
      <c r="R204" s="1464">
        <f t="shared" si="233"/>
        <v>30</v>
      </c>
      <c r="S204" s="2697"/>
      <c r="T204" s="2704"/>
      <c r="U204" s="2694"/>
      <c r="V204" s="2694"/>
      <c r="W204" s="2690"/>
      <c r="X204" s="2690"/>
      <c r="Y204" s="2690"/>
      <c r="Z204" s="2690"/>
      <c r="AA204" s="2690"/>
      <c r="AB204" s="2694"/>
    </row>
    <row r="205" spans="1:28" s="221" customFormat="1" ht="35.25" customHeight="1">
      <c r="A205" s="2690" t="s">
        <v>2651</v>
      </c>
      <c r="B205" s="2703" t="s">
        <v>560</v>
      </c>
      <c r="C205" s="2700">
        <v>188711925</v>
      </c>
      <c r="D205" s="706" t="s">
        <v>470</v>
      </c>
      <c r="E205" s="720">
        <v>10.99</v>
      </c>
      <c r="F205" s="721">
        <f t="shared" ref="F205:F218" si="234">(H205-E205)/E205</f>
        <v>0.18289353958143764</v>
      </c>
      <c r="G205" s="720">
        <v>13</v>
      </c>
      <c r="H205" s="722">
        <v>13</v>
      </c>
      <c r="I205" s="723">
        <f t="shared" si="200"/>
        <v>0.10000000000000009</v>
      </c>
      <c r="J205" s="720">
        <v>13</v>
      </c>
      <c r="K205" s="722">
        <v>14.3</v>
      </c>
      <c r="L205" s="722">
        <v>15.5</v>
      </c>
      <c r="M205" s="722">
        <v>14.3</v>
      </c>
      <c r="N205" s="2055">
        <f t="shared" si="165"/>
        <v>8.3916083916083864E-2</v>
      </c>
      <c r="O205" s="722">
        <v>15.5</v>
      </c>
      <c r="P205" s="1496">
        <v>15.3</v>
      </c>
      <c r="Q205" s="722">
        <v>15.5</v>
      </c>
      <c r="R205" s="1496">
        <v>15.3</v>
      </c>
      <c r="S205" s="2729"/>
      <c r="T205" s="2704" t="s">
        <v>4326</v>
      </c>
      <c r="U205" s="2694" t="s">
        <v>1172</v>
      </c>
      <c r="V205" s="2694" t="s">
        <v>1097</v>
      </c>
      <c r="W205" s="2690">
        <v>100</v>
      </c>
      <c r="X205" s="2690">
        <v>100</v>
      </c>
      <c r="Y205" s="2690">
        <v>100</v>
      </c>
      <c r="Z205" s="2690">
        <v>100</v>
      </c>
      <c r="AA205" s="2690">
        <v>100</v>
      </c>
      <c r="AB205" s="2694"/>
    </row>
    <row r="206" spans="1:28" s="221" customFormat="1" ht="39.75" customHeight="1">
      <c r="A206" s="2690"/>
      <c r="B206" s="2703"/>
      <c r="C206" s="2700"/>
      <c r="D206" s="725" t="s">
        <v>1067</v>
      </c>
      <c r="E206" s="726">
        <f>E205</f>
        <v>10.99</v>
      </c>
      <c r="F206" s="727">
        <f t="shared" si="234"/>
        <v>0.18289353958143764</v>
      </c>
      <c r="G206" s="726">
        <f t="shared" ref="G206" si="235">G205</f>
        <v>13</v>
      </c>
      <c r="H206" s="728">
        <f t="shared" ref="H206:O206" si="236">H205</f>
        <v>13</v>
      </c>
      <c r="I206" s="729">
        <f t="shared" si="200"/>
        <v>0.10000000000000009</v>
      </c>
      <c r="J206" s="726">
        <f t="shared" si="236"/>
        <v>13</v>
      </c>
      <c r="K206" s="728">
        <f t="shared" si="236"/>
        <v>14.3</v>
      </c>
      <c r="L206" s="728">
        <f t="shared" si="236"/>
        <v>15.5</v>
      </c>
      <c r="M206" s="1464">
        <f t="shared" ref="M206" si="237">M205</f>
        <v>14.3</v>
      </c>
      <c r="N206" s="2056">
        <f t="shared" si="165"/>
        <v>8.3916083916083864E-2</v>
      </c>
      <c r="O206" s="728">
        <f t="shared" si="236"/>
        <v>15.5</v>
      </c>
      <c r="P206" s="1464">
        <f t="shared" ref="P206" si="238">P205</f>
        <v>15.3</v>
      </c>
      <c r="Q206" s="728">
        <f t="shared" ref="Q206:R206" si="239">Q205</f>
        <v>15.5</v>
      </c>
      <c r="R206" s="1464">
        <f t="shared" si="239"/>
        <v>15.3</v>
      </c>
      <c r="S206" s="2729"/>
      <c r="T206" s="2734"/>
      <c r="U206" s="2694"/>
      <c r="V206" s="2694"/>
      <c r="W206" s="2690"/>
      <c r="X206" s="2690"/>
      <c r="Y206" s="2690"/>
      <c r="Z206" s="2690"/>
      <c r="AA206" s="2690"/>
      <c r="AB206" s="2694"/>
    </row>
    <row r="207" spans="1:28" s="221" customFormat="1" ht="62.4" customHeight="1">
      <c r="A207" s="2742"/>
      <c r="B207" s="2740"/>
      <c r="C207" s="2740"/>
      <c r="D207" s="2740"/>
      <c r="E207" s="783" t="s">
        <v>1081</v>
      </c>
      <c r="F207" s="783" t="str">
        <f t="shared" ref="F207:M207" si="240">F16</f>
        <v xml:space="preserve">Asignavimų pasikeitimas </v>
      </c>
      <c r="G207" s="783" t="str">
        <f t="shared" si="240"/>
        <v xml:space="preserve">2024  m.asignavimų poreikis </v>
      </c>
      <c r="H207" s="784" t="str">
        <f t="shared" si="240"/>
        <v>2024  m.asignavimai ir kitos lėšos, tūkst. Eur</v>
      </c>
      <c r="I207" s="785" t="str">
        <f t="shared" si="240"/>
        <v xml:space="preserve">Pokytis proc. </v>
      </c>
      <c r="J207" s="783" t="str">
        <f t="shared" si="240"/>
        <v>2025 m. asignavimų ir kitų lėšų poreikis , tūkst. Eur</v>
      </c>
      <c r="K207" s="182" t="str">
        <f t="shared" si="240"/>
        <v>2025 m. asignavimai ir kitos lėšos, tūkst. Eur</v>
      </c>
      <c r="L207" s="182" t="str">
        <f t="shared" si="240"/>
        <v>2026 m.asignavimai ir kitos lėšos, tūkst. Eur</v>
      </c>
      <c r="M207" s="1505" t="str">
        <f t="shared" si="240"/>
        <v>2026 m.asignavimai ir kitos lėšos, tūkst. Eur
(poreikis)</v>
      </c>
      <c r="N207" s="2058"/>
      <c r="O207" s="182" t="str">
        <f>O16</f>
        <v>2027 m.asignavimai ir kitos lėšos, tūkst. Eur</v>
      </c>
      <c r="P207" s="1505" t="str">
        <f>P16</f>
        <v>2027 m.asignavimai ir kitos lėšos, tūkst. Eur
(poreikis)</v>
      </c>
      <c r="Q207" s="182" t="str">
        <f>Q16</f>
        <v>2028 m.asignavimai ir kitos lėšos, tūkst. Eur</v>
      </c>
      <c r="R207" s="1505" t="str">
        <f>R16</f>
        <v>2028 m.asignavimai ir kitos lėšos, tūkst. Eur
(poreikis)</v>
      </c>
      <c r="S207" s="707"/>
      <c r="T207" s="707"/>
      <c r="U207" s="707"/>
      <c r="V207" s="707"/>
      <c r="W207" s="707"/>
      <c r="X207" s="707"/>
      <c r="Y207" s="707"/>
      <c r="Z207" s="707"/>
      <c r="AA207" s="707"/>
      <c r="AB207" s="707"/>
    </row>
    <row r="208" spans="1:28" s="221" customFormat="1" ht="27.75" customHeight="1">
      <c r="A208" s="2743"/>
      <c r="B208" s="2703" t="s">
        <v>720</v>
      </c>
      <c r="C208" s="2703"/>
      <c r="D208" s="2703"/>
      <c r="E208" s="786">
        <f>SUM(E209,E210,E213,E214,E215,E216,)</f>
        <v>4584.8110000000015</v>
      </c>
      <c r="F208" s="721">
        <f>H208/E208-1</f>
        <v>0.26489488879694267</v>
      </c>
      <c r="G208" s="786">
        <f>SUM(G209,G210,G213,G214,G215,G216,)</f>
        <v>5542.4879999999994</v>
      </c>
      <c r="H208" s="724">
        <f>SUM(H209,H210,H213,H214,H215,H216,)</f>
        <v>5799.304000000001</v>
      </c>
      <c r="I208" s="787">
        <f>K208/H208-1</f>
        <v>6.0006683560647867E-2</v>
      </c>
      <c r="J208" s="786">
        <f t="shared" ref="J208" si="241">SUM(J209,J210,J213,J214,J215,J216,)</f>
        <v>6358.1909999999998</v>
      </c>
      <c r="K208" s="724">
        <f t="shared" ref="K208" si="242">SUM(K209,K210,K213,K214,K215,K216,)</f>
        <v>6147.3010000000004</v>
      </c>
      <c r="L208" s="724">
        <f>SUM(L209,L210,L213,L214,L215,L216,)</f>
        <v>6754.7480000000014</v>
      </c>
      <c r="M208" s="1506">
        <f t="shared" ref="L208:M208" si="243">SUM(M209,M210,M213,M214,M215,M216,)</f>
        <v>6571.295000000001</v>
      </c>
      <c r="N208" s="2059">
        <f>SUM(L208-K208)/K208</f>
        <v>9.8815236149978822E-2</v>
      </c>
      <c r="O208" s="724">
        <f t="shared" ref="O208:R208" si="244">SUM(O209,O210,O213,O214,O215,O216,)</f>
        <v>7219.5275000000011</v>
      </c>
      <c r="P208" s="1506">
        <f t="shared" si="244"/>
        <v>6871.8489999999993</v>
      </c>
      <c r="Q208" s="724">
        <f>SUM(Q209,Q210,Q213,Q214,Q215,Q216,)</f>
        <v>7725.2131750000008</v>
      </c>
      <c r="R208" s="1506">
        <f t="shared" si="244"/>
        <v>7005.5240000000013</v>
      </c>
      <c r="S208" s="708"/>
      <c r="T208" s="708"/>
      <c r="U208" s="709"/>
      <c r="V208" s="709"/>
      <c r="W208" s="709"/>
      <c r="X208" s="709"/>
      <c r="Y208" s="709"/>
      <c r="Z208" s="709"/>
      <c r="AA208" s="708"/>
      <c r="AB208" s="709"/>
    </row>
    <row r="209" spans="1:28" s="221" customFormat="1" ht="33" customHeight="1">
      <c r="A209" s="2743"/>
      <c r="B209" s="2736" t="s">
        <v>1913</v>
      </c>
      <c r="C209" s="2736"/>
      <c r="D209" s="2736"/>
      <c r="E209" s="720">
        <f>SUM(E19,E30,E32,E34,E38,E46,E49,E90,E96,E104,E114,E116,E119,E121,E124,E127,E130,E133,E158,E168,E170,E173,E179,E184,E190,E198,E202,E205,E68)</f>
        <v>4339.3860000000013</v>
      </c>
      <c r="F209" s="721">
        <f>H209/E209-1</f>
        <v>0.24010171024195559</v>
      </c>
      <c r="G209" s="720">
        <f>SUM(G19,G30,G32,G34,G38,G46,G49,G90,G96,G104,G114,G116,G119,G121,G124,G127,G130,G133,G158,G168,G170,G173,G179,G184,G190,G198,G202,G205,G68)</f>
        <v>5291.9369999999999</v>
      </c>
      <c r="H209" s="722">
        <f>SUM(H19,H30,H32,H34,H38,H46,H49,H90,H96,H104,H114,H116,H119,H121,H124,H127,H130,H133,H158,H168,H170,H173,H184,H190,H198,H202,H205,H68,H83)</f>
        <v>5381.2800000000007</v>
      </c>
      <c r="I209" s="723">
        <f t="shared" si="200"/>
        <v>-5.1493325008176605E-2</v>
      </c>
      <c r="J209" s="720">
        <f>SUM(J19,J30,J32,J34,J38,J46,J49,J90,J96,J104,J114,J116,J119,J121,J124,J127,J130,J133,J158,J170,J173,J184,J190,J198,J202,J205,J68,J83,J181,J78,J63,J60,)</f>
        <v>6179.7820000000002</v>
      </c>
      <c r="K209" s="722">
        <f>SUM(K19,K30,K32,K34,K38,K46,K49,K90,K96,K104,K114,K116,K119,K121,K124,K127,K130,K133,K158,K170,K173,K184,K190,K198,K202,K205,K68,K83,K181,K78,K63,K60,)</f>
        <v>5104.18</v>
      </c>
      <c r="L209" s="722">
        <f>SUM(L19,L30,L32,L34,L38,L46,L49,L90,L96,L104,L114,L116,L119,L121,L124,L127,L130,L133,L158,L170,L173,L184,L190,L198,L202,L205,L68,L83,L181,L78,L63,L60,)</f>
        <v>5616.6920000000009</v>
      </c>
      <c r="M209" s="1496">
        <f>SUM(M19,M30,M32,M34,M38,M46,M49,M90,M96,M104,M114,M116,M119,M121,M124,M127,M130,M133,M158,M170,M173,M184,M190,M198,M202,M205,M68,M83,M181,M78,M63,M60,)</f>
        <v>6229.5870000000004</v>
      </c>
      <c r="N209" s="2059">
        <f>SUM(L209-K209)/K209</f>
        <v>0.10041025198954594</v>
      </c>
      <c r="O209" s="722">
        <f>SUM(O19,O30,O32,O34,O38,O46,O49,O90,O96,O104,O114,O116,O119,O121,O124,O127,O130,O133,O158,O170,O173,O184,O190,O198,O202,O205,O68,O83,O181,O78,O63,O60,)</f>
        <v>6871.2515000000003</v>
      </c>
      <c r="P209" s="1496">
        <f>SUM(P19,P30,P32,P34,P38,P46,P49,P90,P96,P104,P114,P116,P119,P121,P124,P127,P130,P133,P158,P170,P173,P184,P190,P198,P202,P205,P68,P83,P181,P78,P63,P60,)</f>
        <v>6514.5189999999993</v>
      </c>
      <c r="Q209" s="722">
        <f>SUM(Q19,Q30,Q32,Q34,Q38,Q46,Q49,Q90,Q96,Q104,Q114,Q116,Q119,Q121,Q124,Q127,Q130,Q133,Q158,Q170,Q173,Q184,Q190,Q198,Q202,Q205,Q68,Q83,Q181,Q78,Q63,Q60,)</f>
        <v>7376.937175</v>
      </c>
      <c r="R209" s="1496">
        <f>SUM(R19,R30,R32,R34,R38,R46,R49,R90,R96,R104,R114,R116,R119,R121,R124,R127,R130,R133,R158,R170,R173,R184,R190,R198,R202,R205,R68,R83,R181,R78,R63,R60,)</f>
        <v>6631.8010000000004</v>
      </c>
      <c r="S209" s="761"/>
      <c r="T209" s="709"/>
      <c r="U209" s="709"/>
      <c r="V209" s="709"/>
      <c r="W209" s="709"/>
      <c r="X209" s="709"/>
      <c r="Y209" s="709"/>
      <c r="Z209" s="709"/>
      <c r="AA209" s="708"/>
      <c r="AB209" s="709"/>
    </row>
    <row r="210" spans="1:28" s="221" customFormat="1" ht="27.6" customHeight="1">
      <c r="A210" s="2743"/>
      <c r="B210" s="2736" t="s">
        <v>722</v>
      </c>
      <c r="C210" s="2736"/>
      <c r="D210" s="2736"/>
      <c r="E210" s="720">
        <f>SUM(E37,E45,E48,E51,E53,E55,E57,E59,E65,E67,E70,E72,E74,E77,E80,E82,E85,E87,E89,E62)</f>
        <v>232.52999999999994</v>
      </c>
      <c r="F210" s="721">
        <f t="shared" si="234"/>
        <v>0.20295875800971941</v>
      </c>
      <c r="G210" s="720">
        <f>SUM(G37,G45,G48,G51,G53,G55,G57,G59,G65,G67,G70,G72,G74,G77,G80,G82,G85,G87,G89,G62)</f>
        <v>235.101</v>
      </c>
      <c r="H210" s="722">
        <f>SUM(H37,H45,H48,H51,H53,H55,H57,H59,H65,H67,H70,H72,H74,H77,H80,H82,H85,H87,H89,H62)</f>
        <v>279.72399999999999</v>
      </c>
      <c r="I210" s="723">
        <f t="shared" si="200"/>
        <v>-3.9907194234316767E-2</v>
      </c>
      <c r="J210" s="720">
        <f>SUM(J37,J45,J48,J51,J53,J55,J57,J59,J65,J67,J70,J72,J74,J77,J80,J82,J85,J87,J89,J62)</f>
        <v>87.713000000000008</v>
      </c>
      <c r="K210" s="722">
        <f>SUM(K211,K212)</f>
        <v>268.56099999999998</v>
      </c>
      <c r="L210" s="722">
        <f>SUM(L211,L212)</f>
        <v>335.71599999999995</v>
      </c>
      <c r="M210" s="1496">
        <f>SUM(M211,M212)</f>
        <v>329.14800000000002</v>
      </c>
      <c r="N210" s="2059">
        <f t="shared" si="165"/>
        <v>0.25005492234538884</v>
      </c>
      <c r="O210" s="722">
        <f>SUM(O211,O212)</f>
        <v>335.71599999999995</v>
      </c>
      <c r="P210" s="1496">
        <f>SUM(P211,P212)</f>
        <v>344.77</v>
      </c>
      <c r="Q210" s="722">
        <f>SUM(Q211,Q212)</f>
        <v>335.71599999999995</v>
      </c>
      <c r="R210" s="1496">
        <f>SUM(R211,R212)</f>
        <v>361.16300000000007</v>
      </c>
      <c r="S210" s="761"/>
      <c r="T210" s="709"/>
      <c r="U210" s="709"/>
      <c r="V210" s="709"/>
      <c r="W210" s="709"/>
      <c r="X210" s="709"/>
      <c r="Y210" s="709"/>
      <c r="Z210" s="709"/>
      <c r="AA210" s="708"/>
      <c r="AB210" s="709"/>
    </row>
    <row r="211" spans="1:28" s="221" customFormat="1" ht="38.4" hidden="1" customHeight="1">
      <c r="A211" s="2743"/>
      <c r="B211" s="2750" t="s">
        <v>3593</v>
      </c>
      <c r="C211" s="2751"/>
      <c r="D211" s="2752"/>
      <c r="E211" s="755"/>
      <c r="F211" s="731"/>
      <c r="G211" s="755"/>
      <c r="H211" s="681">
        <f>SUM(H37,H45,H48,H51,H53,H55,H57,H59,H65,H67,H70,H72,H74,H77,H80,H82,H85,H87,H89,)</f>
        <v>255.30500000000001</v>
      </c>
      <c r="I211" s="778">
        <f t="shared" si="200"/>
        <v>-4.529092653884581E-2</v>
      </c>
      <c r="J211" s="734"/>
      <c r="K211" s="681">
        <f>SUM(K37,K45,K48,K51,K53,K55,K57,K59,K65,K67,K70,K72,K74,K77,K80,K82,K85,K87,K89,)</f>
        <v>243.74199999999999</v>
      </c>
      <c r="L211" s="681">
        <f>SUM(L37,L45,L48,L51,L53,L55,L57,L59,L65,L67,L70,L72,L74,L77,L80,L82,L85,L87,L89,)</f>
        <v>310.99699999999996</v>
      </c>
      <c r="M211" s="1470">
        <f>SUM(M37,M45,M48,M51,M53,M55,M57,M59,M65,M67,M70,M72,M74,M77,M80,M82,M85,M87,M89,)</f>
        <v>303.45800000000003</v>
      </c>
      <c r="N211" s="2071">
        <f t="shared" ref="N211:N214" si="245">SUM(L211-K211)/K211</f>
        <v>0.2759270047837466</v>
      </c>
      <c r="O211" s="681">
        <f>SUM(O37,O45,O48,O51,O53,O55,O57,O59,O65,O67,O70,O72,O74,O77,O80,O82,O85,O87,O89,)</f>
        <v>310.99699999999996</v>
      </c>
      <c r="P211" s="1470">
        <f>SUM(P37,P45,P48,P51,P53,P55,P57,P59,P65,P67,P70,P72,P74,P77,P80,P82,P85,P87,P89,)</f>
        <v>317.858</v>
      </c>
      <c r="Q211" s="681">
        <f>SUM(Q37,Q45,Q48,Q51,Q53,Q55,Q57,Q59,Q65,Q67,Q70,Q72,Q74,Q77,Q80,Q82,Q85,Q87,Q89,)</f>
        <v>310.99699999999996</v>
      </c>
      <c r="R211" s="1870">
        <f>SUM(R37,R45,R48,R51,R53,R55,R57,R59,R65,R67,R70,R72,R74,R77,R80,R82,R85,R87,R89,)</f>
        <v>332.98300000000006</v>
      </c>
      <c r="S211" s="761"/>
      <c r="T211" s="709"/>
      <c r="U211" s="709"/>
      <c r="V211" s="709"/>
      <c r="W211" s="709"/>
      <c r="X211" s="709"/>
      <c r="Y211" s="709"/>
      <c r="Z211" s="709"/>
      <c r="AA211" s="708"/>
      <c r="AB211" s="709"/>
    </row>
    <row r="212" spans="1:28" s="221" customFormat="1" ht="35.4" hidden="1" customHeight="1">
      <c r="A212" s="2743"/>
      <c r="B212" s="2737" t="s">
        <v>3561</v>
      </c>
      <c r="C212" s="2738"/>
      <c r="D212" s="2739"/>
      <c r="E212" s="755"/>
      <c r="F212" s="731"/>
      <c r="G212" s="755"/>
      <c r="H212" s="681">
        <f>H210-H211</f>
        <v>24.418999999999983</v>
      </c>
      <c r="I212" s="778">
        <f t="shared" si="200"/>
        <v>1.6380687169827546E-2</v>
      </c>
      <c r="J212" s="734"/>
      <c r="K212" s="681">
        <f>SUM(K62,K92)</f>
        <v>24.818999999999999</v>
      </c>
      <c r="L212" s="681">
        <f>SUM(L62,L92)</f>
        <v>24.719000000000001</v>
      </c>
      <c r="M212" s="1470">
        <f>SUM(M62,M92)</f>
        <v>25.689999999999998</v>
      </c>
      <c r="N212" s="2071">
        <f t="shared" si="245"/>
        <v>-4.0291711994841807E-3</v>
      </c>
      <c r="O212" s="681">
        <f>SUM(O62,O92)</f>
        <v>24.719000000000001</v>
      </c>
      <c r="P212" s="1470">
        <f>SUM(P62,P92)</f>
        <v>26.911999999999999</v>
      </c>
      <c r="Q212" s="681">
        <f>SUM(Q62,Q92)</f>
        <v>24.719000000000001</v>
      </c>
      <c r="R212" s="1870">
        <f>SUM(R62,R92)</f>
        <v>28.18</v>
      </c>
      <c r="S212" s="761"/>
      <c r="T212" s="709"/>
      <c r="U212" s="709"/>
      <c r="V212" s="709"/>
      <c r="W212" s="709"/>
      <c r="X212" s="709"/>
      <c r="Y212" s="709"/>
      <c r="Z212" s="709"/>
      <c r="AA212" s="708"/>
      <c r="AB212" s="709"/>
    </row>
    <row r="213" spans="1:28" s="221" customFormat="1" ht="23.4" customHeight="1">
      <c r="A213" s="2743"/>
      <c r="B213" s="2736" t="s">
        <v>723</v>
      </c>
      <c r="C213" s="2736"/>
      <c r="D213" s="2736"/>
      <c r="E213" s="720">
        <f>SUM(E20,E39)</f>
        <v>12.895</v>
      </c>
      <c r="F213" s="721">
        <f t="shared" si="234"/>
        <v>0.34160527336176821</v>
      </c>
      <c r="G213" s="720">
        <f>SUM(G20,G39)</f>
        <v>15.45</v>
      </c>
      <c r="H213" s="722">
        <f>SUM(H20,H39)</f>
        <v>17.3</v>
      </c>
      <c r="I213" s="723">
        <f t="shared" si="200"/>
        <v>0.16843930635838134</v>
      </c>
      <c r="J213" s="720">
        <f>SUM(J20,J39,J97,)</f>
        <v>17.649999999999999</v>
      </c>
      <c r="K213" s="722">
        <f>SUM(K20,K39,K97,K21)</f>
        <v>20.213999999999999</v>
      </c>
      <c r="L213" s="722">
        <f>SUM(L20,L39,L97,L21)</f>
        <v>12.82</v>
      </c>
      <c r="M213" s="1496">
        <f>SUM(M20,M39,M97,M21)</f>
        <v>12.56</v>
      </c>
      <c r="N213" s="2059">
        <f t="shared" si="245"/>
        <v>-0.3657860888493123</v>
      </c>
      <c r="O213" s="722">
        <f>SUM(O20,O39,O97,O21)</f>
        <v>12.56</v>
      </c>
      <c r="P213" s="1496">
        <f>SUM(P20,P39,P97,P21)</f>
        <v>12.56</v>
      </c>
      <c r="Q213" s="722">
        <f>SUM(Q20,Q39,Q97,Q21)</f>
        <v>12.56</v>
      </c>
      <c r="R213" s="1496">
        <f>SUM(R20,R39,R97,R21)</f>
        <v>12.56</v>
      </c>
      <c r="S213" s="761"/>
      <c r="T213" s="709"/>
      <c r="U213" s="709"/>
      <c r="V213" s="709"/>
      <c r="W213" s="709"/>
      <c r="X213" s="709"/>
      <c r="Y213" s="709"/>
      <c r="Z213" s="709"/>
      <c r="AA213" s="708"/>
      <c r="AB213" s="709"/>
    </row>
    <row r="214" spans="1:28" s="221" customFormat="1" ht="30" customHeight="1">
      <c r="A214" s="2743"/>
      <c r="B214" s="2736" t="s">
        <v>2687</v>
      </c>
      <c r="C214" s="2736"/>
      <c r="D214" s="2736"/>
      <c r="E214" s="720">
        <v>0</v>
      </c>
      <c r="F214" s="721"/>
      <c r="G214" s="720">
        <v>0</v>
      </c>
      <c r="H214" s="722">
        <v>0</v>
      </c>
      <c r="I214" s="723" t="e">
        <f t="shared" si="200"/>
        <v>#DIV/0!</v>
      </c>
      <c r="J214" s="720">
        <f>SUM(J203,J185,J181,J161,J160)</f>
        <v>40.6</v>
      </c>
      <c r="K214" s="722">
        <f>SUM(K203,K185,K181,K161,K160)</f>
        <v>40.6</v>
      </c>
      <c r="L214" s="722">
        <f>SUM(L203,L185,L181,L161,L160)</f>
        <v>0</v>
      </c>
      <c r="M214" s="1496">
        <f>SUM(M203,M185,M181,M161,M160)</f>
        <v>0</v>
      </c>
      <c r="N214" s="2059">
        <f t="shared" si="245"/>
        <v>-1</v>
      </c>
      <c r="O214" s="722">
        <f>SUM(O203,O185,O181,O161,O160)</f>
        <v>0</v>
      </c>
      <c r="P214" s="1496">
        <f>SUM(P203,P185,P181,P161,P160)</f>
        <v>0</v>
      </c>
      <c r="Q214" s="722">
        <f>SUM(Q203,Q185,Q181,Q161,Q160)</f>
        <v>0</v>
      </c>
      <c r="R214" s="1496">
        <f>SUM(R203,R185,R181,R161,R160)</f>
        <v>0</v>
      </c>
      <c r="S214" s="761"/>
      <c r="T214" s="709"/>
      <c r="U214" s="709"/>
      <c r="V214" s="709"/>
      <c r="W214" s="709"/>
      <c r="X214" s="709"/>
      <c r="Y214" s="709"/>
      <c r="Z214" s="709"/>
      <c r="AA214" s="708"/>
      <c r="AB214" s="709"/>
    </row>
    <row r="215" spans="1:28" s="221" customFormat="1" ht="24.6" customHeight="1">
      <c r="A215" s="2743"/>
      <c r="B215" s="2736" t="s">
        <v>724</v>
      </c>
      <c r="C215" s="2736"/>
      <c r="D215" s="2736"/>
      <c r="E215" s="720">
        <v>0</v>
      </c>
      <c r="F215" s="721"/>
      <c r="G215" s="720">
        <v>0</v>
      </c>
      <c r="H215" s="722">
        <v>0</v>
      </c>
      <c r="I215" s="723" t="e">
        <f t="shared" si="200"/>
        <v>#DIV/0!</v>
      </c>
      <c r="J215" s="720">
        <v>0</v>
      </c>
      <c r="K215" s="722">
        <v>0</v>
      </c>
      <c r="L215" s="722">
        <v>0</v>
      </c>
      <c r="M215" s="1496">
        <v>0</v>
      </c>
      <c r="N215" s="2059"/>
      <c r="O215" s="722">
        <v>0</v>
      </c>
      <c r="P215" s="1496">
        <v>0</v>
      </c>
      <c r="Q215" s="722">
        <v>0</v>
      </c>
      <c r="R215" s="1496">
        <v>0</v>
      </c>
      <c r="S215" s="761"/>
      <c r="T215" s="709"/>
      <c r="U215" s="709"/>
      <c r="V215" s="709"/>
      <c r="W215" s="709"/>
      <c r="X215" s="709"/>
      <c r="Y215" s="709"/>
      <c r="Z215" s="709"/>
      <c r="AA215" s="708"/>
      <c r="AB215" s="709"/>
    </row>
    <row r="216" spans="1:28" s="221" customFormat="1" ht="28.2" customHeight="1">
      <c r="A216" s="2743"/>
      <c r="B216" s="2736" t="s">
        <v>725</v>
      </c>
      <c r="C216" s="2736"/>
      <c r="D216" s="2736"/>
      <c r="E216" s="720">
        <v>0</v>
      </c>
      <c r="F216" s="721"/>
      <c r="G216" s="720">
        <v>0</v>
      </c>
      <c r="H216" s="722">
        <f>H179</f>
        <v>121</v>
      </c>
      <c r="I216" s="723">
        <f t="shared" si="200"/>
        <v>4.8987272727272728</v>
      </c>
      <c r="J216" s="720">
        <f>SUM(J179,J159)</f>
        <v>32.445999999999998</v>
      </c>
      <c r="K216" s="722">
        <f>SUM(K179,K159,K122,K125)</f>
        <v>713.74599999999998</v>
      </c>
      <c r="L216" s="722">
        <f>SUM(L179,L159,L122,L125,L134)</f>
        <v>789.52</v>
      </c>
      <c r="M216" s="1496">
        <f>SUM(M179,M159,M122,M125)</f>
        <v>0</v>
      </c>
      <c r="N216" s="2059">
        <f>SUM(L216-K216)/K216</f>
        <v>0.10616381738041264</v>
      </c>
      <c r="O216" s="722">
        <f>SUM(O179,O159,O122,O125)</f>
        <v>0</v>
      </c>
      <c r="P216" s="1496">
        <f>SUM(P179,P159,P122,P125)</f>
        <v>0</v>
      </c>
      <c r="Q216" s="722">
        <f>SUM(Q179,Q159,Q122,Q125)</f>
        <v>0</v>
      </c>
      <c r="R216" s="1496">
        <f>SUM(R179,R159,R122,R125)</f>
        <v>0</v>
      </c>
      <c r="S216" s="761"/>
      <c r="T216" s="709"/>
      <c r="U216" s="709"/>
      <c r="V216" s="709"/>
      <c r="W216" s="709"/>
      <c r="X216" s="709"/>
      <c r="Y216" s="709"/>
      <c r="Z216" s="709"/>
      <c r="AA216" s="708"/>
      <c r="AB216" s="709"/>
    </row>
    <row r="217" spans="1:28" s="221" customFormat="1" ht="38.25" customHeight="1">
      <c r="A217" s="2743"/>
      <c r="B217" s="2703" t="s">
        <v>726</v>
      </c>
      <c r="C217" s="2703"/>
      <c r="D217" s="2703"/>
      <c r="E217" s="720">
        <v>0</v>
      </c>
      <c r="F217" s="721"/>
      <c r="G217" s="720">
        <v>0</v>
      </c>
      <c r="H217" s="722">
        <v>0</v>
      </c>
      <c r="I217" s="723" t="e">
        <f t="shared" si="200"/>
        <v>#DIV/0!</v>
      </c>
      <c r="J217" s="720">
        <v>0</v>
      </c>
      <c r="K217" s="722">
        <v>0</v>
      </c>
      <c r="L217" s="722">
        <v>0</v>
      </c>
      <c r="M217" s="1496">
        <v>0</v>
      </c>
      <c r="N217" s="2059"/>
      <c r="O217" s="722">
        <v>0</v>
      </c>
      <c r="P217" s="1496">
        <v>0</v>
      </c>
      <c r="Q217" s="722">
        <v>0</v>
      </c>
      <c r="R217" s="1496">
        <v>0</v>
      </c>
      <c r="S217" s="761"/>
      <c r="T217" s="709"/>
      <c r="U217" s="709"/>
      <c r="V217" s="709"/>
      <c r="W217" s="709"/>
      <c r="X217" s="709"/>
      <c r="Y217" s="709"/>
      <c r="Z217" s="709"/>
      <c r="AA217" s="708"/>
      <c r="AB217" s="709"/>
    </row>
    <row r="218" spans="1:28" s="221" customFormat="1" ht="29.25" customHeight="1">
      <c r="A218" s="2743"/>
      <c r="B218" s="2699" t="s">
        <v>1082</v>
      </c>
      <c r="C218" s="2699"/>
      <c r="D218" s="2699"/>
      <c r="E218" s="786">
        <f>E208+E217</f>
        <v>4584.8110000000015</v>
      </c>
      <c r="F218" s="721">
        <f t="shared" si="234"/>
        <v>0.26489488879694256</v>
      </c>
      <c r="G218" s="786">
        <f>G208+G217</f>
        <v>5542.4879999999994</v>
      </c>
      <c r="H218" s="724">
        <f>H208+H217</f>
        <v>5799.304000000001</v>
      </c>
      <c r="I218" s="787">
        <f t="shared" si="200"/>
        <v>6.0006683560647867E-2</v>
      </c>
      <c r="J218" s="786">
        <f>J208+J217</f>
        <v>6358.1909999999998</v>
      </c>
      <c r="K218" s="724">
        <f>K208+K217</f>
        <v>6147.3010000000004</v>
      </c>
      <c r="L218" s="724">
        <f>L208+L217</f>
        <v>6754.7480000000014</v>
      </c>
      <c r="M218" s="1506">
        <f>M208+M217</f>
        <v>6571.295000000001</v>
      </c>
      <c r="N218" s="2059">
        <f>SUM(L218-K218)/K218</f>
        <v>9.8815236149978822E-2</v>
      </c>
      <c r="O218" s="724">
        <f>O208+O217</f>
        <v>7219.5275000000011</v>
      </c>
      <c r="P218" s="1506">
        <f>P208+P217</f>
        <v>6871.8489999999993</v>
      </c>
      <c r="Q218" s="724">
        <f>Q208+Q217</f>
        <v>7725.2131750000008</v>
      </c>
      <c r="R218" s="1506">
        <f>R208+R217</f>
        <v>7005.5240000000013</v>
      </c>
      <c r="S218" s="708"/>
      <c r="T218" s="709"/>
      <c r="U218" s="709"/>
      <c r="V218" s="709"/>
      <c r="W218" s="709"/>
      <c r="X218" s="709"/>
      <c r="Y218" s="709"/>
      <c r="Z218" s="709"/>
      <c r="AA218" s="708"/>
      <c r="AB218" s="709"/>
    </row>
    <row r="219" spans="1:28" s="221" customFormat="1" ht="24" customHeight="1">
      <c r="A219" s="2743"/>
      <c r="B219" s="2703" t="s">
        <v>1914</v>
      </c>
      <c r="C219" s="2703"/>
      <c r="D219" s="2703"/>
      <c r="E219" s="786">
        <v>0</v>
      </c>
      <c r="F219" s="721"/>
      <c r="G219" s="786">
        <v>0</v>
      </c>
      <c r="H219" s="724">
        <v>0</v>
      </c>
      <c r="I219" s="787" t="e">
        <f t="shared" si="200"/>
        <v>#DIV/0!</v>
      </c>
      <c r="J219" s="786">
        <v>0</v>
      </c>
      <c r="K219" s="724">
        <v>0</v>
      </c>
      <c r="L219" s="724">
        <v>0</v>
      </c>
      <c r="M219" s="1506">
        <v>0</v>
      </c>
      <c r="N219" s="2059"/>
      <c r="O219" s="724">
        <v>0</v>
      </c>
      <c r="P219" s="1506">
        <v>0</v>
      </c>
      <c r="Q219" s="724">
        <v>0</v>
      </c>
      <c r="R219" s="1506">
        <v>0</v>
      </c>
      <c r="S219" s="708"/>
      <c r="T219" s="709"/>
      <c r="U219" s="709"/>
      <c r="V219" s="709"/>
      <c r="W219" s="709"/>
      <c r="X219" s="709"/>
      <c r="Y219" s="709"/>
      <c r="Z219" s="709"/>
      <c r="AA219" s="708"/>
      <c r="AB219" s="709"/>
    </row>
    <row r="220" spans="1:28" s="221" customFormat="1" ht="33.75" customHeight="1">
      <c r="A220" s="2743"/>
      <c r="B220" s="2744" t="s">
        <v>727</v>
      </c>
      <c r="C220" s="2744"/>
      <c r="D220" s="2744"/>
      <c r="E220" s="2125">
        <v>0</v>
      </c>
      <c r="F220" s="2126"/>
      <c r="G220" s="2125">
        <v>0</v>
      </c>
      <c r="H220" s="2127">
        <f>(H218-E218)/E218</f>
        <v>0.26489488879694256</v>
      </c>
      <c r="I220" s="2127"/>
      <c r="J220" s="2126"/>
      <c r="K220" s="2127">
        <v>0.06</v>
      </c>
      <c r="L220" s="2127">
        <f>(L218-K218)/K218</f>
        <v>9.8815236149978822E-2</v>
      </c>
      <c r="M220" s="2128"/>
      <c r="N220" s="2129"/>
      <c r="O220" s="2127">
        <f>(O218-L218)/L218</f>
        <v>6.8807822290335566E-2</v>
      </c>
      <c r="P220" s="2127">
        <f t="shared" ref="P220" si="246">(P218-M218)/M218</f>
        <v>4.5737407923399913E-2</v>
      </c>
      <c r="Q220" s="2127">
        <f>(Q218-O218)/O218</f>
        <v>7.0044151088835063E-2</v>
      </c>
      <c r="R220" s="1507"/>
      <c r="S220" s="708"/>
      <c r="T220" s="709"/>
      <c r="U220" s="709"/>
      <c r="V220" s="709"/>
      <c r="W220" s="709"/>
      <c r="X220" s="709"/>
      <c r="Y220" s="709"/>
      <c r="Z220" s="709"/>
      <c r="AA220" s="708"/>
      <c r="AB220" s="709"/>
    </row>
    <row r="221" spans="1:28">
      <c r="E221" s="669"/>
      <c r="F221" s="669"/>
      <c r="AB221" s="669"/>
    </row>
    <row r="222" spans="1:28" ht="141" hidden="1" customHeight="1">
      <c r="E222" s="669"/>
      <c r="F222" s="669"/>
      <c r="AB222" s="669"/>
    </row>
    <row r="223" spans="1:28" ht="21" hidden="1" customHeight="1">
      <c r="E223" s="669"/>
      <c r="F223" s="669"/>
      <c r="H223" s="669">
        <v>5122.3</v>
      </c>
      <c r="M223" s="710"/>
      <c r="N223" s="2061" t="s">
        <v>4157</v>
      </c>
      <c r="O223" s="1923" t="s">
        <v>4159</v>
      </c>
      <c r="P223" s="1923" t="s">
        <v>4158</v>
      </c>
      <c r="R223" s="669" t="s">
        <v>4206</v>
      </c>
      <c r="S223" s="669" t="s">
        <v>4207</v>
      </c>
      <c r="AB223" s="669"/>
    </row>
    <row r="224" spans="1:28" ht="19.2" hidden="1" customHeight="1">
      <c r="A224" s="674"/>
      <c r="E224" s="669"/>
      <c r="F224" s="669"/>
      <c r="H224" s="789">
        <f>H223-H209-H213-H216</f>
        <v>-397.28000000000048</v>
      </c>
      <c r="I224" s="790"/>
      <c r="J224" s="791"/>
      <c r="L224" s="2748" t="s">
        <v>4160</v>
      </c>
      <c r="M224" s="1923" t="s">
        <v>4156</v>
      </c>
      <c r="N224" s="1984">
        <f>SUM(K19,K32,K38,K46,K49,K60,K63,K68,K78,K83,K90,K93,)</f>
        <v>3986.88</v>
      </c>
      <c r="O224" s="1935">
        <f>SUM(L19,L32,L38,L46,L49,L60,L63,L68,L78,L83,L90,L93,)</f>
        <v>4592.5120000000006</v>
      </c>
      <c r="P224" s="1935">
        <f>SUM(M19,M32,M38,M46,M49,M60,M63,M68,M78,M83,M90,M93,)</f>
        <v>4393.3869999999997</v>
      </c>
      <c r="Q224" s="1936">
        <f>(O224-N224)/N224</f>
        <v>0.15190625250822712</v>
      </c>
      <c r="R224" s="792">
        <f>SUM(O30,O96,O114,O116,O119,O121,O124,O127,O130,O133,O158,O170,O173,O184,O190,O198,O202,O205)</f>
        <v>1875.3</v>
      </c>
      <c r="S224" s="792">
        <f>SUM(Q30,Q96,Q114,Q116,Q119,Q121,Q124,Q127,Q130,Q133,Q158,Q170,Q173,Q184,Q190,Q198,Q202,Q205)</f>
        <v>1910.8</v>
      </c>
      <c r="AB224" s="669"/>
    </row>
    <row r="225" spans="1:28" ht="15.6" hidden="1" customHeight="1">
      <c r="E225" s="669"/>
      <c r="F225" s="669"/>
      <c r="L225" s="2749"/>
      <c r="M225" s="1923" t="s">
        <v>3508</v>
      </c>
      <c r="N225" s="1984">
        <f>SUM(K30,K168,K170,K173,K184,K190,K198,K202,K205,K133,K130,K127,K124,K121,K119,K116,K114,K96,K125,K122,)</f>
        <v>1798.6</v>
      </c>
      <c r="O225" s="1935">
        <f>SUM(L30,L168,L170,L173,L184,L190,L198,L202,L205,L133,L130,L127,L124,L121,L119,L116,L114,L96,L125,L122,)</f>
        <v>1656.7</v>
      </c>
      <c r="P225" s="1935">
        <f>SUM(M30,M168,M170,M173,M184,M190,M198,M202,M205,M133,M130,M127,M124,M121,M119,M116,M114,M96,M125,M122,)</f>
        <v>1836.2</v>
      </c>
      <c r="Q225" s="1938">
        <f>(O225-N225)/N225</f>
        <v>-7.8894695874569043E-2</v>
      </c>
      <c r="R225" s="1514"/>
      <c r="AB225" s="669"/>
    </row>
    <row r="226" spans="1:28" ht="19.2" hidden="1" customHeight="1">
      <c r="A226" s="674"/>
      <c r="B226" s="674"/>
      <c r="E226" s="669"/>
      <c r="F226" s="669"/>
      <c r="L226" s="2749"/>
      <c r="M226" s="1923" t="s">
        <v>4155</v>
      </c>
      <c r="N226" s="1984">
        <f>SUM(K166)</f>
        <v>32.445999999999998</v>
      </c>
      <c r="O226" s="1935">
        <f t="shared" ref="O226:P226" si="247">SUM(L166)</f>
        <v>0</v>
      </c>
      <c r="P226" s="1935">
        <f t="shared" si="247"/>
        <v>0</v>
      </c>
      <c r="Q226" s="1936">
        <f>(O226-N226)/N226</f>
        <v>-1</v>
      </c>
      <c r="R226" s="1514" t="s">
        <v>4208</v>
      </c>
      <c r="S226" s="669" t="s">
        <v>4209</v>
      </c>
      <c r="AB226" s="669"/>
    </row>
    <row r="227" spans="1:28" ht="17.399999999999999" hidden="1">
      <c r="E227" s="669"/>
      <c r="F227" s="669"/>
      <c r="M227" s="1898"/>
      <c r="N227" s="2050">
        <f>SUM(N224,N225,N226)</f>
        <v>5817.9259999999995</v>
      </c>
      <c r="O227" s="792">
        <f t="shared" ref="O227:P227" si="248">SUM(O224,O225,O226)</f>
        <v>6249.2120000000004</v>
      </c>
      <c r="P227" s="792">
        <f t="shared" si="248"/>
        <v>6229.5869999999995</v>
      </c>
      <c r="Q227" s="792"/>
      <c r="R227" s="2007"/>
      <c r="AB227" s="669"/>
    </row>
    <row r="228" spans="1:28" hidden="1">
      <c r="B228" s="675"/>
      <c r="E228" s="669"/>
      <c r="F228" s="669"/>
      <c r="H228" s="792">
        <v>5121.78</v>
      </c>
      <c r="J228" s="793"/>
      <c r="M228" s="669"/>
      <c r="N228" s="2050">
        <f>N227-K209-K216</f>
        <v>0</v>
      </c>
      <c r="O228" s="792">
        <f t="shared" ref="O228:P228" si="249">O227-L209-L216</f>
        <v>-157.00000000000045</v>
      </c>
      <c r="P228" s="792">
        <f t="shared" si="249"/>
        <v>-9.0949470177292824E-13</v>
      </c>
      <c r="R228" s="1514">
        <f>SUM(O19,O32,O38,O46,O49,O68,O83,)</f>
        <v>4995.9515000000001</v>
      </c>
      <c r="S228" s="1920">
        <f>SUM(Q19,Q32,Q38,Q46,Q49,Q68,Q83,)</f>
        <v>5466.1371749999998</v>
      </c>
      <c r="AB228" s="669"/>
    </row>
    <row r="229" spans="1:28" hidden="1">
      <c r="B229" s="675"/>
      <c r="E229" s="669"/>
      <c r="F229" s="669"/>
      <c r="AB229" s="669"/>
    </row>
    <row r="230" spans="1:28" hidden="1">
      <c r="E230" s="669"/>
      <c r="F230" s="669"/>
      <c r="H230" s="792">
        <f>H228-H209-H213-H216</f>
        <v>-397.80000000000092</v>
      </c>
      <c r="J230" s="793"/>
      <c r="AB230" s="669"/>
    </row>
    <row r="231" spans="1:28" hidden="1">
      <c r="E231" s="669"/>
      <c r="F231" s="669"/>
      <c r="P231" s="1899"/>
      <c r="AB231" s="669"/>
    </row>
    <row r="232" spans="1:28" ht="66" hidden="1">
      <c r="E232" s="669"/>
      <c r="F232" s="669"/>
      <c r="K232" s="1921" t="s">
        <v>4171</v>
      </c>
      <c r="L232" s="1934">
        <f>SUM(O224-N224)</f>
        <v>605.63200000000052</v>
      </c>
      <c r="AB232" s="669"/>
    </row>
    <row r="233" spans="1:28" ht="52.8" hidden="1">
      <c r="E233" s="669"/>
      <c r="F233" s="669"/>
      <c r="I233" s="712" t="s">
        <v>3557</v>
      </c>
      <c r="J233" s="793">
        <v>5347.74</v>
      </c>
      <c r="K233" s="1921" t="s">
        <v>4172</v>
      </c>
      <c r="L233" s="1919">
        <f>O226-N226</f>
        <v>-32.445999999999998</v>
      </c>
      <c r="O233" s="713"/>
      <c r="Q233" s="713"/>
      <c r="AB233" s="669"/>
    </row>
    <row r="234" spans="1:28" hidden="1">
      <c r="E234" s="669"/>
      <c r="F234" s="669"/>
      <c r="J234" s="793">
        <f>J233-K209-K213-K215-K216</f>
        <v>-490.40000000000049</v>
      </c>
      <c r="L234" s="793"/>
      <c r="M234" s="1514"/>
      <c r="N234" s="2050"/>
      <c r="O234" s="793"/>
      <c r="P234" s="1514"/>
      <c r="Q234" s="793"/>
      <c r="R234" s="1514"/>
      <c r="AB234" s="669"/>
    </row>
    <row r="235" spans="1:28" ht="15" hidden="1">
      <c r="E235" s="669"/>
      <c r="F235" s="669"/>
      <c r="K235" s="1515"/>
      <c r="L235" s="1515"/>
      <c r="M235" s="1516"/>
      <c r="N235" s="2051"/>
      <c r="O235" s="1515"/>
      <c r="P235" s="1518"/>
      <c r="Q235" s="1515"/>
      <c r="R235" s="1516"/>
      <c r="AB235" s="669"/>
    </row>
    <row r="236" spans="1:28" ht="15" hidden="1">
      <c r="E236" s="669"/>
      <c r="F236" s="669"/>
      <c r="K236" s="1517"/>
      <c r="L236" s="1948">
        <f>SUM(L232,L233)</f>
        <v>573.18600000000049</v>
      </c>
      <c r="M236" s="1518"/>
      <c r="N236" s="2052"/>
      <c r="O236" s="1517"/>
      <c r="P236" s="1518"/>
      <c r="Q236" s="1517"/>
      <c r="R236" s="1518"/>
      <c r="AB236" s="669"/>
    </row>
    <row r="237" spans="1:28" ht="15" hidden="1">
      <c r="E237" s="669"/>
      <c r="F237" s="669"/>
      <c r="K237" s="1517"/>
      <c r="L237" s="1517"/>
      <c r="M237" s="1518"/>
      <c r="N237" s="2052"/>
      <c r="O237" s="1517"/>
      <c r="P237" s="1518"/>
      <c r="Q237" s="1517"/>
      <c r="R237" s="1518"/>
      <c r="AB237" s="669"/>
    </row>
    <row r="238" spans="1:28" ht="15.6" hidden="1">
      <c r="E238" s="669"/>
      <c r="F238" s="669"/>
      <c r="K238" s="1517"/>
      <c r="L238" s="1519"/>
      <c r="M238" s="1520"/>
      <c r="N238" s="2052"/>
      <c r="O238" s="1519"/>
      <c r="P238" s="1520"/>
      <c r="Q238" s="1519"/>
      <c r="R238" s="1520"/>
      <c r="AB238" s="669"/>
    </row>
    <row r="239" spans="1:28" ht="15" hidden="1">
      <c r="E239" s="669"/>
      <c r="F239" s="669"/>
      <c r="K239" s="1515"/>
      <c r="L239" s="1515"/>
      <c r="M239" s="1516"/>
      <c r="N239" s="2051"/>
      <c r="O239" s="1515"/>
      <c r="P239" s="1516"/>
      <c r="Q239" s="1515"/>
      <c r="R239" s="1516"/>
      <c r="AB239" s="669"/>
    </row>
    <row r="240" spans="1:28" ht="15" hidden="1">
      <c r="B240" s="675"/>
      <c r="E240" s="669"/>
      <c r="F240" s="669"/>
      <c r="J240" s="797" t="s">
        <v>246</v>
      </c>
      <c r="K240" s="1517"/>
      <c r="L240" s="1515"/>
      <c r="M240" s="1516"/>
      <c r="N240" s="2051"/>
      <c r="AB240" s="669"/>
    </row>
    <row r="241" spans="5:28" hidden="1">
      <c r="E241" s="669"/>
      <c r="F241" s="669"/>
      <c r="AB241" s="669"/>
    </row>
    <row r="242" spans="5:28" hidden="1">
      <c r="E242" s="669"/>
      <c r="F242" s="669"/>
      <c r="AB242" s="669"/>
    </row>
    <row r="243" spans="5:28" ht="15" hidden="1">
      <c r="E243" s="669"/>
      <c r="F243" s="669"/>
      <c r="O243" s="1515"/>
      <c r="P243" s="1516"/>
      <c r="Q243" s="1515"/>
      <c r="R243" s="1516"/>
      <c r="AB243" s="669"/>
    </row>
    <row r="244" spans="5:28" hidden="1">
      <c r="E244" s="669"/>
      <c r="F244" s="669"/>
      <c r="AB244" s="669"/>
    </row>
    <row r="245" spans="5:28" hidden="1">
      <c r="E245" s="669"/>
      <c r="F245" s="669"/>
      <c r="AB245" s="669"/>
    </row>
    <row r="246" spans="5:28" hidden="1">
      <c r="E246" s="669"/>
      <c r="F246" s="669"/>
      <c r="AB246" s="669"/>
    </row>
    <row r="247" spans="5:28" hidden="1">
      <c r="E247" s="669"/>
      <c r="F247" s="669"/>
      <c r="AB247" s="669"/>
    </row>
    <row r="248" spans="5:28" hidden="1">
      <c r="E248" s="669"/>
      <c r="F248" s="669"/>
      <c r="AB248" s="669"/>
    </row>
    <row r="249" spans="5:28" hidden="1">
      <c r="E249" s="669"/>
      <c r="F249" s="669"/>
      <c r="AB249" s="669"/>
    </row>
    <row r="250" spans="5:28" hidden="1">
      <c r="E250" s="669"/>
      <c r="F250" s="669"/>
      <c r="AB250" s="669"/>
    </row>
    <row r="251" spans="5:28" hidden="1">
      <c r="E251" s="669"/>
      <c r="F251" s="669"/>
      <c r="AB251" s="669"/>
    </row>
    <row r="252" spans="5:28" hidden="1">
      <c r="E252" s="669"/>
      <c r="F252" s="669"/>
      <c r="AB252" s="669"/>
    </row>
    <row r="253" spans="5:28" hidden="1">
      <c r="E253" s="669"/>
      <c r="F253" s="669"/>
      <c r="AB253" s="669"/>
    </row>
    <row r="254" spans="5:28" hidden="1">
      <c r="E254" s="669"/>
      <c r="F254" s="669"/>
      <c r="AB254" s="669"/>
    </row>
    <row r="255" spans="5:28" hidden="1">
      <c r="E255" s="669"/>
      <c r="F255" s="669"/>
      <c r="AB255" s="669"/>
    </row>
    <row r="256" spans="5:28" hidden="1">
      <c r="E256" s="669"/>
      <c r="F256" s="669"/>
      <c r="AB256" s="669"/>
    </row>
    <row r="257" spans="5:28" hidden="1">
      <c r="E257" s="669"/>
      <c r="F257" s="669"/>
      <c r="AB257" s="669"/>
    </row>
    <row r="258" spans="5:28" hidden="1">
      <c r="E258" s="669"/>
      <c r="F258" s="669"/>
      <c r="AB258" s="669"/>
    </row>
    <row r="259" spans="5:28" hidden="1">
      <c r="E259" s="669"/>
      <c r="F259" s="669"/>
      <c r="AB259" s="669"/>
    </row>
    <row r="260" spans="5:28" hidden="1">
      <c r="E260" s="669"/>
      <c r="F260" s="669"/>
      <c r="AB260" s="669"/>
    </row>
    <row r="261" spans="5:28" hidden="1">
      <c r="E261" s="669"/>
      <c r="F261" s="669"/>
      <c r="AB261" s="669"/>
    </row>
    <row r="262" spans="5:28" hidden="1">
      <c r="E262" s="669"/>
      <c r="F262" s="669"/>
      <c r="AB262" s="669"/>
    </row>
    <row r="263" spans="5:28" hidden="1">
      <c r="E263" s="669"/>
      <c r="F263" s="669"/>
      <c r="AB263" s="669"/>
    </row>
    <row r="264" spans="5:28" hidden="1">
      <c r="E264" s="669"/>
      <c r="F264" s="669"/>
      <c r="AB264" s="669"/>
    </row>
    <row r="265" spans="5:28" hidden="1">
      <c r="E265" s="669"/>
      <c r="F265" s="669"/>
      <c r="AB265" s="669"/>
    </row>
    <row r="266" spans="5:28" hidden="1">
      <c r="E266" s="669"/>
      <c r="F266" s="669"/>
      <c r="AB266" s="669"/>
    </row>
    <row r="267" spans="5:28" hidden="1">
      <c r="E267" s="669"/>
      <c r="F267" s="669"/>
      <c r="AB267" s="669"/>
    </row>
    <row r="268" spans="5:28" hidden="1">
      <c r="E268" s="669"/>
      <c r="F268" s="669"/>
      <c r="AB268" s="669"/>
    </row>
    <row r="269" spans="5:28" hidden="1">
      <c r="E269" s="669"/>
      <c r="F269" s="669"/>
      <c r="AB269" s="669"/>
    </row>
    <row r="270" spans="5:28" hidden="1">
      <c r="AB270" s="669"/>
    </row>
    <row r="271" spans="5:28" hidden="1">
      <c r="AB271" s="669"/>
    </row>
    <row r="272" spans="5:28" hidden="1">
      <c r="AB272" s="669"/>
    </row>
    <row r="273" spans="28:28" hidden="1">
      <c r="AB273" s="669"/>
    </row>
    <row r="274" spans="28:28" hidden="1">
      <c r="AB274" s="669"/>
    </row>
    <row r="275" spans="28:28" hidden="1">
      <c r="AB275" s="669"/>
    </row>
    <row r="276" spans="28:28" hidden="1">
      <c r="AB276" s="669"/>
    </row>
    <row r="277" spans="28:28" hidden="1">
      <c r="AB277" s="669"/>
    </row>
    <row r="278" spans="28:28" hidden="1">
      <c r="AB278" s="669"/>
    </row>
    <row r="279" spans="28:28" hidden="1">
      <c r="AB279" s="669"/>
    </row>
    <row r="280" spans="28:28" hidden="1">
      <c r="AB280" s="669"/>
    </row>
    <row r="281" spans="28:28" hidden="1">
      <c r="AB281" s="669"/>
    </row>
    <row r="282" spans="28:28" hidden="1">
      <c r="AB282" s="669"/>
    </row>
    <row r="283" spans="28:28" hidden="1">
      <c r="AB283" s="669"/>
    </row>
    <row r="284" spans="28:28" hidden="1">
      <c r="AB284" s="669"/>
    </row>
    <row r="285" spans="28:28" hidden="1">
      <c r="AB285" s="669"/>
    </row>
    <row r="286" spans="28:28" hidden="1">
      <c r="AB286" s="669"/>
    </row>
    <row r="287" spans="28:28" hidden="1">
      <c r="AB287" s="669"/>
    </row>
    <row r="288" spans="28:28" hidden="1">
      <c r="AB288" s="669"/>
    </row>
    <row r="289" spans="28:28" hidden="1">
      <c r="AB289" s="669"/>
    </row>
    <row r="290" spans="28:28" hidden="1">
      <c r="AB290" s="669"/>
    </row>
    <row r="291" spans="28:28" hidden="1">
      <c r="AB291" s="669"/>
    </row>
    <row r="292" spans="28:28" hidden="1">
      <c r="AB292" s="669"/>
    </row>
    <row r="293" spans="28:28" hidden="1">
      <c r="AB293" s="669"/>
    </row>
    <row r="294" spans="28:28" hidden="1">
      <c r="AB294" s="669"/>
    </row>
    <row r="295" spans="28:28" hidden="1">
      <c r="AB295" s="669"/>
    </row>
    <row r="296" spans="28:28" hidden="1">
      <c r="AB296" s="669"/>
    </row>
    <row r="297" spans="28:28" hidden="1">
      <c r="AB297" s="669"/>
    </row>
    <row r="298" spans="28:28" hidden="1">
      <c r="AB298" s="669"/>
    </row>
    <row r="299" spans="28:28" hidden="1">
      <c r="AB299" s="669"/>
    </row>
    <row r="300" spans="28:28" hidden="1">
      <c r="AB300" s="669"/>
    </row>
    <row r="301" spans="28:28" hidden="1">
      <c r="AB301" s="669"/>
    </row>
    <row r="302" spans="28:28" hidden="1">
      <c r="AB302" s="669"/>
    </row>
    <row r="303" spans="28:28" hidden="1">
      <c r="AB303" s="669"/>
    </row>
    <row r="304" spans="28:28" hidden="1">
      <c r="AB304" s="669"/>
    </row>
    <row r="305" spans="28:28" hidden="1">
      <c r="AB305" s="669"/>
    </row>
    <row r="306" spans="28:28" hidden="1">
      <c r="AB306" s="669"/>
    </row>
    <row r="307" spans="28:28" hidden="1">
      <c r="AB307" s="669"/>
    </row>
    <row r="308" spans="28:28" hidden="1">
      <c r="AB308" s="669"/>
    </row>
    <row r="309" spans="28:28" hidden="1">
      <c r="AB309" s="669"/>
    </row>
    <row r="310" spans="28:28" hidden="1">
      <c r="AB310" s="669"/>
    </row>
    <row r="311" spans="28:28" hidden="1">
      <c r="AB311" s="669"/>
    </row>
    <row r="312" spans="28:28" hidden="1">
      <c r="AB312" s="669"/>
    </row>
    <row r="313" spans="28:28" hidden="1">
      <c r="AB313" s="669"/>
    </row>
    <row r="314" spans="28:28" hidden="1">
      <c r="AB314" s="669"/>
    </row>
    <row r="315" spans="28:28" hidden="1">
      <c r="AB315" s="669"/>
    </row>
    <row r="316" spans="28:28" hidden="1">
      <c r="AB316" s="669"/>
    </row>
    <row r="317" spans="28:28" hidden="1">
      <c r="AB317" s="669"/>
    </row>
    <row r="318" spans="28:28" hidden="1">
      <c r="AB318" s="669"/>
    </row>
    <row r="319" spans="28:28" hidden="1">
      <c r="AB319" s="669"/>
    </row>
    <row r="320" spans="28:28" hidden="1">
      <c r="AB320" s="669"/>
    </row>
    <row r="321" spans="28:28" hidden="1">
      <c r="AB321" s="669"/>
    </row>
    <row r="322" spans="28:28" hidden="1">
      <c r="AB322" s="669"/>
    </row>
    <row r="323" spans="28:28" hidden="1">
      <c r="AB323" s="669"/>
    </row>
    <row r="324" spans="28:28" hidden="1">
      <c r="AB324" s="669"/>
    </row>
    <row r="325" spans="28:28" hidden="1">
      <c r="AB325" s="669"/>
    </row>
    <row r="326" spans="28:28" hidden="1">
      <c r="AB326" s="669"/>
    </row>
    <row r="327" spans="28:28" hidden="1">
      <c r="AB327" s="669"/>
    </row>
    <row r="328" spans="28:28" hidden="1">
      <c r="AB328" s="669"/>
    </row>
    <row r="329" spans="28:28" hidden="1">
      <c r="AB329" s="669"/>
    </row>
    <row r="330" spans="28:28" hidden="1">
      <c r="AB330" s="669"/>
    </row>
    <row r="331" spans="28:28" hidden="1">
      <c r="AB331" s="669"/>
    </row>
    <row r="332" spans="28:28" hidden="1">
      <c r="AB332" s="669"/>
    </row>
    <row r="333" spans="28:28" hidden="1">
      <c r="AB333" s="669"/>
    </row>
    <row r="334" spans="28:28" hidden="1">
      <c r="AB334" s="669"/>
    </row>
    <row r="335" spans="28:28" hidden="1">
      <c r="AB335" s="669"/>
    </row>
    <row r="336" spans="28:28" hidden="1">
      <c r="AB336" s="669"/>
    </row>
    <row r="337" spans="28:28" hidden="1">
      <c r="AB337" s="669"/>
    </row>
    <row r="338" spans="28:28" hidden="1">
      <c r="AB338" s="669"/>
    </row>
    <row r="339" spans="28:28" hidden="1">
      <c r="AB339" s="669"/>
    </row>
    <row r="340" spans="28:28" hidden="1">
      <c r="AB340" s="669"/>
    </row>
    <row r="341" spans="28:28" hidden="1">
      <c r="AB341" s="669"/>
    </row>
    <row r="342" spans="28:28" hidden="1">
      <c r="AB342" s="669"/>
    </row>
    <row r="343" spans="28:28" hidden="1">
      <c r="AB343" s="669"/>
    </row>
    <row r="344" spans="28:28" hidden="1">
      <c r="AB344" s="669"/>
    </row>
    <row r="345" spans="28:28" hidden="1">
      <c r="AB345" s="669"/>
    </row>
    <row r="346" spans="28:28" hidden="1">
      <c r="AB346" s="669"/>
    </row>
    <row r="347" spans="28:28" hidden="1">
      <c r="AB347" s="669"/>
    </row>
    <row r="348" spans="28:28" hidden="1">
      <c r="AB348" s="669"/>
    </row>
    <row r="349" spans="28:28" hidden="1">
      <c r="AB349" s="669"/>
    </row>
    <row r="350" spans="28:28" hidden="1">
      <c r="AB350" s="669"/>
    </row>
    <row r="351" spans="28:28" hidden="1">
      <c r="AB351" s="669"/>
    </row>
    <row r="352" spans="28:28" hidden="1">
      <c r="AB352" s="669"/>
    </row>
    <row r="353" spans="28:28" hidden="1">
      <c r="AB353" s="669"/>
    </row>
    <row r="354" spans="28:28" hidden="1">
      <c r="AB354" s="669"/>
    </row>
    <row r="355" spans="28:28" hidden="1">
      <c r="AB355" s="669"/>
    </row>
    <row r="356" spans="28:28" hidden="1">
      <c r="AB356" s="669"/>
    </row>
    <row r="357" spans="28:28" hidden="1">
      <c r="AB357" s="669"/>
    </row>
    <row r="358" spans="28:28" hidden="1">
      <c r="AB358" s="669"/>
    </row>
    <row r="359" spans="28:28" hidden="1">
      <c r="AB359" s="669"/>
    </row>
    <row r="360" spans="28:28" hidden="1">
      <c r="AB360" s="669"/>
    </row>
    <row r="361" spans="28:28" hidden="1">
      <c r="AB361" s="669"/>
    </row>
    <row r="362" spans="28:28" hidden="1">
      <c r="AB362" s="669"/>
    </row>
    <row r="363" spans="28:28" hidden="1">
      <c r="AB363" s="669"/>
    </row>
    <row r="364" spans="28:28" hidden="1">
      <c r="AB364" s="669"/>
    </row>
    <row r="365" spans="28:28" hidden="1">
      <c r="AB365" s="669"/>
    </row>
    <row r="366" spans="28:28" hidden="1">
      <c r="AB366" s="669"/>
    </row>
    <row r="367" spans="28:28" hidden="1">
      <c r="AB367" s="669"/>
    </row>
    <row r="368" spans="28:28" hidden="1">
      <c r="AB368" s="669"/>
    </row>
    <row r="369" spans="28:28" hidden="1">
      <c r="AB369" s="669"/>
    </row>
    <row r="370" spans="28:28" hidden="1">
      <c r="AB370" s="669"/>
    </row>
    <row r="371" spans="28:28" hidden="1">
      <c r="AB371" s="669"/>
    </row>
    <row r="372" spans="28:28" hidden="1">
      <c r="AB372" s="669"/>
    </row>
    <row r="373" spans="28:28" hidden="1">
      <c r="AB373" s="669"/>
    </row>
    <row r="374" spans="28:28" hidden="1">
      <c r="AB374" s="669"/>
    </row>
    <row r="375" spans="28:28" hidden="1">
      <c r="AB375" s="669"/>
    </row>
    <row r="376" spans="28:28" hidden="1">
      <c r="AB376" s="669"/>
    </row>
    <row r="377" spans="28:28" hidden="1">
      <c r="AB377" s="669"/>
    </row>
    <row r="378" spans="28:28" hidden="1">
      <c r="AB378" s="669"/>
    </row>
    <row r="379" spans="28:28" hidden="1">
      <c r="AB379" s="669"/>
    </row>
    <row r="380" spans="28:28" hidden="1">
      <c r="AB380" s="669"/>
    </row>
    <row r="381" spans="28:28" hidden="1">
      <c r="AB381" s="669"/>
    </row>
    <row r="382" spans="28:28" hidden="1">
      <c r="AB382" s="669"/>
    </row>
    <row r="383" spans="28:28" hidden="1">
      <c r="AB383" s="669"/>
    </row>
    <row r="384" spans="28:28" hidden="1">
      <c r="AB384" s="669"/>
    </row>
    <row r="385" spans="12:28" hidden="1">
      <c r="AB385" s="669"/>
    </row>
    <row r="386" spans="12:28" hidden="1">
      <c r="AB386" s="669"/>
    </row>
    <row r="387" spans="12:28" hidden="1">
      <c r="AB387" s="669"/>
    </row>
    <row r="388" spans="12:28" hidden="1">
      <c r="AB388" s="669"/>
    </row>
    <row r="389" spans="12:28" hidden="1">
      <c r="AB389" s="669"/>
    </row>
    <row r="390" spans="12:28" hidden="1">
      <c r="AB390" s="669"/>
    </row>
    <row r="391" spans="12:28" hidden="1">
      <c r="AB391" s="669"/>
    </row>
    <row r="392" spans="12:28" hidden="1">
      <c r="AB392" s="669"/>
    </row>
    <row r="393" spans="12:28" hidden="1">
      <c r="AB393" s="669"/>
    </row>
    <row r="394" spans="12:28" hidden="1">
      <c r="AB394" s="669"/>
    </row>
    <row r="395" spans="12:28">
      <c r="AB395" s="669"/>
    </row>
    <row r="396" spans="12:28" hidden="1">
      <c r="AB396" s="669"/>
    </row>
    <row r="397" spans="12:28" hidden="1">
      <c r="L397" s="792">
        <f>SUM(L18,L36,L95,L118,L129,L132,L183,L189,)</f>
        <v>6754.7480000000005</v>
      </c>
      <c r="M397" s="792">
        <f t="shared" ref="M397:Q397" si="250">SUM(M18,M36,M95,M118,M129,M132,M183,M189,)</f>
        <v>6582.8949999999995</v>
      </c>
      <c r="N397" s="792">
        <f t="shared" si="250"/>
        <v>-5.44512853230536E-3</v>
      </c>
      <c r="O397" s="792">
        <f t="shared" si="250"/>
        <v>7219.5275000000001</v>
      </c>
      <c r="P397" s="792">
        <f t="shared" si="250"/>
        <v>6888.8489999999993</v>
      </c>
      <c r="Q397" s="792">
        <f t="shared" si="250"/>
        <v>7725.2131749999999</v>
      </c>
      <c r="AB397" s="669"/>
    </row>
    <row r="398" spans="12:28" hidden="1">
      <c r="AB398" s="669"/>
    </row>
    <row r="399" spans="12:28" hidden="1">
      <c r="L399" s="792">
        <f>L218-L397</f>
        <v>0</v>
      </c>
      <c r="M399" s="792">
        <f t="shared" ref="M399:Q399" si="251">M218-M397</f>
        <v>-11.599999999998545</v>
      </c>
      <c r="N399" s="792">
        <f t="shared" si="251"/>
        <v>0.10426036468228418</v>
      </c>
      <c r="O399" s="792">
        <f t="shared" si="251"/>
        <v>0</v>
      </c>
      <c r="P399" s="792">
        <f t="shared" si="251"/>
        <v>-17</v>
      </c>
      <c r="Q399" s="792">
        <f t="shared" si="251"/>
        <v>0</v>
      </c>
      <c r="AB399" s="669"/>
    </row>
    <row r="400" spans="12:28" hidden="1">
      <c r="AB400" s="669"/>
    </row>
    <row r="401" spans="28:28" hidden="1">
      <c r="AB401" s="669"/>
    </row>
    <row r="402" spans="28:28">
      <c r="AB402" s="669"/>
    </row>
    <row r="403" spans="28:28">
      <c r="AB403" s="669"/>
    </row>
    <row r="404" spans="28:28">
      <c r="AB404" s="669"/>
    </row>
    <row r="405" spans="28:28">
      <c r="AB405" s="669"/>
    </row>
    <row r="406" spans="28:28">
      <c r="AB406" s="669"/>
    </row>
    <row r="407" spans="28:28">
      <c r="AB407" s="669"/>
    </row>
    <row r="408" spans="28:28">
      <c r="AB408" s="669"/>
    </row>
    <row r="409" spans="28:28">
      <c r="AB409" s="669"/>
    </row>
    <row r="410" spans="28:28">
      <c r="AB410" s="669"/>
    </row>
    <row r="411" spans="28:28">
      <c r="AB411" s="669"/>
    </row>
    <row r="412" spans="28:28">
      <c r="AB412" s="669"/>
    </row>
    <row r="413" spans="28:28">
      <c r="AB413" s="669"/>
    </row>
    <row r="414" spans="28:28">
      <c r="AB414" s="669"/>
    </row>
    <row r="415" spans="28:28">
      <c r="AB415" s="669"/>
    </row>
    <row r="416" spans="28:28">
      <c r="AB416" s="669"/>
    </row>
    <row r="417" spans="28:28">
      <c r="AB417" s="669"/>
    </row>
    <row r="418" spans="28:28">
      <c r="AB418" s="669"/>
    </row>
    <row r="419" spans="28:28">
      <c r="AB419" s="669"/>
    </row>
    <row r="420" spans="28:28">
      <c r="AB420" s="669"/>
    </row>
    <row r="421" spans="28:28">
      <c r="AB421" s="669"/>
    </row>
    <row r="422" spans="28:28">
      <c r="AB422" s="669"/>
    </row>
    <row r="423" spans="28:28">
      <c r="AB423" s="669"/>
    </row>
    <row r="424" spans="28:28">
      <c r="AB424" s="669"/>
    </row>
    <row r="425" spans="28:28">
      <c r="AB425" s="669"/>
    </row>
    <row r="426" spans="28:28">
      <c r="AB426" s="669"/>
    </row>
    <row r="427" spans="28:28">
      <c r="AB427" s="669"/>
    </row>
    <row r="428" spans="28:28">
      <c r="AB428" s="669"/>
    </row>
    <row r="429" spans="28:28">
      <c r="AB429" s="669"/>
    </row>
    <row r="430" spans="28:28">
      <c r="AB430" s="669"/>
    </row>
    <row r="431" spans="28:28">
      <c r="AB431" s="669"/>
    </row>
    <row r="432" spans="28:28">
      <c r="AB432" s="669"/>
    </row>
    <row r="433" spans="28:28">
      <c r="AB433" s="669"/>
    </row>
    <row r="434" spans="28:28">
      <c r="AB434" s="669"/>
    </row>
    <row r="435" spans="28:28">
      <c r="AB435" s="669"/>
    </row>
    <row r="436" spans="28:28">
      <c r="AB436" s="669"/>
    </row>
    <row r="437" spans="28:28">
      <c r="AB437" s="669"/>
    </row>
    <row r="438" spans="28:28">
      <c r="AB438" s="669"/>
    </row>
    <row r="439" spans="28:28">
      <c r="AB439" s="669"/>
    </row>
    <row r="440" spans="28:28">
      <c r="AB440" s="669"/>
    </row>
    <row r="441" spans="28:28">
      <c r="AB441" s="669"/>
    </row>
    <row r="442" spans="28:28">
      <c r="AB442" s="669"/>
    </row>
    <row r="443" spans="28:28">
      <c r="AB443" s="669"/>
    </row>
    <row r="444" spans="28:28">
      <c r="AB444" s="669"/>
    </row>
    <row r="445" spans="28:28">
      <c r="AB445" s="669"/>
    </row>
    <row r="446" spans="28:28">
      <c r="AB446" s="669"/>
    </row>
    <row r="447" spans="28:28">
      <c r="AB447" s="669"/>
    </row>
    <row r="448" spans="28:28">
      <c r="AB448" s="669"/>
    </row>
    <row r="449" spans="28:28">
      <c r="AB449" s="669"/>
    </row>
    <row r="450" spans="28:28">
      <c r="AB450" s="669"/>
    </row>
    <row r="451" spans="28:28">
      <c r="AB451" s="669"/>
    </row>
    <row r="452" spans="28:28">
      <c r="AB452" s="669"/>
    </row>
    <row r="453" spans="28:28">
      <c r="AB453" s="669"/>
    </row>
    <row r="454" spans="28:28">
      <c r="AB454" s="669"/>
    </row>
    <row r="455" spans="28:28">
      <c r="AB455" s="669"/>
    </row>
    <row r="456" spans="28:28">
      <c r="AB456" s="669"/>
    </row>
    <row r="457" spans="28:28">
      <c r="AB457" s="669"/>
    </row>
    <row r="458" spans="28:28">
      <c r="AB458" s="669"/>
    </row>
    <row r="459" spans="28:28">
      <c r="AB459" s="669"/>
    </row>
    <row r="460" spans="28:28">
      <c r="AB460" s="669"/>
    </row>
    <row r="461" spans="28:28">
      <c r="AB461" s="669"/>
    </row>
    <row r="462" spans="28:28">
      <c r="AB462" s="669"/>
    </row>
    <row r="463" spans="28:28">
      <c r="AB463" s="669"/>
    </row>
    <row r="464" spans="28:28">
      <c r="AB464" s="669"/>
    </row>
    <row r="465" spans="28:28">
      <c r="AB465" s="669"/>
    </row>
    <row r="466" spans="28:28">
      <c r="AB466" s="669"/>
    </row>
    <row r="467" spans="28:28">
      <c r="AB467" s="669"/>
    </row>
    <row r="468" spans="28:28">
      <c r="AB468" s="669"/>
    </row>
    <row r="469" spans="28:28">
      <c r="AB469" s="669"/>
    </row>
    <row r="470" spans="28:28">
      <c r="AB470" s="669"/>
    </row>
    <row r="471" spans="28:28">
      <c r="AB471" s="669"/>
    </row>
    <row r="472" spans="28:28">
      <c r="AB472" s="669"/>
    </row>
    <row r="473" spans="28:28">
      <c r="AB473" s="669"/>
    </row>
    <row r="474" spans="28:28">
      <c r="AB474" s="669"/>
    </row>
    <row r="475" spans="28:28">
      <c r="AB475" s="669"/>
    </row>
    <row r="476" spans="28:28">
      <c r="AB476" s="669"/>
    </row>
    <row r="477" spans="28:28">
      <c r="AB477" s="669"/>
    </row>
    <row r="478" spans="28:28">
      <c r="AB478" s="669"/>
    </row>
    <row r="479" spans="28:28">
      <c r="AB479" s="669"/>
    </row>
    <row r="480" spans="28:28">
      <c r="AB480" s="669"/>
    </row>
    <row r="481" spans="28:28">
      <c r="AB481" s="669"/>
    </row>
    <row r="482" spans="28:28">
      <c r="AB482" s="669"/>
    </row>
    <row r="483" spans="28:28">
      <c r="AB483" s="669"/>
    </row>
    <row r="484" spans="28:28">
      <c r="AB484" s="669"/>
    </row>
    <row r="485" spans="28:28">
      <c r="AB485" s="669"/>
    </row>
    <row r="486" spans="28:28">
      <c r="AB486" s="669"/>
    </row>
    <row r="487" spans="28:28">
      <c r="AB487" s="669"/>
    </row>
    <row r="488" spans="28:28">
      <c r="AB488" s="669"/>
    </row>
    <row r="489" spans="28:28">
      <c r="AB489" s="669"/>
    </row>
    <row r="490" spans="28:28">
      <c r="AB490" s="669"/>
    </row>
    <row r="491" spans="28:28">
      <c r="AB491" s="669"/>
    </row>
    <row r="492" spans="28:28">
      <c r="AB492" s="669"/>
    </row>
    <row r="493" spans="28:28">
      <c r="AB493" s="669"/>
    </row>
    <row r="494" spans="28:28">
      <c r="AB494" s="669"/>
    </row>
    <row r="495" spans="28:28">
      <c r="AB495" s="669"/>
    </row>
    <row r="496" spans="28:28">
      <c r="AB496" s="669"/>
    </row>
    <row r="497" spans="28:28">
      <c r="AB497" s="669"/>
    </row>
    <row r="498" spans="28:28">
      <c r="AB498" s="669"/>
    </row>
    <row r="499" spans="28:28">
      <c r="AB499" s="669"/>
    </row>
    <row r="500" spans="28:28">
      <c r="AB500" s="669"/>
    </row>
    <row r="501" spans="28:28">
      <c r="AB501" s="669"/>
    </row>
    <row r="502" spans="28:28">
      <c r="AB502" s="669"/>
    </row>
    <row r="503" spans="28:28">
      <c r="AB503" s="669"/>
    </row>
    <row r="504" spans="28:28">
      <c r="AB504" s="669"/>
    </row>
    <row r="505" spans="28:28">
      <c r="AB505" s="669"/>
    </row>
    <row r="506" spans="28:28">
      <c r="AB506" s="669"/>
    </row>
    <row r="507" spans="28:28">
      <c r="AB507" s="669"/>
    </row>
    <row r="508" spans="28:28">
      <c r="AB508" s="669"/>
    </row>
    <row r="509" spans="28:28">
      <c r="AB509" s="669"/>
    </row>
    <row r="510" spans="28:28">
      <c r="AB510" s="669"/>
    </row>
    <row r="511" spans="28:28">
      <c r="AB511" s="669"/>
    </row>
    <row r="512" spans="28:28">
      <c r="AB512" s="669"/>
    </row>
    <row r="513" spans="28:28">
      <c r="AB513" s="669"/>
    </row>
    <row r="514" spans="28:28">
      <c r="AB514" s="669"/>
    </row>
    <row r="515" spans="28:28">
      <c r="AB515" s="669"/>
    </row>
    <row r="516" spans="28:28">
      <c r="AB516" s="669"/>
    </row>
    <row r="517" spans="28:28">
      <c r="AB517" s="669"/>
    </row>
    <row r="518" spans="28:28">
      <c r="AB518" s="669"/>
    </row>
    <row r="519" spans="28:28">
      <c r="AB519" s="669"/>
    </row>
    <row r="520" spans="28:28">
      <c r="AB520" s="669"/>
    </row>
    <row r="521" spans="28:28">
      <c r="AB521" s="669"/>
    </row>
    <row r="522" spans="28:28">
      <c r="AB522" s="669"/>
    </row>
    <row r="523" spans="28:28">
      <c r="AB523" s="669"/>
    </row>
    <row r="524" spans="28:28">
      <c r="AB524" s="669"/>
    </row>
    <row r="525" spans="28:28">
      <c r="AB525" s="669"/>
    </row>
    <row r="526" spans="28:28">
      <c r="AB526" s="669"/>
    </row>
    <row r="527" spans="28:28">
      <c r="AB527" s="669"/>
    </row>
    <row r="528" spans="28:28">
      <c r="AB528" s="669"/>
    </row>
    <row r="529" spans="28:28">
      <c r="AB529" s="669"/>
    </row>
    <row r="530" spans="28:28">
      <c r="AB530" s="669"/>
    </row>
    <row r="531" spans="28:28">
      <c r="AB531" s="669"/>
    </row>
    <row r="532" spans="28:28">
      <c r="AB532" s="669"/>
    </row>
    <row r="533" spans="28:28">
      <c r="AB533" s="669"/>
    </row>
    <row r="534" spans="28:28">
      <c r="AB534" s="669"/>
    </row>
    <row r="535" spans="28:28">
      <c r="AB535" s="669"/>
    </row>
    <row r="536" spans="28:28">
      <c r="AB536" s="669"/>
    </row>
    <row r="537" spans="28:28">
      <c r="AB537" s="669"/>
    </row>
    <row r="538" spans="28:28">
      <c r="AB538" s="669"/>
    </row>
    <row r="539" spans="28:28">
      <c r="AB539" s="669"/>
    </row>
    <row r="540" spans="28:28">
      <c r="AB540" s="669"/>
    </row>
    <row r="541" spans="28:28">
      <c r="AB541" s="669"/>
    </row>
    <row r="542" spans="28:28">
      <c r="AB542" s="669"/>
    </row>
    <row r="543" spans="28:28">
      <c r="AB543" s="669"/>
    </row>
    <row r="544" spans="28:28">
      <c r="AB544" s="669"/>
    </row>
    <row r="545" spans="28:28">
      <c r="AB545" s="669"/>
    </row>
    <row r="546" spans="28:28">
      <c r="AB546" s="669"/>
    </row>
    <row r="547" spans="28:28">
      <c r="AB547" s="669"/>
    </row>
    <row r="548" spans="28:28">
      <c r="AB548" s="669"/>
    </row>
    <row r="549" spans="28:28">
      <c r="AB549" s="669"/>
    </row>
    <row r="550" spans="28:28">
      <c r="AB550" s="669"/>
    </row>
    <row r="551" spans="28:28">
      <c r="AB551" s="669"/>
    </row>
    <row r="552" spans="28:28">
      <c r="AB552" s="669"/>
    </row>
    <row r="553" spans="28:28">
      <c r="AB553" s="669"/>
    </row>
    <row r="554" spans="28:28">
      <c r="AB554" s="669"/>
    </row>
    <row r="555" spans="28:28">
      <c r="AB555" s="669"/>
    </row>
    <row r="556" spans="28:28">
      <c r="AB556" s="669"/>
    </row>
    <row r="557" spans="28:28">
      <c r="AB557" s="669"/>
    </row>
    <row r="558" spans="28:28">
      <c r="AB558" s="669"/>
    </row>
    <row r="559" spans="28:28">
      <c r="AB559" s="669"/>
    </row>
    <row r="560" spans="28:28">
      <c r="AB560" s="669"/>
    </row>
    <row r="561" spans="28:28">
      <c r="AB561" s="669"/>
    </row>
    <row r="562" spans="28:28">
      <c r="AB562" s="669"/>
    </row>
    <row r="563" spans="28:28">
      <c r="AB563" s="669"/>
    </row>
    <row r="564" spans="28:28">
      <c r="AB564" s="669"/>
    </row>
    <row r="565" spans="28:28">
      <c r="AB565" s="669"/>
    </row>
    <row r="566" spans="28:28">
      <c r="AB566" s="669"/>
    </row>
    <row r="567" spans="28:28">
      <c r="AB567" s="669"/>
    </row>
    <row r="568" spans="28:28">
      <c r="AB568" s="669"/>
    </row>
    <row r="569" spans="28:28">
      <c r="AB569" s="669"/>
    </row>
    <row r="570" spans="28:28">
      <c r="AB570" s="669"/>
    </row>
    <row r="571" spans="28:28">
      <c r="AB571" s="669"/>
    </row>
    <row r="572" spans="28:28">
      <c r="AB572" s="669"/>
    </row>
    <row r="573" spans="28:28">
      <c r="AB573" s="669"/>
    </row>
    <row r="574" spans="28:28">
      <c r="AB574" s="669"/>
    </row>
    <row r="575" spans="28:28">
      <c r="AB575" s="669"/>
    </row>
    <row r="576" spans="28:28">
      <c r="AB576" s="669"/>
    </row>
    <row r="577" spans="28:28">
      <c r="AB577" s="669"/>
    </row>
    <row r="578" spans="28:28">
      <c r="AB578" s="669"/>
    </row>
    <row r="579" spans="28:28">
      <c r="AB579" s="669"/>
    </row>
    <row r="580" spans="28:28">
      <c r="AB580" s="669"/>
    </row>
    <row r="581" spans="28:28">
      <c r="AB581" s="669"/>
    </row>
    <row r="582" spans="28:28">
      <c r="AB582" s="669"/>
    </row>
    <row r="583" spans="28:28">
      <c r="AB583" s="669"/>
    </row>
    <row r="584" spans="28:28">
      <c r="AB584" s="669"/>
    </row>
    <row r="585" spans="28:28">
      <c r="AB585" s="669"/>
    </row>
    <row r="586" spans="28:28">
      <c r="AB586" s="669"/>
    </row>
    <row r="587" spans="28:28">
      <c r="AB587" s="669"/>
    </row>
    <row r="588" spans="28:28">
      <c r="AB588" s="669"/>
    </row>
    <row r="589" spans="28:28">
      <c r="AB589" s="669"/>
    </row>
    <row r="590" spans="28:28">
      <c r="AB590" s="669"/>
    </row>
    <row r="591" spans="28:28">
      <c r="AB591" s="669"/>
    </row>
    <row r="592" spans="28:28">
      <c r="AB592" s="669"/>
    </row>
    <row r="593" spans="28:28">
      <c r="AB593" s="669"/>
    </row>
    <row r="594" spans="28:28">
      <c r="AB594" s="669"/>
    </row>
    <row r="595" spans="28:28">
      <c r="AB595" s="669"/>
    </row>
    <row r="596" spans="28:28">
      <c r="AB596" s="669"/>
    </row>
    <row r="597" spans="28:28">
      <c r="AB597" s="669"/>
    </row>
    <row r="598" spans="28:28">
      <c r="AB598" s="669"/>
    </row>
    <row r="599" spans="28:28">
      <c r="AB599" s="669"/>
    </row>
    <row r="600" spans="28:28">
      <c r="AB600" s="669"/>
    </row>
    <row r="601" spans="28:28">
      <c r="AB601" s="669"/>
    </row>
    <row r="602" spans="28:28">
      <c r="AB602" s="669"/>
    </row>
    <row r="603" spans="28:28">
      <c r="AB603" s="669"/>
    </row>
    <row r="604" spans="28:28">
      <c r="AB604" s="669"/>
    </row>
    <row r="605" spans="28:28">
      <c r="AB605" s="669"/>
    </row>
    <row r="606" spans="28:28">
      <c r="AB606" s="669"/>
    </row>
    <row r="607" spans="28:28">
      <c r="AB607" s="669"/>
    </row>
    <row r="608" spans="28:28">
      <c r="AB608" s="669"/>
    </row>
    <row r="609" spans="28:28">
      <c r="AB609" s="669"/>
    </row>
    <row r="610" spans="28:28">
      <c r="AB610" s="669"/>
    </row>
    <row r="611" spans="28:28">
      <c r="AB611" s="669"/>
    </row>
    <row r="612" spans="28:28">
      <c r="AB612" s="669"/>
    </row>
    <row r="613" spans="28:28">
      <c r="AB613" s="669"/>
    </row>
    <row r="614" spans="28:28">
      <c r="AB614" s="669"/>
    </row>
    <row r="615" spans="28:28">
      <c r="AB615" s="669"/>
    </row>
    <row r="616" spans="28:28">
      <c r="AB616" s="669"/>
    </row>
    <row r="617" spans="28:28">
      <c r="AB617" s="669"/>
    </row>
    <row r="618" spans="28:28">
      <c r="AB618" s="669"/>
    </row>
    <row r="619" spans="28:28">
      <c r="AB619" s="669"/>
    </row>
    <row r="620" spans="28:28">
      <c r="AB620" s="669"/>
    </row>
    <row r="621" spans="28:28">
      <c r="AB621" s="669"/>
    </row>
    <row r="622" spans="28:28">
      <c r="AB622" s="669"/>
    </row>
    <row r="623" spans="28:28">
      <c r="AB623" s="669"/>
    </row>
    <row r="624" spans="28:28">
      <c r="AB624" s="669"/>
    </row>
    <row r="625" spans="28:28">
      <c r="AB625" s="669"/>
    </row>
    <row r="626" spans="28:28">
      <c r="AB626" s="669"/>
    </row>
    <row r="627" spans="28:28">
      <c r="AB627" s="669"/>
    </row>
    <row r="628" spans="28:28">
      <c r="AB628" s="669"/>
    </row>
    <row r="629" spans="28:28">
      <c r="AB629" s="669"/>
    </row>
    <row r="630" spans="28:28">
      <c r="AB630" s="669"/>
    </row>
    <row r="631" spans="28:28">
      <c r="AB631" s="669"/>
    </row>
    <row r="632" spans="28:28">
      <c r="AB632" s="669"/>
    </row>
    <row r="633" spans="28:28">
      <c r="AB633" s="669"/>
    </row>
    <row r="634" spans="28:28">
      <c r="AB634" s="669"/>
    </row>
    <row r="635" spans="28:28">
      <c r="AB635" s="669"/>
    </row>
    <row r="636" spans="28:28">
      <c r="AB636" s="669"/>
    </row>
    <row r="637" spans="28:28">
      <c r="AB637" s="669"/>
    </row>
    <row r="638" spans="28:28">
      <c r="AB638" s="669"/>
    </row>
    <row r="639" spans="28:28">
      <c r="AB639" s="669"/>
    </row>
    <row r="640" spans="28:28">
      <c r="AB640" s="669"/>
    </row>
    <row r="641" spans="28:28">
      <c r="AB641" s="669"/>
    </row>
    <row r="642" spans="28:28">
      <c r="AB642" s="669"/>
    </row>
    <row r="643" spans="28:28">
      <c r="AB643" s="669"/>
    </row>
    <row r="644" spans="28:28">
      <c r="AB644" s="669"/>
    </row>
    <row r="645" spans="28:28">
      <c r="AB645" s="669"/>
    </row>
    <row r="646" spans="28:28">
      <c r="AB646" s="669"/>
    </row>
    <row r="647" spans="28:28">
      <c r="AB647" s="669"/>
    </row>
    <row r="648" spans="28:28">
      <c r="AB648" s="669"/>
    </row>
    <row r="649" spans="28:28">
      <c r="AB649" s="669"/>
    </row>
    <row r="650" spans="28:28">
      <c r="AB650" s="669"/>
    </row>
    <row r="651" spans="28:28">
      <c r="AB651" s="669"/>
    </row>
    <row r="652" spans="28:28">
      <c r="AB652" s="669"/>
    </row>
    <row r="653" spans="28:28">
      <c r="AB653" s="669"/>
    </row>
    <row r="654" spans="28:28">
      <c r="AB654" s="669"/>
    </row>
    <row r="655" spans="28:28">
      <c r="AB655" s="669"/>
    </row>
    <row r="656" spans="28:28">
      <c r="AB656" s="669"/>
    </row>
    <row r="657" spans="28:28">
      <c r="AB657" s="669"/>
    </row>
    <row r="658" spans="28:28">
      <c r="AB658" s="669"/>
    </row>
    <row r="659" spans="28:28">
      <c r="AB659" s="669"/>
    </row>
    <row r="660" spans="28:28">
      <c r="AB660" s="669"/>
    </row>
    <row r="661" spans="28:28">
      <c r="AB661" s="669"/>
    </row>
    <row r="662" spans="28:28">
      <c r="AB662" s="669"/>
    </row>
    <row r="663" spans="28:28">
      <c r="AB663" s="669"/>
    </row>
    <row r="664" spans="28:28">
      <c r="AB664" s="669"/>
    </row>
    <row r="665" spans="28:28">
      <c r="AB665" s="669"/>
    </row>
    <row r="666" spans="28:28">
      <c r="AB666" s="669"/>
    </row>
    <row r="667" spans="28:28">
      <c r="AB667" s="669"/>
    </row>
    <row r="668" spans="28:28">
      <c r="AB668" s="669"/>
    </row>
    <row r="669" spans="28:28">
      <c r="AB669" s="669"/>
    </row>
    <row r="670" spans="28:28">
      <c r="AB670" s="669"/>
    </row>
    <row r="671" spans="28:28">
      <c r="AB671" s="669"/>
    </row>
    <row r="672" spans="28:28">
      <c r="AB672" s="669"/>
    </row>
    <row r="673" spans="28:28">
      <c r="AB673" s="669"/>
    </row>
    <row r="674" spans="28:28">
      <c r="AB674" s="669"/>
    </row>
    <row r="675" spans="28:28">
      <c r="AB675" s="669"/>
    </row>
    <row r="676" spans="28:28">
      <c r="AB676" s="669"/>
    </row>
    <row r="677" spans="28:28">
      <c r="AB677" s="669"/>
    </row>
    <row r="678" spans="28:28">
      <c r="AB678" s="669"/>
    </row>
    <row r="679" spans="28:28">
      <c r="AB679" s="669"/>
    </row>
    <row r="680" spans="28:28">
      <c r="AB680" s="669"/>
    </row>
    <row r="681" spans="28:28">
      <c r="AB681" s="669"/>
    </row>
    <row r="682" spans="28:28">
      <c r="AB682" s="669"/>
    </row>
    <row r="683" spans="28:28">
      <c r="AB683" s="669"/>
    </row>
    <row r="684" spans="28:28">
      <c r="AB684" s="669"/>
    </row>
    <row r="685" spans="28:28">
      <c r="AB685" s="669"/>
    </row>
    <row r="686" spans="28:28">
      <c r="AB686" s="669"/>
    </row>
    <row r="687" spans="28:28">
      <c r="AB687" s="669"/>
    </row>
    <row r="688" spans="28:28">
      <c r="AB688" s="669"/>
    </row>
    <row r="689" spans="28:28">
      <c r="AB689" s="669"/>
    </row>
    <row r="690" spans="28:28">
      <c r="AB690" s="669"/>
    </row>
    <row r="691" spans="28:28">
      <c r="AB691" s="669"/>
    </row>
    <row r="692" spans="28:28">
      <c r="AB692" s="669"/>
    </row>
    <row r="693" spans="28:28">
      <c r="AB693" s="669"/>
    </row>
    <row r="694" spans="28:28">
      <c r="AB694" s="669"/>
    </row>
    <row r="695" spans="28:28">
      <c r="AB695" s="669"/>
    </row>
    <row r="696" spans="28:28">
      <c r="AB696" s="669"/>
    </row>
    <row r="697" spans="28:28">
      <c r="AB697" s="669"/>
    </row>
    <row r="698" spans="28:28">
      <c r="AB698" s="669"/>
    </row>
    <row r="699" spans="28:28">
      <c r="AB699" s="669"/>
    </row>
    <row r="700" spans="28:28">
      <c r="AB700" s="669"/>
    </row>
    <row r="701" spans="28:28">
      <c r="AB701" s="669"/>
    </row>
    <row r="702" spans="28:28">
      <c r="AB702" s="669"/>
    </row>
    <row r="703" spans="28:28">
      <c r="AB703" s="669"/>
    </row>
    <row r="704" spans="28:28">
      <c r="AB704" s="669"/>
    </row>
    <row r="705" spans="28:28">
      <c r="AB705" s="669"/>
    </row>
    <row r="706" spans="28:28">
      <c r="AB706" s="669"/>
    </row>
    <row r="707" spans="28:28">
      <c r="AB707" s="669"/>
    </row>
    <row r="708" spans="28:28">
      <c r="AB708" s="669"/>
    </row>
    <row r="709" spans="28:28">
      <c r="AB709" s="669"/>
    </row>
    <row r="710" spans="28:28">
      <c r="AB710" s="669"/>
    </row>
    <row r="711" spans="28:28">
      <c r="AB711" s="669"/>
    </row>
    <row r="712" spans="28:28">
      <c r="AB712" s="669"/>
    </row>
    <row r="713" spans="28:28">
      <c r="AB713" s="669"/>
    </row>
    <row r="714" spans="28:28">
      <c r="AB714" s="669"/>
    </row>
    <row r="715" spans="28:28">
      <c r="AB715" s="669"/>
    </row>
    <row r="716" spans="28:28">
      <c r="AB716" s="669"/>
    </row>
    <row r="717" spans="28:28">
      <c r="AB717" s="669"/>
    </row>
    <row r="718" spans="28:28">
      <c r="AB718" s="669"/>
    </row>
    <row r="719" spans="28:28">
      <c r="AB719" s="669"/>
    </row>
    <row r="720" spans="28:28">
      <c r="AB720" s="669"/>
    </row>
    <row r="721" spans="28:28">
      <c r="AB721" s="669"/>
    </row>
    <row r="722" spans="28:28">
      <c r="AB722" s="669"/>
    </row>
    <row r="723" spans="28:28">
      <c r="AB723" s="669"/>
    </row>
    <row r="724" spans="28:28">
      <c r="AB724" s="669"/>
    </row>
    <row r="725" spans="28:28">
      <c r="AB725" s="669"/>
    </row>
    <row r="726" spans="28:28">
      <c r="AB726" s="669"/>
    </row>
    <row r="727" spans="28:28">
      <c r="AB727" s="669"/>
    </row>
    <row r="728" spans="28:28">
      <c r="AB728" s="669"/>
    </row>
    <row r="729" spans="28:28">
      <c r="AB729" s="669"/>
    </row>
    <row r="730" spans="28:28">
      <c r="AB730" s="669"/>
    </row>
    <row r="731" spans="28:28">
      <c r="AB731" s="669"/>
    </row>
    <row r="732" spans="28:28">
      <c r="AB732" s="669"/>
    </row>
    <row r="733" spans="28:28">
      <c r="AB733" s="669"/>
    </row>
    <row r="734" spans="28:28">
      <c r="AB734" s="669"/>
    </row>
    <row r="735" spans="28:28">
      <c r="AB735" s="669"/>
    </row>
    <row r="736" spans="28:28">
      <c r="AB736" s="669"/>
    </row>
    <row r="737" spans="28:28">
      <c r="AB737" s="669"/>
    </row>
    <row r="738" spans="28:28">
      <c r="AB738" s="669"/>
    </row>
    <row r="739" spans="28:28">
      <c r="AB739" s="669"/>
    </row>
    <row r="740" spans="28:28">
      <c r="AB740" s="669"/>
    </row>
    <row r="741" spans="28:28">
      <c r="AB741" s="669"/>
    </row>
    <row r="742" spans="28:28">
      <c r="AB742" s="669"/>
    </row>
    <row r="743" spans="28:28">
      <c r="AB743" s="669"/>
    </row>
    <row r="744" spans="28:28">
      <c r="AB744" s="669"/>
    </row>
    <row r="745" spans="28:28">
      <c r="AB745" s="669"/>
    </row>
    <row r="746" spans="28:28">
      <c r="AB746" s="669"/>
    </row>
    <row r="747" spans="28:28">
      <c r="AB747" s="669"/>
    </row>
    <row r="748" spans="28:28">
      <c r="AB748" s="669"/>
    </row>
    <row r="749" spans="28:28">
      <c r="AB749" s="669"/>
    </row>
    <row r="750" spans="28:28">
      <c r="AB750" s="669"/>
    </row>
    <row r="751" spans="28:28">
      <c r="AB751" s="669"/>
    </row>
    <row r="752" spans="28:28">
      <c r="AB752" s="669"/>
    </row>
    <row r="753" spans="28:28">
      <c r="AB753" s="669"/>
    </row>
    <row r="754" spans="28:28">
      <c r="AB754" s="669"/>
    </row>
    <row r="755" spans="28:28">
      <c r="AB755" s="669"/>
    </row>
    <row r="756" spans="28:28">
      <c r="AB756" s="669"/>
    </row>
    <row r="757" spans="28:28">
      <c r="AB757" s="669"/>
    </row>
    <row r="758" spans="28:28">
      <c r="AB758" s="669"/>
    </row>
    <row r="759" spans="28:28">
      <c r="AB759" s="669"/>
    </row>
    <row r="760" spans="28:28">
      <c r="AB760" s="669"/>
    </row>
    <row r="761" spans="28:28">
      <c r="AB761" s="669"/>
    </row>
    <row r="762" spans="28:28">
      <c r="AB762" s="669"/>
    </row>
    <row r="763" spans="28:28">
      <c r="AB763" s="669"/>
    </row>
    <row r="764" spans="28:28">
      <c r="AB764" s="669"/>
    </row>
    <row r="765" spans="28:28">
      <c r="AB765" s="669"/>
    </row>
    <row r="766" spans="28:28">
      <c r="AB766" s="669"/>
    </row>
    <row r="767" spans="28:28">
      <c r="AB767" s="669"/>
    </row>
    <row r="768" spans="28:28">
      <c r="AB768" s="669"/>
    </row>
    <row r="769" spans="28:28">
      <c r="AB769" s="669"/>
    </row>
    <row r="770" spans="28:28">
      <c r="AB770" s="669"/>
    </row>
    <row r="771" spans="28:28">
      <c r="AB771" s="669"/>
    </row>
    <row r="772" spans="28:28">
      <c r="AB772" s="669"/>
    </row>
    <row r="773" spans="28:28">
      <c r="AB773" s="669"/>
    </row>
    <row r="774" spans="28:28">
      <c r="AB774" s="669"/>
    </row>
    <row r="775" spans="28:28">
      <c r="AB775" s="669"/>
    </row>
    <row r="776" spans="28:28">
      <c r="AB776" s="669"/>
    </row>
    <row r="777" spans="28:28">
      <c r="AB777" s="669"/>
    </row>
    <row r="778" spans="28:28">
      <c r="AB778" s="669"/>
    </row>
    <row r="779" spans="28:28">
      <c r="AB779" s="669"/>
    </row>
    <row r="780" spans="28:28">
      <c r="AB780" s="669"/>
    </row>
    <row r="781" spans="28:28">
      <c r="AB781" s="669"/>
    </row>
    <row r="782" spans="28:28">
      <c r="AB782" s="669"/>
    </row>
    <row r="783" spans="28:28">
      <c r="AB783" s="669"/>
    </row>
    <row r="784" spans="28:28">
      <c r="AB784" s="669"/>
    </row>
    <row r="785" spans="28:28">
      <c r="AB785" s="669"/>
    </row>
    <row r="786" spans="28:28">
      <c r="AB786" s="669"/>
    </row>
    <row r="787" spans="28:28">
      <c r="AB787" s="669"/>
    </row>
    <row r="788" spans="28:28">
      <c r="AB788" s="669"/>
    </row>
    <row r="789" spans="28:28">
      <c r="AB789" s="669"/>
    </row>
    <row r="790" spans="28:28">
      <c r="AB790" s="669"/>
    </row>
    <row r="791" spans="28:28">
      <c r="AB791" s="669"/>
    </row>
    <row r="792" spans="28:28">
      <c r="AB792" s="669"/>
    </row>
    <row r="793" spans="28:28">
      <c r="AB793" s="669"/>
    </row>
    <row r="794" spans="28:28">
      <c r="AB794" s="669"/>
    </row>
    <row r="795" spans="28:28">
      <c r="AB795" s="669"/>
    </row>
    <row r="796" spans="28:28">
      <c r="AB796" s="669"/>
    </row>
    <row r="797" spans="28:28">
      <c r="AB797" s="669"/>
    </row>
    <row r="798" spans="28:28">
      <c r="AB798" s="669"/>
    </row>
    <row r="799" spans="28:28">
      <c r="AB799" s="669"/>
    </row>
    <row r="800" spans="28:28">
      <c r="AB800" s="669"/>
    </row>
    <row r="801" spans="28:28">
      <c r="AB801" s="669"/>
    </row>
    <row r="802" spans="28:28">
      <c r="AB802" s="669"/>
    </row>
    <row r="803" spans="28:28">
      <c r="AB803" s="669"/>
    </row>
    <row r="804" spans="28:28">
      <c r="AB804" s="669"/>
    </row>
    <row r="805" spans="28:28">
      <c r="AB805" s="669"/>
    </row>
    <row r="806" spans="28:28">
      <c r="AB806" s="669"/>
    </row>
    <row r="807" spans="28:28">
      <c r="AB807" s="669"/>
    </row>
    <row r="808" spans="28:28">
      <c r="AB808" s="669"/>
    </row>
    <row r="809" spans="28:28">
      <c r="AB809" s="669"/>
    </row>
    <row r="810" spans="28:28">
      <c r="AB810" s="669"/>
    </row>
    <row r="811" spans="28:28">
      <c r="AB811" s="669"/>
    </row>
    <row r="812" spans="28:28">
      <c r="AB812" s="669"/>
    </row>
    <row r="813" spans="28:28">
      <c r="AB813" s="669"/>
    </row>
    <row r="814" spans="28:28">
      <c r="AB814" s="669"/>
    </row>
    <row r="815" spans="28:28">
      <c r="AB815" s="669"/>
    </row>
    <row r="816" spans="28:28">
      <c r="AB816" s="669"/>
    </row>
    <row r="817" spans="28:28">
      <c r="AB817" s="669"/>
    </row>
    <row r="818" spans="28:28">
      <c r="AB818" s="669"/>
    </row>
    <row r="819" spans="28:28">
      <c r="AB819" s="669"/>
    </row>
    <row r="820" spans="28:28">
      <c r="AB820" s="669"/>
    </row>
    <row r="821" spans="28:28">
      <c r="AB821" s="669"/>
    </row>
    <row r="822" spans="28:28">
      <c r="AB822" s="669"/>
    </row>
    <row r="823" spans="28:28">
      <c r="AB823" s="669"/>
    </row>
    <row r="824" spans="28:28">
      <c r="AB824" s="669"/>
    </row>
    <row r="825" spans="28:28">
      <c r="AB825" s="669"/>
    </row>
    <row r="826" spans="28:28">
      <c r="AB826" s="669"/>
    </row>
    <row r="827" spans="28:28">
      <c r="AB827" s="669"/>
    </row>
    <row r="828" spans="28:28">
      <c r="AB828" s="669"/>
    </row>
    <row r="829" spans="28:28">
      <c r="AB829" s="669"/>
    </row>
    <row r="830" spans="28:28">
      <c r="AB830" s="669"/>
    </row>
    <row r="831" spans="28:28">
      <c r="AB831" s="669"/>
    </row>
    <row r="832" spans="28:28">
      <c r="AB832" s="669"/>
    </row>
    <row r="833" spans="28:28">
      <c r="AB833" s="669"/>
    </row>
    <row r="834" spans="28:28">
      <c r="AB834" s="669"/>
    </row>
    <row r="835" spans="28:28">
      <c r="AB835" s="669"/>
    </row>
    <row r="836" spans="28:28">
      <c r="AB836" s="669"/>
    </row>
    <row r="837" spans="28:28">
      <c r="AB837" s="669"/>
    </row>
    <row r="838" spans="28:28">
      <c r="AB838" s="669"/>
    </row>
    <row r="839" spans="28:28">
      <c r="AB839" s="669"/>
    </row>
    <row r="840" spans="28:28">
      <c r="AB840" s="669"/>
    </row>
    <row r="841" spans="28:28">
      <c r="AB841" s="669"/>
    </row>
    <row r="842" spans="28:28">
      <c r="AB842" s="669"/>
    </row>
    <row r="843" spans="28:28">
      <c r="AB843" s="669"/>
    </row>
    <row r="844" spans="28:28">
      <c r="AB844" s="669"/>
    </row>
    <row r="845" spans="28:28">
      <c r="AB845" s="669"/>
    </row>
    <row r="846" spans="28:28">
      <c r="AB846" s="669"/>
    </row>
    <row r="847" spans="28:28">
      <c r="AB847" s="669"/>
    </row>
    <row r="848" spans="28:28">
      <c r="AB848" s="669"/>
    </row>
    <row r="849" spans="28:28">
      <c r="AB849" s="669"/>
    </row>
    <row r="850" spans="28:28">
      <c r="AB850" s="669"/>
    </row>
    <row r="851" spans="28:28">
      <c r="AB851" s="669"/>
    </row>
    <row r="852" spans="28:28">
      <c r="AB852" s="669"/>
    </row>
    <row r="853" spans="28:28">
      <c r="AB853" s="669"/>
    </row>
    <row r="854" spans="28:28">
      <c r="AB854" s="669"/>
    </row>
    <row r="855" spans="28:28">
      <c r="AB855" s="669"/>
    </row>
    <row r="856" spans="28:28">
      <c r="AB856" s="669"/>
    </row>
    <row r="857" spans="28:28">
      <c r="AB857" s="669"/>
    </row>
    <row r="858" spans="28:28">
      <c r="AB858" s="669"/>
    </row>
    <row r="859" spans="28:28">
      <c r="AB859" s="669"/>
    </row>
    <row r="860" spans="28:28">
      <c r="AB860" s="669"/>
    </row>
    <row r="861" spans="28:28">
      <c r="AB861" s="669"/>
    </row>
    <row r="862" spans="28:28">
      <c r="AB862" s="669"/>
    </row>
    <row r="863" spans="28:28">
      <c r="AB863" s="669"/>
    </row>
    <row r="864" spans="28:28">
      <c r="AB864" s="669"/>
    </row>
    <row r="865" spans="28:28">
      <c r="AB865" s="669"/>
    </row>
    <row r="866" spans="28:28">
      <c r="AB866" s="669"/>
    </row>
    <row r="867" spans="28:28">
      <c r="AB867" s="669"/>
    </row>
    <row r="868" spans="28:28">
      <c r="AB868" s="669"/>
    </row>
    <row r="869" spans="28:28">
      <c r="AB869" s="669"/>
    </row>
    <row r="870" spans="28:28">
      <c r="AB870" s="669"/>
    </row>
    <row r="871" spans="28:28">
      <c r="AB871" s="669"/>
    </row>
    <row r="872" spans="28:28">
      <c r="AB872" s="669"/>
    </row>
    <row r="873" spans="28:28">
      <c r="AB873" s="669"/>
    </row>
    <row r="874" spans="28:28">
      <c r="AB874" s="669"/>
    </row>
    <row r="875" spans="28:28">
      <c r="AB875" s="669"/>
    </row>
    <row r="876" spans="28:28">
      <c r="AB876" s="669"/>
    </row>
    <row r="877" spans="28:28">
      <c r="AB877" s="669"/>
    </row>
    <row r="878" spans="28:28">
      <c r="AB878" s="669"/>
    </row>
    <row r="879" spans="28:28">
      <c r="AB879" s="669"/>
    </row>
    <row r="880" spans="28:28">
      <c r="AB880" s="669"/>
    </row>
    <row r="881" spans="28:28">
      <c r="AB881" s="669"/>
    </row>
    <row r="882" spans="28:28">
      <c r="AB882" s="669"/>
    </row>
    <row r="883" spans="28:28">
      <c r="AB883" s="669"/>
    </row>
    <row r="884" spans="28:28">
      <c r="AB884" s="669"/>
    </row>
    <row r="885" spans="28:28">
      <c r="AB885" s="669"/>
    </row>
    <row r="886" spans="28:28">
      <c r="AB886" s="669"/>
    </row>
    <row r="887" spans="28:28">
      <c r="AB887" s="669"/>
    </row>
    <row r="888" spans="28:28">
      <c r="AB888" s="669"/>
    </row>
    <row r="889" spans="28:28">
      <c r="AB889" s="669"/>
    </row>
    <row r="890" spans="28:28">
      <c r="AB890" s="669"/>
    </row>
    <row r="891" spans="28:28">
      <c r="AB891" s="669"/>
    </row>
    <row r="892" spans="28:28">
      <c r="AB892" s="669"/>
    </row>
    <row r="893" spans="28:28">
      <c r="AB893" s="669"/>
    </row>
    <row r="894" spans="28:28">
      <c r="AB894" s="669"/>
    </row>
    <row r="895" spans="28:28">
      <c r="AB895" s="669"/>
    </row>
    <row r="896" spans="28:28">
      <c r="AB896" s="669"/>
    </row>
    <row r="897" spans="28:28">
      <c r="AB897" s="669"/>
    </row>
    <row r="898" spans="28:28">
      <c r="AB898" s="669"/>
    </row>
    <row r="899" spans="28:28">
      <c r="AB899" s="669"/>
    </row>
    <row r="900" spans="28:28">
      <c r="AB900" s="669"/>
    </row>
    <row r="901" spans="28:28">
      <c r="AB901" s="669"/>
    </row>
    <row r="902" spans="28:28">
      <c r="AB902" s="669"/>
    </row>
    <row r="903" spans="28:28">
      <c r="AB903" s="669"/>
    </row>
    <row r="904" spans="28:28">
      <c r="AB904" s="669"/>
    </row>
    <row r="905" spans="28:28">
      <c r="AB905" s="669"/>
    </row>
    <row r="906" spans="28:28">
      <c r="AB906" s="669"/>
    </row>
    <row r="907" spans="28:28">
      <c r="AB907" s="669"/>
    </row>
    <row r="908" spans="28:28">
      <c r="AB908" s="669"/>
    </row>
    <row r="909" spans="28:28">
      <c r="AB909" s="669"/>
    </row>
    <row r="910" spans="28:28">
      <c r="AB910" s="669"/>
    </row>
    <row r="911" spans="28:28">
      <c r="AB911" s="669"/>
    </row>
    <row r="912" spans="28:28">
      <c r="AB912" s="669"/>
    </row>
    <row r="913" spans="28:28">
      <c r="AB913" s="669"/>
    </row>
    <row r="914" spans="28:28">
      <c r="AB914" s="669"/>
    </row>
    <row r="915" spans="28:28">
      <c r="AB915" s="669"/>
    </row>
    <row r="916" spans="28:28">
      <c r="AB916" s="669"/>
    </row>
    <row r="917" spans="28:28">
      <c r="AB917" s="669"/>
    </row>
    <row r="918" spans="28:28">
      <c r="AB918" s="669"/>
    </row>
    <row r="919" spans="28:28">
      <c r="AB919" s="669"/>
    </row>
    <row r="920" spans="28:28">
      <c r="AB920" s="669"/>
    </row>
    <row r="921" spans="28:28">
      <c r="AB921" s="669"/>
    </row>
    <row r="922" spans="28:28">
      <c r="AB922" s="669"/>
    </row>
    <row r="923" spans="28:28">
      <c r="AB923" s="669"/>
    </row>
    <row r="924" spans="28:28">
      <c r="AB924" s="669"/>
    </row>
    <row r="925" spans="28:28">
      <c r="AB925" s="669"/>
    </row>
    <row r="926" spans="28:28">
      <c r="AB926" s="669"/>
    </row>
    <row r="927" spans="28:28">
      <c r="AB927" s="669"/>
    </row>
    <row r="928" spans="28:28">
      <c r="AB928" s="669"/>
    </row>
    <row r="929" spans="28:28">
      <c r="AB929" s="669"/>
    </row>
    <row r="930" spans="28:28">
      <c r="AB930" s="669"/>
    </row>
    <row r="931" spans="28:28">
      <c r="AB931" s="669"/>
    </row>
    <row r="932" spans="28:28">
      <c r="AB932" s="669"/>
    </row>
    <row r="933" spans="28:28">
      <c r="AB933" s="669"/>
    </row>
    <row r="934" spans="28:28">
      <c r="AB934" s="669"/>
    </row>
    <row r="935" spans="28:28">
      <c r="AB935" s="669"/>
    </row>
    <row r="936" spans="28:28">
      <c r="AB936" s="669"/>
    </row>
    <row r="937" spans="28:28">
      <c r="AB937" s="669"/>
    </row>
    <row r="938" spans="28:28">
      <c r="AB938" s="669"/>
    </row>
    <row r="939" spans="28:28">
      <c r="AB939" s="669"/>
    </row>
    <row r="940" spans="28:28">
      <c r="AB940" s="669"/>
    </row>
    <row r="941" spans="28:28">
      <c r="AB941" s="669"/>
    </row>
    <row r="942" spans="28:28">
      <c r="AB942" s="669"/>
    </row>
    <row r="943" spans="28:28">
      <c r="AB943" s="669"/>
    </row>
    <row r="944" spans="28:28">
      <c r="AB944" s="669"/>
    </row>
    <row r="945" spans="28:28">
      <c r="AB945" s="669"/>
    </row>
    <row r="946" spans="28:28">
      <c r="AB946" s="669"/>
    </row>
    <row r="947" spans="28:28">
      <c r="AB947" s="669"/>
    </row>
    <row r="948" spans="28:28">
      <c r="AB948" s="669"/>
    </row>
    <row r="949" spans="28:28">
      <c r="AB949" s="669"/>
    </row>
    <row r="950" spans="28:28">
      <c r="AB950" s="669"/>
    </row>
    <row r="951" spans="28:28">
      <c r="AB951" s="669"/>
    </row>
    <row r="952" spans="28:28">
      <c r="AB952" s="669"/>
    </row>
    <row r="953" spans="28:28">
      <c r="AB953" s="669"/>
    </row>
    <row r="954" spans="28:28">
      <c r="AB954" s="669"/>
    </row>
    <row r="955" spans="28:28">
      <c r="AB955" s="669"/>
    </row>
    <row r="956" spans="28:28">
      <c r="AB956" s="669"/>
    </row>
    <row r="957" spans="28:28">
      <c r="AB957" s="669"/>
    </row>
    <row r="958" spans="28:28">
      <c r="AB958" s="669"/>
    </row>
    <row r="959" spans="28:28">
      <c r="AB959" s="669"/>
    </row>
    <row r="960" spans="28:28">
      <c r="AB960" s="669"/>
    </row>
    <row r="961" spans="28:28">
      <c r="AB961" s="669"/>
    </row>
    <row r="962" spans="28:28">
      <c r="AB962" s="669"/>
    </row>
    <row r="963" spans="28:28">
      <c r="AB963" s="669"/>
    </row>
    <row r="964" spans="28:28">
      <c r="AB964" s="669"/>
    </row>
    <row r="965" spans="28:28">
      <c r="AB965" s="669"/>
    </row>
    <row r="966" spans="28:28">
      <c r="AB966" s="669"/>
    </row>
    <row r="967" spans="28:28">
      <c r="AB967" s="669"/>
    </row>
    <row r="968" spans="28:28">
      <c r="AB968" s="669"/>
    </row>
    <row r="969" spans="28:28">
      <c r="AB969" s="669"/>
    </row>
    <row r="970" spans="28:28">
      <c r="AB970" s="669"/>
    </row>
    <row r="971" spans="28:28">
      <c r="AB971" s="669"/>
    </row>
    <row r="972" spans="28:28">
      <c r="AB972" s="669"/>
    </row>
    <row r="973" spans="28:28">
      <c r="AB973" s="669"/>
    </row>
    <row r="974" spans="28:28">
      <c r="AB974" s="669"/>
    </row>
    <row r="975" spans="28:28">
      <c r="AB975" s="669"/>
    </row>
    <row r="976" spans="28:28">
      <c r="AB976" s="669"/>
    </row>
    <row r="977" spans="28:28">
      <c r="AB977" s="669"/>
    </row>
    <row r="978" spans="28:28">
      <c r="AB978" s="669"/>
    </row>
    <row r="979" spans="28:28">
      <c r="AB979" s="669"/>
    </row>
    <row r="980" spans="28:28">
      <c r="AB980" s="669"/>
    </row>
    <row r="981" spans="28:28">
      <c r="AB981" s="669"/>
    </row>
    <row r="982" spans="28:28">
      <c r="AB982" s="669"/>
    </row>
    <row r="983" spans="28:28">
      <c r="AB983" s="669"/>
    </row>
    <row r="984" spans="28:28">
      <c r="AB984" s="669"/>
    </row>
    <row r="985" spans="28:28">
      <c r="AB985" s="669"/>
    </row>
    <row r="986" spans="28:28">
      <c r="AB986" s="669"/>
    </row>
    <row r="987" spans="28:28">
      <c r="AB987" s="669"/>
    </row>
    <row r="988" spans="28:28">
      <c r="AB988" s="669"/>
    </row>
    <row r="989" spans="28:28">
      <c r="AB989" s="669"/>
    </row>
    <row r="990" spans="28:28">
      <c r="AB990" s="669"/>
    </row>
    <row r="991" spans="28:28">
      <c r="AB991" s="669"/>
    </row>
    <row r="992" spans="28:28">
      <c r="AB992" s="669"/>
    </row>
    <row r="993" spans="28:28">
      <c r="AB993" s="669"/>
    </row>
    <row r="994" spans="28:28">
      <c r="AB994" s="669"/>
    </row>
    <row r="995" spans="28:28">
      <c r="AB995" s="669"/>
    </row>
    <row r="996" spans="28:28">
      <c r="AB996" s="669"/>
    </row>
    <row r="997" spans="28:28">
      <c r="AB997" s="669"/>
    </row>
    <row r="998" spans="28:28">
      <c r="AB998" s="669"/>
    </row>
    <row r="999" spans="28:28">
      <c r="AB999" s="669"/>
    </row>
    <row r="1000" spans="28:28">
      <c r="AB1000" s="669"/>
    </row>
    <row r="1001" spans="28:28">
      <c r="AB1001" s="669"/>
    </row>
    <row r="1002" spans="28:28">
      <c r="AB1002" s="669"/>
    </row>
    <row r="1003" spans="28:28">
      <c r="AB1003" s="669"/>
    </row>
    <row r="1004" spans="28:28">
      <c r="AB1004" s="669"/>
    </row>
    <row r="1005" spans="28:28">
      <c r="AB1005" s="669"/>
    </row>
    <row r="1006" spans="28:28">
      <c r="AB1006" s="669"/>
    </row>
    <row r="1007" spans="28:28">
      <c r="AB1007" s="669"/>
    </row>
    <row r="1008" spans="28:28">
      <c r="AB1008" s="669"/>
    </row>
    <row r="1009" spans="28:28">
      <c r="AB1009" s="669"/>
    </row>
    <row r="1010" spans="28:28">
      <c r="AB1010" s="669"/>
    </row>
    <row r="1011" spans="28:28">
      <c r="AB1011" s="669"/>
    </row>
    <row r="1012" spans="28:28">
      <c r="AB1012" s="669"/>
    </row>
    <row r="1013" spans="28:28">
      <c r="AB1013" s="669"/>
    </row>
    <row r="1014" spans="28:28">
      <c r="AB1014" s="669"/>
    </row>
    <row r="1015" spans="28:28">
      <c r="AB1015" s="669"/>
    </row>
    <row r="1016" spans="28:28">
      <c r="AB1016" s="669"/>
    </row>
    <row r="1017" spans="28:28">
      <c r="AB1017" s="669"/>
    </row>
    <row r="1018" spans="28:28">
      <c r="AB1018" s="669"/>
    </row>
    <row r="1019" spans="28:28">
      <c r="AB1019" s="669"/>
    </row>
    <row r="1020" spans="28:28">
      <c r="AB1020" s="669"/>
    </row>
    <row r="1021" spans="28:28">
      <c r="AB1021" s="669"/>
    </row>
    <row r="1022" spans="28:28">
      <c r="AB1022" s="669"/>
    </row>
    <row r="1023" spans="28:28">
      <c r="AB1023" s="669"/>
    </row>
    <row r="1024" spans="28:28">
      <c r="AB1024" s="669"/>
    </row>
    <row r="1025" spans="28:28">
      <c r="AB1025" s="669"/>
    </row>
    <row r="1026" spans="28:28">
      <c r="AB1026" s="669"/>
    </row>
    <row r="1027" spans="28:28">
      <c r="AB1027" s="669"/>
    </row>
    <row r="1028" spans="28:28">
      <c r="AB1028" s="669"/>
    </row>
    <row r="1029" spans="28:28">
      <c r="AB1029" s="669"/>
    </row>
    <row r="1030" spans="28:28">
      <c r="AB1030" s="669"/>
    </row>
    <row r="1031" spans="28:28">
      <c r="AB1031" s="669"/>
    </row>
    <row r="1032" spans="28:28">
      <c r="AB1032" s="669"/>
    </row>
    <row r="1033" spans="28:28">
      <c r="AB1033" s="669"/>
    </row>
    <row r="1034" spans="28:28">
      <c r="AB1034" s="669"/>
    </row>
    <row r="1035" spans="28:28">
      <c r="AB1035" s="669"/>
    </row>
    <row r="1036" spans="28:28">
      <c r="AB1036" s="669"/>
    </row>
    <row r="1037" spans="28:28">
      <c r="AB1037" s="669"/>
    </row>
    <row r="1038" spans="28:28">
      <c r="AB1038" s="669"/>
    </row>
    <row r="1039" spans="28:28">
      <c r="AB1039" s="669"/>
    </row>
    <row r="1040" spans="28:28">
      <c r="AB1040" s="669"/>
    </row>
    <row r="1041" spans="28:28">
      <c r="AB1041" s="669"/>
    </row>
    <row r="1042" spans="28:28">
      <c r="AB1042" s="669"/>
    </row>
    <row r="1043" spans="28:28">
      <c r="AB1043" s="669"/>
    </row>
    <row r="1044" spans="28:28">
      <c r="AB1044" s="669"/>
    </row>
    <row r="1045" spans="28:28">
      <c r="AB1045" s="669"/>
    </row>
    <row r="1046" spans="28:28">
      <c r="AB1046" s="669"/>
    </row>
    <row r="1047" spans="28:28">
      <c r="AB1047" s="669"/>
    </row>
    <row r="1048" spans="28:28">
      <c r="AB1048" s="669"/>
    </row>
    <row r="1049" spans="28:28">
      <c r="AB1049" s="669"/>
    </row>
    <row r="1050" spans="28:28">
      <c r="AB1050" s="669"/>
    </row>
    <row r="1051" spans="28:28">
      <c r="AB1051" s="669"/>
    </row>
    <row r="1052" spans="28:28">
      <c r="AB1052" s="669"/>
    </row>
    <row r="1053" spans="28:28">
      <c r="AB1053" s="669"/>
    </row>
    <row r="1054" spans="28:28">
      <c r="AB1054" s="669"/>
    </row>
    <row r="1055" spans="28:28">
      <c r="AB1055" s="669"/>
    </row>
    <row r="1056" spans="28:28">
      <c r="AB1056" s="669"/>
    </row>
    <row r="1057" spans="28:28">
      <c r="AB1057" s="669"/>
    </row>
    <row r="1058" spans="28:28">
      <c r="AB1058" s="669"/>
    </row>
    <row r="1059" spans="28:28">
      <c r="AB1059" s="669"/>
    </row>
    <row r="1060" spans="28:28">
      <c r="AB1060" s="669"/>
    </row>
    <row r="1061" spans="28:28">
      <c r="AB1061" s="669"/>
    </row>
    <row r="1062" spans="28:28">
      <c r="AB1062" s="669"/>
    </row>
    <row r="1063" spans="28:28">
      <c r="AB1063" s="669"/>
    </row>
    <row r="1064" spans="28:28">
      <c r="AB1064" s="669"/>
    </row>
    <row r="1065" spans="28:28">
      <c r="AB1065" s="669"/>
    </row>
    <row r="1066" spans="28:28">
      <c r="AB1066" s="669"/>
    </row>
    <row r="1067" spans="28:28">
      <c r="AB1067" s="669"/>
    </row>
    <row r="1068" spans="28:28">
      <c r="AB1068" s="669"/>
    </row>
    <row r="1069" spans="28:28">
      <c r="AB1069" s="669"/>
    </row>
    <row r="1070" spans="28:28">
      <c r="AB1070" s="669"/>
    </row>
    <row r="1071" spans="28:28">
      <c r="AB1071" s="669"/>
    </row>
    <row r="1072" spans="28:28">
      <c r="AB1072" s="669"/>
    </row>
    <row r="1073" spans="28:28">
      <c r="AB1073" s="669"/>
    </row>
    <row r="1074" spans="28:28">
      <c r="AB1074" s="669"/>
    </row>
    <row r="1075" spans="28:28">
      <c r="AB1075" s="669"/>
    </row>
    <row r="1076" spans="28:28">
      <c r="AB1076" s="669"/>
    </row>
    <row r="1077" spans="28:28">
      <c r="AB1077" s="669"/>
    </row>
    <row r="1078" spans="28:28">
      <c r="AB1078" s="669"/>
    </row>
    <row r="1079" spans="28:28">
      <c r="AB1079" s="669"/>
    </row>
    <row r="1080" spans="28:28">
      <c r="AB1080" s="669"/>
    </row>
    <row r="1081" spans="28:28">
      <c r="AB1081" s="669"/>
    </row>
    <row r="1082" spans="28:28">
      <c r="AB1082" s="669"/>
    </row>
    <row r="1083" spans="28:28">
      <c r="AB1083" s="669"/>
    </row>
    <row r="1084" spans="28:28">
      <c r="AB1084" s="669"/>
    </row>
    <row r="1085" spans="28:28">
      <c r="AB1085" s="669"/>
    </row>
    <row r="1086" spans="28:28">
      <c r="AB1086" s="669"/>
    </row>
    <row r="1087" spans="28:28">
      <c r="AB1087" s="669"/>
    </row>
    <row r="1088" spans="28:28">
      <c r="AB1088" s="669"/>
    </row>
    <row r="1089" spans="28:28">
      <c r="AB1089" s="669"/>
    </row>
    <row r="1090" spans="28:28">
      <c r="AB1090" s="669"/>
    </row>
    <row r="1091" spans="28:28">
      <c r="AB1091" s="669"/>
    </row>
    <row r="1092" spans="28:28">
      <c r="AB1092" s="669"/>
    </row>
    <row r="1093" spans="28:28">
      <c r="AB1093" s="669"/>
    </row>
    <row r="1094" spans="28:28">
      <c r="AB1094" s="669"/>
    </row>
    <row r="1095" spans="28:28">
      <c r="AB1095" s="669"/>
    </row>
    <row r="1096" spans="28:28">
      <c r="AB1096" s="669"/>
    </row>
    <row r="1097" spans="28:28">
      <c r="AB1097" s="669"/>
    </row>
    <row r="1098" spans="28:28">
      <c r="AB1098" s="669"/>
    </row>
    <row r="1099" spans="28:28">
      <c r="AB1099" s="669"/>
    </row>
    <row r="1100" spans="28:28">
      <c r="AB1100" s="669"/>
    </row>
    <row r="1101" spans="28:28">
      <c r="AB1101" s="669"/>
    </row>
    <row r="1102" spans="28:28">
      <c r="AB1102" s="669"/>
    </row>
    <row r="1103" spans="28:28">
      <c r="AB1103" s="669"/>
    </row>
    <row r="1104" spans="28:28">
      <c r="AB1104" s="669"/>
    </row>
    <row r="1105" spans="28:28">
      <c r="AB1105" s="669"/>
    </row>
    <row r="1106" spans="28:28">
      <c r="AB1106" s="669"/>
    </row>
    <row r="1107" spans="28:28">
      <c r="AB1107" s="669"/>
    </row>
    <row r="1108" spans="28:28">
      <c r="AB1108" s="669"/>
    </row>
    <row r="1109" spans="28:28">
      <c r="AB1109" s="669"/>
    </row>
    <row r="1110" spans="28:28">
      <c r="AB1110" s="669"/>
    </row>
    <row r="1111" spans="28:28">
      <c r="AB1111" s="669"/>
    </row>
    <row r="1112" spans="28:28">
      <c r="AB1112" s="669"/>
    </row>
    <row r="1113" spans="28:28">
      <c r="AB1113" s="669"/>
    </row>
    <row r="1114" spans="28:28">
      <c r="AB1114" s="669"/>
    </row>
    <row r="1115" spans="28:28">
      <c r="AB1115" s="669"/>
    </row>
    <row r="1116" spans="28:28">
      <c r="AB1116" s="669"/>
    </row>
    <row r="1117" spans="28:28">
      <c r="AB1117" s="669"/>
    </row>
    <row r="1118" spans="28:28">
      <c r="AB1118" s="669"/>
    </row>
    <row r="1119" spans="28:28">
      <c r="AB1119" s="669"/>
    </row>
    <row r="1120" spans="28:28">
      <c r="AB1120" s="669"/>
    </row>
    <row r="1121" spans="28:28">
      <c r="AB1121" s="669"/>
    </row>
    <row r="1122" spans="28:28">
      <c r="AB1122" s="669"/>
    </row>
    <row r="1123" spans="28:28">
      <c r="AB1123" s="669"/>
    </row>
    <row r="1124" spans="28:28">
      <c r="AB1124" s="669"/>
    </row>
    <row r="1125" spans="28:28">
      <c r="AB1125" s="669"/>
    </row>
    <row r="1126" spans="28:28">
      <c r="AB1126" s="669"/>
    </row>
    <row r="1127" spans="28:28">
      <c r="AB1127" s="669"/>
    </row>
    <row r="1128" spans="28:28">
      <c r="AB1128" s="669"/>
    </row>
    <row r="1129" spans="28:28">
      <c r="AB1129" s="669"/>
    </row>
    <row r="1130" spans="28:28">
      <c r="AB1130" s="669"/>
    </row>
    <row r="1131" spans="28:28">
      <c r="AB1131" s="669"/>
    </row>
    <row r="1132" spans="28:28">
      <c r="AB1132" s="669"/>
    </row>
    <row r="1133" spans="28:28">
      <c r="AB1133" s="669"/>
    </row>
    <row r="1134" spans="28:28">
      <c r="AB1134" s="669"/>
    </row>
    <row r="1135" spans="28:28">
      <c r="AB1135" s="669"/>
    </row>
    <row r="1136" spans="28:28">
      <c r="AB1136" s="669"/>
    </row>
    <row r="1137" spans="28:28">
      <c r="AB1137" s="669"/>
    </row>
    <row r="1138" spans="28:28">
      <c r="AB1138" s="669"/>
    </row>
    <row r="1139" spans="28:28">
      <c r="AB1139" s="669"/>
    </row>
    <row r="1140" spans="28:28">
      <c r="AB1140" s="669"/>
    </row>
    <row r="1141" spans="28:28">
      <c r="AB1141" s="669"/>
    </row>
    <row r="1142" spans="28:28">
      <c r="AB1142" s="669"/>
    </row>
    <row r="1143" spans="28:28">
      <c r="AB1143" s="669"/>
    </row>
    <row r="1144" spans="28:28">
      <c r="AB1144" s="669"/>
    </row>
    <row r="1145" spans="28:28">
      <c r="AB1145" s="669"/>
    </row>
    <row r="1146" spans="28:28">
      <c r="AB1146" s="669"/>
    </row>
    <row r="1147" spans="28:28">
      <c r="AB1147" s="669"/>
    </row>
    <row r="1148" spans="28:28">
      <c r="AB1148" s="669"/>
    </row>
    <row r="1149" spans="28:28">
      <c r="AB1149" s="669"/>
    </row>
    <row r="1150" spans="28:28">
      <c r="AB1150" s="669"/>
    </row>
    <row r="1151" spans="28:28">
      <c r="AB1151" s="669"/>
    </row>
    <row r="1152" spans="28:28">
      <c r="AB1152" s="669"/>
    </row>
    <row r="1153" spans="28:28">
      <c r="AB1153" s="669"/>
    </row>
    <row r="1154" spans="28:28">
      <c r="AB1154" s="669"/>
    </row>
    <row r="1155" spans="28:28">
      <c r="AB1155" s="669"/>
    </row>
    <row r="1156" spans="28:28">
      <c r="AB1156" s="669"/>
    </row>
    <row r="1157" spans="28:28">
      <c r="AB1157" s="669"/>
    </row>
    <row r="1158" spans="28:28">
      <c r="AB1158" s="669"/>
    </row>
    <row r="1159" spans="28:28">
      <c r="AB1159" s="669"/>
    </row>
    <row r="1160" spans="28:28">
      <c r="AB1160" s="669"/>
    </row>
    <row r="1161" spans="28:28">
      <c r="AB1161" s="669"/>
    </row>
    <row r="1162" spans="28:28">
      <c r="AB1162" s="669"/>
    </row>
    <row r="1163" spans="28:28">
      <c r="AB1163" s="669"/>
    </row>
    <row r="1164" spans="28:28">
      <c r="AB1164" s="669"/>
    </row>
    <row r="1165" spans="28:28">
      <c r="AB1165" s="669"/>
    </row>
    <row r="1166" spans="28:28">
      <c r="AB1166" s="669"/>
    </row>
    <row r="1167" spans="28:28">
      <c r="AB1167" s="669"/>
    </row>
    <row r="1168" spans="28:28">
      <c r="AB1168" s="669"/>
    </row>
    <row r="1169" spans="28:28">
      <c r="AB1169" s="669"/>
    </row>
    <row r="1170" spans="28:28">
      <c r="AB1170" s="669"/>
    </row>
    <row r="1171" spans="28:28">
      <c r="AB1171" s="669"/>
    </row>
    <row r="1172" spans="28:28">
      <c r="AB1172" s="669"/>
    </row>
    <row r="1173" spans="28:28">
      <c r="AB1173" s="669"/>
    </row>
    <row r="1174" spans="28:28">
      <c r="AB1174" s="669"/>
    </row>
    <row r="1175" spans="28:28">
      <c r="AB1175" s="669"/>
    </row>
    <row r="1176" spans="28:28">
      <c r="AB1176" s="669"/>
    </row>
    <row r="1177" spans="28:28">
      <c r="AB1177" s="669"/>
    </row>
    <row r="1178" spans="28:28">
      <c r="AB1178" s="669"/>
    </row>
    <row r="1179" spans="28:28">
      <c r="AB1179" s="669"/>
    </row>
    <row r="1180" spans="28:28">
      <c r="AB1180" s="669"/>
    </row>
    <row r="1181" spans="28:28">
      <c r="AB1181" s="669"/>
    </row>
    <row r="1182" spans="28:28">
      <c r="AB1182" s="669"/>
    </row>
    <row r="1183" spans="28:28">
      <c r="AB1183" s="669"/>
    </row>
    <row r="1184" spans="28:28">
      <c r="AB1184" s="669"/>
    </row>
    <row r="1185" spans="28:28">
      <c r="AB1185" s="669"/>
    </row>
    <row r="1186" spans="28:28">
      <c r="AB1186" s="669"/>
    </row>
    <row r="1187" spans="28:28">
      <c r="AB1187" s="669"/>
    </row>
    <row r="1188" spans="28:28">
      <c r="AB1188" s="669"/>
    </row>
    <row r="1189" spans="28:28">
      <c r="AB1189" s="669"/>
    </row>
    <row r="1190" spans="28:28">
      <c r="AB1190" s="669"/>
    </row>
    <row r="1191" spans="28:28">
      <c r="AB1191" s="669"/>
    </row>
    <row r="1192" spans="28:28">
      <c r="AB1192" s="669"/>
    </row>
    <row r="1193" spans="28:28">
      <c r="AB1193" s="669"/>
    </row>
    <row r="1194" spans="28:28">
      <c r="AB1194" s="669"/>
    </row>
    <row r="1195" spans="28:28">
      <c r="AB1195" s="669"/>
    </row>
    <row r="1196" spans="28:28">
      <c r="AB1196" s="669"/>
    </row>
    <row r="1197" spans="28:28">
      <c r="AB1197" s="669"/>
    </row>
    <row r="1198" spans="28:28">
      <c r="AB1198" s="669"/>
    </row>
    <row r="1199" spans="28:28">
      <c r="AB1199" s="669"/>
    </row>
    <row r="1200" spans="28:28">
      <c r="AB1200" s="669"/>
    </row>
    <row r="1201" spans="28:28">
      <c r="AB1201" s="669"/>
    </row>
    <row r="1202" spans="28:28">
      <c r="AB1202" s="669"/>
    </row>
    <row r="1203" spans="28:28">
      <c r="AB1203" s="669"/>
    </row>
    <row r="1204" spans="28:28">
      <c r="AB1204" s="669"/>
    </row>
    <row r="1205" spans="28:28">
      <c r="AB1205" s="669"/>
    </row>
    <row r="1206" spans="28:28">
      <c r="AB1206" s="669"/>
    </row>
    <row r="1207" spans="28:28">
      <c r="AB1207" s="669"/>
    </row>
    <row r="1208" spans="28:28">
      <c r="AB1208" s="669"/>
    </row>
    <row r="1209" spans="28:28">
      <c r="AB1209" s="669"/>
    </row>
    <row r="1210" spans="28:28">
      <c r="AB1210" s="669"/>
    </row>
    <row r="1211" spans="28:28">
      <c r="AB1211" s="669"/>
    </row>
    <row r="1212" spans="28:28">
      <c r="AB1212" s="669"/>
    </row>
    <row r="1213" spans="28:28">
      <c r="AB1213" s="669"/>
    </row>
    <row r="1214" spans="28:28">
      <c r="AB1214" s="669"/>
    </row>
    <row r="1215" spans="28:28">
      <c r="AB1215" s="669"/>
    </row>
    <row r="1216" spans="28:28">
      <c r="AB1216" s="669"/>
    </row>
    <row r="1217" spans="28:28">
      <c r="AB1217" s="669"/>
    </row>
    <row r="1218" spans="28:28">
      <c r="AB1218" s="669"/>
    </row>
    <row r="1219" spans="28:28">
      <c r="AB1219" s="669"/>
    </row>
    <row r="1220" spans="28:28">
      <c r="AB1220" s="669"/>
    </row>
    <row r="1221" spans="28:28">
      <c r="AB1221" s="669"/>
    </row>
    <row r="1222" spans="28:28">
      <c r="AB1222" s="669"/>
    </row>
    <row r="1223" spans="28:28">
      <c r="AB1223" s="669"/>
    </row>
    <row r="1224" spans="28:28">
      <c r="AB1224" s="669"/>
    </row>
    <row r="1225" spans="28:28">
      <c r="AB1225" s="669"/>
    </row>
    <row r="1226" spans="28:28">
      <c r="AB1226" s="669"/>
    </row>
    <row r="1227" spans="28:28">
      <c r="AB1227" s="669"/>
    </row>
    <row r="1228" spans="28:28">
      <c r="AB1228" s="669"/>
    </row>
    <row r="1229" spans="28:28">
      <c r="AB1229" s="669"/>
    </row>
    <row r="1230" spans="28:28">
      <c r="AB1230" s="669"/>
    </row>
    <row r="1231" spans="28:28">
      <c r="AB1231" s="669"/>
    </row>
    <row r="1232" spans="28:28">
      <c r="AB1232" s="669"/>
    </row>
    <row r="1233" spans="28:28">
      <c r="AB1233" s="669"/>
    </row>
    <row r="1234" spans="28:28">
      <c r="AB1234" s="669"/>
    </row>
    <row r="1235" spans="28:28">
      <c r="AB1235" s="669"/>
    </row>
    <row r="1236" spans="28:28">
      <c r="AB1236" s="669"/>
    </row>
    <row r="1237" spans="28:28">
      <c r="AB1237" s="669"/>
    </row>
    <row r="1238" spans="28:28">
      <c r="AB1238" s="669"/>
    </row>
    <row r="1239" spans="28:28">
      <c r="AB1239" s="669"/>
    </row>
    <row r="1240" spans="28:28">
      <c r="AB1240" s="669"/>
    </row>
    <row r="1241" spans="28:28">
      <c r="AB1241" s="669"/>
    </row>
    <row r="1242" spans="28:28">
      <c r="AB1242" s="669"/>
    </row>
    <row r="1243" spans="28:28">
      <c r="AB1243" s="669"/>
    </row>
    <row r="1244" spans="28:28">
      <c r="AB1244" s="669"/>
    </row>
    <row r="1245" spans="28:28">
      <c r="AB1245" s="669"/>
    </row>
    <row r="1246" spans="28:28">
      <c r="AB1246" s="669"/>
    </row>
    <row r="1247" spans="28:28">
      <c r="AB1247" s="669"/>
    </row>
    <row r="1248" spans="28:28">
      <c r="AB1248" s="669"/>
    </row>
    <row r="1249" spans="28:28">
      <c r="AB1249" s="669"/>
    </row>
    <row r="1250" spans="28:28">
      <c r="AB1250" s="669"/>
    </row>
    <row r="1251" spans="28:28">
      <c r="AB1251" s="669"/>
    </row>
    <row r="1252" spans="28:28">
      <c r="AB1252" s="669"/>
    </row>
    <row r="1253" spans="28:28">
      <c r="AB1253" s="669"/>
    </row>
    <row r="1254" spans="28:28">
      <c r="AB1254" s="669"/>
    </row>
    <row r="1255" spans="28:28">
      <c r="AB1255" s="669"/>
    </row>
    <row r="1256" spans="28:28">
      <c r="AB1256" s="669"/>
    </row>
    <row r="1257" spans="28:28">
      <c r="AB1257" s="669"/>
    </row>
    <row r="1258" spans="28:28">
      <c r="AB1258" s="669"/>
    </row>
    <row r="1259" spans="28:28">
      <c r="AB1259" s="669"/>
    </row>
    <row r="1260" spans="28:28">
      <c r="AB1260" s="669"/>
    </row>
    <row r="1261" spans="28:28">
      <c r="AB1261" s="669"/>
    </row>
    <row r="1262" spans="28:28">
      <c r="AB1262" s="669"/>
    </row>
    <row r="1263" spans="28:28">
      <c r="AB1263" s="669"/>
    </row>
    <row r="1264" spans="28:28">
      <c r="AB1264" s="669"/>
    </row>
    <row r="1265" spans="28:28">
      <c r="AB1265" s="669"/>
    </row>
    <row r="1266" spans="28:28">
      <c r="AB1266" s="669"/>
    </row>
    <row r="1267" spans="28:28">
      <c r="AB1267" s="669"/>
    </row>
    <row r="1268" spans="28:28">
      <c r="AB1268" s="669"/>
    </row>
    <row r="1269" spans="28:28">
      <c r="AB1269" s="669"/>
    </row>
    <row r="1270" spans="28:28">
      <c r="AB1270" s="669"/>
    </row>
    <row r="1271" spans="28:28">
      <c r="AB1271" s="669"/>
    </row>
    <row r="1272" spans="28:28">
      <c r="AB1272" s="669"/>
    </row>
    <row r="1273" spans="28:28">
      <c r="AB1273" s="669"/>
    </row>
    <row r="1274" spans="28:28">
      <c r="AB1274" s="669"/>
    </row>
    <row r="1275" spans="28:28">
      <c r="AB1275" s="669"/>
    </row>
    <row r="1276" spans="28:28">
      <c r="AB1276" s="669"/>
    </row>
    <row r="1277" spans="28:28">
      <c r="AB1277" s="669"/>
    </row>
    <row r="1278" spans="28:28">
      <c r="AB1278" s="669"/>
    </row>
    <row r="1279" spans="28:28">
      <c r="AB1279" s="669"/>
    </row>
    <row r="1280" spans="28:28">
      <c r="AB1280" s="669"/>
    </row>
    <row r="1281" spans="28:28">
      <c r="AB1281" s="669"/>
    </row>
    <row r="1282" spans="28:28">
      <c r="AB1282" s="669"/>
    </row>
    <row r="1283" spans="28:28">
      <c r="AB1283" s="669"/>
    </row>
    <row r="1284" spans="28:28">
      <c r="AB1284" s="669"/>
    </row>
    <row r="1285" spans="28:28">
      <c r="AB1285" s="669"/>
    </row>
    <row r="1286" spans="28:28">
      <c r="AB1286" s="669"/>
    </row>
    <row r="1287" spans="28:28">
      <c r="AB1287" s="669"/>
    </row>
    <row r="1288" spans="28:28">
      <c r="AB1288" s="669"/>
    </row>
    <row r="1289" spans="28:28">
      <c r="AB1289" s="669"/>
    </row>
    <row r="1290" spans="28:28">
      <c r="AB1290" s="669"/>
    </row>
    <row r="1291" spans="28:28">
      <c r="AB1291" s="669"/>
    </row>
    <row r="1292" spans="28:28">
      <c r="AB1292" s="669"/>
    </row>
    <row r="1293" spans="28:28">
      <c r="AB1293" s="669"/>
    </row>
    <row r="1294" spans="28:28">
      <c r="AB1294" s="669"/>
    </row>
    <row r="1295" spans="28:28">
      <c r="AB1295" s="669"/>
    </row>
    <row r="1296" spans="28:28">
      <c r="AB1296" s="669"/>
    </row>
    <row r="1297" spans="28:28">
      <c r="AB1297" s="669"/>
    </row>
    <row r="1298" spans="28:28">
      <c r="AB1298" s="669"/>
    </row>
    <row r="1299" spans="28:28">
      <c r="AB1299" s="669"/>
    </row>
    <row r="1300" spans="28:28">
      <c r="AB1300" s="669"/>
    </row>
    <row r="1301" spans="28:28">
      <c r="AB1301" s="669"/>
    </row>
    <row r="1302" spans="28:28">
      <c r="AB1302" s="669"/>
    </row>
    <row r="1303" spans="28:28">
      <c r="AB1303" s="669"/>
    </row>
    <row r="1304" spans="28:28">
      <c r="AB1304" s="669"/>
    </row>
    <row r="1305" spans="28:28">
      <c r="AB1305" s="669"/>
    </row>
    <row r="1306" spans="28:28">
      <c r="AB1306" s="669"/>
    </row>
    <row r="1307" spans="28:28">
      <c r="AB1307" s="669"/>
    </row>
    <row r="1308" spans="28:28">
      <c r="AB1308" s="669"/>
    </row>
    <row r="1309" spans="28:28">
      <c r="AB1309" s="669"/>
    </row>
    <row r="1310" spans="28:28">
      <c r="AB1310" s="669"/>
    </row>
    <row r="1311" spans="28:28">
      <c r="AB1311" s="669"/>
    </row>
    <row r="1312" spans="28:28">
      <c r="AB1312" s="669"/>
    </row>
    <row r="1313" spans="28:28">
      <c r="AB1313" s="669"/>
    </row>
    <row r="1314" spans="28:28">
      <c r="AB1314" s="669"/>
    </row>
    <row r="1315" spans="28:28">
      <c r="AB1315" s="669"/>
    </row>
    <row r="1316" spans="28:28">
      <c r="AB1316" s="669"/>
    </row>
    <row r="1317" spans="28:28">
      <c r="AB1317" s="669"/>
    </row>
    <row r="1318" spans="28:28">
      <c r="AB1318" s="669"/>
    </row>
    <row r="1319" spans="28:28">
      <c r="AB1319" s="669"/>
    </row>
    <row r="1320" spans="28:28">
      <c r="AB1320" s="669"/>
    </row>
    <row r="1321" spans="28:28">
      <c r="AB1321" s="669"/>
    </row>
    <row r="1322" spans="28:28">
      <c r="AB1322" s="669"/>
    </row>
    <row r="1323" spans="28:28">
      <c r="AB1323" s="669"/>
    </row>
    <row r="1324" spans="28:28">
      <c r="AB1324" s="669"/>
    </row>
    <row r="1325" spans="28:28">
      <c r="AB1325" s="669"/>
    </row>
    <row r="1326" spans="28:28">
      <c r="AB1326" s="669"/>
    </row>
    <row r="1327" spans="28:28">
      <c r="AB1327" s="669"/>
    </row>
    <row r="1328" spans="28:28">
      <c r="AB1328" s="669"/>
    </row>
    <row r="1329" spans="28:28">
      <c r="AB1329" s="669"/>
    </row>
    <row r="1330" spans="28:28">
      <c r="AB1330" s="669"/>
    </row>
    <row r="1331" spans="28:28">
      <c r="AB1331" s="669"/>
    </row>
    <row r="1332" spans="28:28">
      <c r="AB1332" s="669"/>
    </row>
    <row r="1333" spans="28:28">
      <c r="AB1333" s="669"/>
    </row>
    <row r="1334" spans="28:28">
      <c r="AB1334" s="669"/>
    </row>
    <row r="1335" spans="28:28">
      <c r="AB1335" s="669"/>
    </row>
    <row r="1336" spans="28:28">
      <c r="AB1336" s="669"/>
    </row>
    <row r="1337" spans="28:28">
      <c r="AB1337" s="669"/>
    </row>
    <row r="1338" spans="28:28">
      <c r="AB1338" s="669"/>
    </row>
    <row r="1339" spans="28:28">
      <c r="AB1339" s="669"/>
    </row>
    <row r="1340" spans="28:28">
      <c r="AB1340" s="669"/>
    </row>
    <row r="1341" spans="28:28">
      <c r="AB1341" s="669"/>
    </row>
    <row r="1342" spans="28:28">
      <c r="AB1342" s="669"/>
    </row>
    <row r="1343" spans="28:28">
      <c r="AB1343" s="669"/>
    </row>
    <row r="1344" spans="28:28">
      <c r="AB1344" s="669"/>
    </row>
    <row r="1345" spans="28:28">
      <c r="AB1345" s="669"/>
    </row>
    <row r="1346" spans="28:28">
      <c r="AB1346" s="669"/>
    </row>
    <row r="1347" spans="28:28">
      <c r="AB1347" s="669"/>
    </row>
    <row r="1348" spans="28:28">
      <c r="AB1348" s="669"/>
    </row>
    <row r="1349" spans="28:28">
      <c r="AB1349" s="669"/>
    </row>
    <row r="1350" spans="28:28">
      <c r="AB1350" s="669"/>
    </row>
    <row r="1351" spans="28:28">
      <c r="AB1351" s="669"/>
    </row>
    <row r="1352" spans="28:28">
      <c r="AB1352" s="669"/>
    </row>
    <row r="1353" spans="28:28">
      <c r="AB1353" s="669"/>
    </row>
    <row r="1354" spans="28:28">
      <c r="AB1354" s="669"/>
    </row>
    <row r="1355" spans="28:28">
      <c r="AB1355" s="669"/>
    </row>
    <row r="1356" spans="28:28">
      <c r="AB1356" s="669"/>
    </row>
    <row r="1357" spans="28:28">
      <c r="AB1357" s="669"/>
    </row>
    <row r="1358" spans="28:28">
      <c r="AB1358" s="669"/>
    </row>
    <row r="1359" spans="28:28">
      <c r="AB1359" s="669"/>
    </row>
    <row r="1360" spans="28:28">
      <c r="AB1360" s="669"/>
    </row>
    <row r="1361" spans="28:28">
      <c r="AB1361" s="669"/>
    </row>
    <row r="1362" spans="28:28">
      <c r="AB1362" s="669"/>
    </row>
    <row r="1363" spans="28:28">
      <c r="AB1363" s="669"/>
    </row>
    <row r="1364" spans="28:28">
      <c r="AB1364" s="669"/>
    </row>
    <row r="1365" spans="28:28">
      <c r="AB1365" s="669"/>
    </row>
    <row r="1366" spans="28:28">
      <c r="AB1366" s="669"/>
    </row>
    <row r="1367" spans="28:28">
      <c r="AB1367" s="669"/>
    </row>
    <row r="1368" spans="28:28">
      <c r="AB1368" s="669"/>
    </row>
    <row r="1369" spans="28:28">
      <c r="AB1369" s="669"/>
    </row>
    <row r="1370" spans="28:28">
      <c r="AB1370" s="669"/>
    </row>
    <row r="1371" spans="28:28">
      <c r="AB1371" s="669"/>
    </row>
    <row r="1372" spans="28:28">
      <c r="AB1372" s="669"/>
    </row>
    <row r="1373" spans="28:28">
      <c r="AB1373" s="669"/>
    </row>
    <row r="1374" spans="28:28">
      <c r="AB1374" s="669"/>
    </row>
    <row r="1375" spans="28:28">
      <c r="AB1375" s="669"/>
    </row>
    <row r="1376" spans="28:28">
      <c r="AB1376" s="669"/>
    </row>
    <row r="1377" spans="28:28">
      <c r="AB1377" s="669"/>
    </row>
    <row r="1378" spans="28:28">
      <c r="AB1378" s="669"/>
    </row>
    <row r="1379" spans="28:28">
      <c r="AB1379" s="669"/>
    </row>
    <row r="1380" spans="28:28">
      <c r="AB1380" s="669"/>
    </row>
    <row r="1381" spans="28:28">
      <c r="AB1381" s="669"/>
    </row>
    <row r="1382" spans="28:28">
      <c r="AB1382" s="669"/>
    </row>
    <row r="1383" spans="28:28">
      <c r="AB1383" s="669"/>
    </row>
    <row r="1384" spans="28:28">
      <c r="AB1384" s="669"/>
    </row>
    <row r="1385" spans="28:28">
      <c r="AB1385" s="669"/>
    </row>
    <row r="1386" spans="28:28">
      <c r="AB1386" s="669"/>
    </row>
    <row r="1387" spans="28:28">
      <c r="AB1387" s="669"/>
    </row>
    <row r="1388" spans="28:28">
      <c r="AB1388" s="669"/>
    </row>
    <row r="1389" spans="28:28">
      <c r="AB1389" s="669"/>
    </row>
    <row r="1390" spans="28:28">
      <c r="AB1390" s="669"/>
    </row>
    <row r="1391" spans="28:28">
      <c r="AB1391" s="669"/>
    </row>
    <row r="1392" spans="28:28">
      <c r="AB1392" s="669"/>
    </row>
    <row r="1393" spans="28:28">
      <c r="AB1393" s="669"/>
    </row>
    <row r="1394" spans="28:28">
      <c r="AB1394" s="669"/>
    </row>
    <row r="1395" spans="28:28">
      <c r="AB1395" s="669"/>
    </row>
    <row r="1396" spans="28:28">
      <c r="AB1396" s="669"/>
    </row>
    <row r="1397" spans="28:28">
      <c r="AB1397" s="669"/>
    </row>
    <row r="1398" spans="28:28">
      <c r="AB1398" s="669"/>
    </row>
    <row r="1399" spans="28:28">
      <c r="AB1399" s="669"/>
    </row>
    <row r="1400" spans="28:28">
      <c r="AB1400" s="669"/>
    </row>
    <row r="1401" spans="28:28">
      <c r="AB1401" s="669"/>
    </row>
    <row r="1402" spans="28:28">
      <c r="AB1402" s="669"/>
    </row>
    <row r="1403" spans="28:28">
      <c r="AB1403" s="669"/>
    </row>
    <row r="1404" spans="28:28">
      <c r="AB1404" s="669"/>
    </row>
    <row r="1405" spans="28:28">
      <c r="AB1405" s="669"/>
    </row>
    <row r="1406" spans="28:28">
      <c r="AB1406" s="669"/>
    </row>
    <row r="1407" spans="28:28">
      <c r="AB1407" s="669"/>
    </row>
    <row r="1408" spans="28:28">
      <c r="AB1408" s="669"/>
    </row>
    <row r="1409" spans="28:28">
      <c r="AB1409" s="669"/>
    </row>
    <row r="1410" spans="28:28">
      <c r="AB1410" s="669"/>
    </row>
    <row r="1411" spans="28:28">
      <c r="AB1411" s="669"/>
    </row>
    <row r="1412" spans="28:28">
      <c r="AB1412" s="669"/>
    </row>
    <row r="1413" spans="28:28">
      <c r="AB1413" s="669"/>
    </row>
    <row r="1414" spans="28:28">
      <c r="AB1414" s="669"/>
    </row>
    <row r="1415" spans="28:28">
      <c r="AB1415" s="669"/>
    </row>
    <row r="1416" spans="28:28">
      <c r="AB1416" s="669"/>
    </row>
    <row r="1417" spans="28:28">
      <c r="AB1417" s="669"/>
    </row>
    <row r="1418" spans="28:28">
      <c r="AB1418" s="669"/>
    </row>
    <row r="1419" spans="28:28">
      <c r="AB1419" s="669"/>
    </row>
    <row r="1420" spans="28:28">
      <c r="AB1420" s="669"/>
    </row>
    <row r="1421" spans="28:28">
      <c r="AB1421" s="669"/>
    </row>
    <row r="1422" spans="28:28">
      <c r="AB1422" s="669"/>
    </row>
    <row r="1423" spans="28:28">
      <c r="AB1423" s="669"/>
    </row>
    <row r="1424" spans="28:28">
      <c r="AB1424" s="669"/>
    </row>
    <row r="1425" spans="28:28">
      <c r="AB1425" s="669"/>
    </row>
    <row r="1426" spans="28:28">
      <c r="AB1426" s="669"/>
    </row>
    <row r="1427" spans="28:28">
      <c r="AB1427" s="669"/>
    </row>
    <row r="1428" spans="28:28">
      <c r="AB1428" s="669"/>
    </row>
    <row r="1429" spans="28:28">
      <c r="AB1429" s="669"/>
    </row>
    <row r="1430" spans="28:28">
      <c r="AB1430" s="669"/>
    </row>
    <row r="1431" spans="28:28">
      <c r="AB1431" s="669"/>
    </row>
    <row r="1432" spans="28:28">
      <c r="AB1432" s="669"/>
    </row>
    <row r="1433" spans="28:28">
      <c r="AB1433" s="669"/>
    </row>
    <row r="1434" spans="28:28">
      <c r="AB1434" s="669"/>
    </row>
    <row r="1435" spans="28:28">
      <c r="AB1435" s="669"/>
    </row>
    <row r="1436" spans="28:28">
      <c r="AB1436" s="669"/>
    </row>
    <row r="1437" spans="28:28">
      <c r="AB1437" s="669"/>
    </row>
    <row r="1438" spans="28:28">
      <c r="AB1438" s="669"/>
    </row>
    <row r="1439" spans="28:28">
      <c r="AB1439" s="669"/>
    </row>
    <row r="1440" spans="28:28">
      <c r="AB1440" s="669"/>
    </row>
    <row r="1441" spans="28:28">
      <c r="AB1441" s="669"/>
    </row>
    <row r="1442" spans="28:28">
      <c r="AB1442" s="669"/>
    </row>
    <row r="1443" spans="28:28">
      <c r="AB1443" s="669"/>
    </row>
    <row r="1444" spans="28:28">
      <c r="AB1444" s="669"/>
    </row>
    <row r="1445" spans="28:28">
      <c r="AB1445" s="669"/>
    </row>
    <row r="1446" spans="28:28">
      <c r="AB1446" s="669"/>
    </row>
    <row r="1447" spans="28:28">
      <c r="AB1447" s="669"/>
    </row>
    <row r="1448" spans="28:28">
      <c r="AB1448" s="669"/>
    </row>
    <row r="1449" spans="28:28">
      <c r="AB1449" s="669"/>
    </row>
    <row r="1450" spans="28:28">
      <c r="AB1450" s="669"/>
    </row>
    <row r="1451" spans="28:28">
      <c r="AB1451" s="669"/>
    </row>
    <row r="1452" spans="28:28">
      <c r="AB1452" s="669"/>
    </row>
    <row r="1453" spans="28:28">
      <c r="AB1453" s="669"/>
    </row>
    <row r="1454" spans="28:28">
      <c r="AB1454" s="669"/>
    </row>
    <row r="1455" spans="28:28">
      <c r="AB1455" s="669"/>
    </row>
    <row r="1456" spans="28:28">
      <c r="AB1456" s="669"/>
    </row>
    <row r="1457" spans="28:28">
      <c r="AB1457" s="669"/>
    </row>
    <row r="1458" spans="28:28">
      <c r="AB1458" s="669"/>
    </row>
    <row r="1459" spans="28:28">
      <c r="AB1459" s="669"/>
    </row>
    <row r="1460" spans="28:28">
      <c r="AB1460" s="669"/>
    </row>
    <row r="1461" spans="28:28">
      <c r="AB1461" s="669"/>
    </row>
    <row r="1462" spans="28:28">
      <c r="AB1462" s="669"/>
    </row>
    <row r="1463" spans="28:28">
      <c r="AB1463" s="669"/>
    </row>
    <row r="1464" spans="28:28">
      <c r="AB1464" s="669"/>
    </row>
    <row r="1465" spans="28:28">
      <c r="AB1465" s="669"/>
    </row>
    <row r="1466" spans="28:28">
      <c r="AB1466" s="669"/>
    </row>
    <row r="1467" spans="28:28">
      <c r="AB1467" s="669"/>
    </row>
    <row r="1468" spans="28:28">
      <c r="AB1468" s="669"/>
    </row>
    <row r="1469" spans="28:28">
      <c r="AB1469" s="669"/>
    </row>
    <row r="1470" spans="28:28">
      <c r="AB1470" s="669"/>
    </row>
    <row r="1471" spans="28:28">
      <c r="AB1471" s="669"/>
    </row>
    <row r="1472" spans="28:28">
      <c r="AB1472" s="669"/>
    </row>
    <row r="1473" spans="28:28">
      <c r="AB1473" s="669"/>
    </row>
    <row r="1474" spans="28:28">
      <c r="AB1474" s="669"/>
    </row>
    <row r="1475" spans="28:28">
      <c r="AB1475" s="669"/>
    </row>
    <row r="1476" spans="28:28">
      <c r="AB1476" s="669"/>
    </row>
    <row r="1477" spans="28:28">
      <c r="AB1477" s="669"/>
    </row>
    <row r="1478" spans="28:28">
      <c r="AB1478" s="669"/>
    </row>
    <row r="1479" spans="28:28">
      <c r="AB1479" s="669"/>
    </row>
    <row r="1480" spans="28:28">
      <c r="AB1480" s="669"/>
    </row>
    <row r="1481" spans="28:28">
      <c r="AB1481" s="669"/>
    </row>
    <row r="1482" spans="28:28">
      <c r="AB1482" s="669"/>
    </row>
    <row r="1483" spans="28:28">
      <c r="AB1483" s="669"/>
    </row>
    <row r="1484" spans="28:28">
      <c r="AB1484" s="669"/>
    </row>
    <row r="1485" spans="28:28">
      <c r="AB1485" s="669"/>
    </row>
    <row r="1486" spans="28:28">
      <c r="AB1486" s="669"/>
    </row>
    <row r="1487" spans="28:28">
      <c r="AB1487" s="669"/>
    </row>
    <row r="1488" spans="28:28">
      <c r="AB1488" s="669"/>
    </row>
    <row r="1489" spans="28:28">
      <c r="AB1489" s="669"/>
    </row>
    <row r="1490" spans="28:28">
      <c r="AB1490" s="669"/>
    </row>
    <row r="1491" spans="28:28">
      <c r="AB1491" s="669"/>
    </row>
    <row r="1492" spans="28:28">
      <c r="AB1492" s="669"/>
    </row>
    <row r="1493" spans="28:28">
      <c r="AB1493" s="669"/>
    </row>
    <row r="1494" spans="28:28">
      <c r="AB1494" s="669"/>
    </row>
    <row r="1495" spans="28:28">
      <c r="AB1495" s="669"/>
    </row>
    <row r="1496" spans="28:28">
      <c r="AB1496" s="669"/>
    </row>
    <row r="1497" spans="28:28">
      <c r="AB1497" s="669"/>
    </row>
    <row r="1498" spans="28:28">
      <c r="AB1498" s="669"/>
    </row>
    <row r="1499" spans="28:28">
      <c r="AB1499" s="669"/>
    </row>
    <row r="1500" spans="28:28">
      <c r="AB1500" s="669"/>
    </row>
    <row r="1501" spans="28:28">
      <c r="AB1501" s="669"/>
    </row>
    <row r="1502" spans="28:28">
      <c r="AB1502" s="669"/>
    </row>
    <row r="1503" spans="28:28">
      <c r="AB1503" s="669"/>
    </row>
    <row r="1504" spans="28:28">
      <c r="AB1504" s="669"/>
    </row>
    <row r="1505" spans="28:28">
      <c r="AB1505" s="669"/>
    </row>
    <row r="1506" spans="28:28">
      <c r="AB1506" s="669"/>
    </row>
    <row r="1507" spans="28:28">
      <c r="AB1507" s="669"/>
    </row>
    <row r="1508" spans="28:28">
      <c r="AB1508" s="669"/>
    </row>
    <row r="1509" spans="28:28">
      <c r="AB1509" s="669"/>
    </row>
    <row r="1510" spans="28:28">
      <c r="AB1510" s="669"/>
    </row>
    <row r="1511" spans="28:28">
      <c r="AB1511" s="669"/>
    </row>
    <row r="1512" spans="28:28">
      <c r="AB1512" s="669"/>
    </row>
    <row r="1513" spans="28:28">
      <c r="AB1513" s="669"/>
    </row>
    <row r="1514" spans="28:28">
      <c r="AB1514" s="669"/>
    </row>
    <row r="1515" spans="28:28">
      <c r="AB1515" s="669"/>
    </row>
    <row r="1516" spans="28:28">
      <c r="AB1516" s="669"/>
    </row>
    <row r="1517" spans="28:28">
      <c r="AB1517" s="669"/>
    </row>
    <row r="1518" spans="28:28">
      <c r="AB1518" s="669"/>
    </row>
    <row r="1519" spans="28:28">
      <c r="AB1519" s="669"/>
    </row>
    <row r="1520" spans="28:28">
      <c r="AB1520" s="669"/>
    </row>
    <row r="1521" spans="28:28">
      <c r="AB1521" s="669"/>
    </row>
    <row r="1522" spans="28:28">
      <c r="AB1522" s="669"/>
    </row>
    <row r="1523" spans="28:28">
      <c r="AB1523" s="669"/>
    </row>
    <row r="1524" spans="28:28">
      <c r="AB1524" s="669"/>
    </row>
    <row r="1525" spans="28:28">
      <c r="AB1525" s="669"/>
    </row>
    <row r="1526" spans="28:28">
      <c r="AB1526" s="669"/>
    </row>
    <row r="1527" spans="28:28">
      <c r="AB1527" s="669"/>
    </row>
    <row r="1528" spans="28:28">
      <c r="AB1528" s="669"/>
    </row>
    <row r="1529" spans="28:28">
      <c r="AB1529" s="669"/>
    </row>
    <row r="1530" spans="28:28">
      <c r="AB1530" s="669"/>
    </row>
    <row r="1531" spans="28:28">
      <c r="AB1531" s="669"/>
    </row>
    <row r="1532" spans="28:28">
      <c r="AB1532" s="669"/>
    </row>
    <row r="1533" spans="28:28">
      <c r="AB1533" s="669"/>
    </row>
    <row r="1534" spans="28:28">
      <c r="AB1534" s="669"/>
    </row>
    <row r="1535" spans="28:28">
      <c r="AB1535" s="669"/>
    </row>
    <row r="1536" spans="28:28">
      <c r="AB1536" s="669"/>
    </row>
    <row r="1537" spans="28:28">
      <c r="AB1537" s="669"/>
    </row>
    <row r="1538" spans="28:28">
      <c r="AB1538" s="669"/>
    </row>
    <row r="1539" spans="28:28">
      <c r="AB1539" s="669"/>
    </row>
    <row r="1540" spans="28:28">
      <c r="AB1540" s="669"/>
    </row>
    <row r="1541" spans="28:28">
      <c r="AB1541" s="669"/>
    </row>
    <row r="1542" spans="28:28">
      <c r="AB1542" s="669"/>
    </row>
    <row r="1543" spans="28:28">
      <c r="AB1543" s="669"/>
    </row>
    <row r="1544" spans="28:28">
      <c r="AB1544" s="669"/>
    </row>
    <row r="1545" spans="28:28">
      <c r="AB1545" s="669"/>
    </row>
    <row r="1546" spans="28:28">
      <c r="AB1546" s="669"/>
    </row>
    <row r="1547" spans="28:28">
      <c r="AB1547" s="669"/>
    </row>
    <row r="1548" spans="28:28">
      <c r="AB1548" s="669"/>
    </row>
    <row r="1549" spans="28:28">
      <c r="AB1549" s="669"/>
    </row>
    <row r="1550" spans="28:28">
      <c r="AB1550" s="669"/>
    </row>
    <row r="1551" spans="28:28">
      <c r="AB1551" s="669"/>
    </row>
    <row r="1552" spans="28:28">
      <c r="AB1552" s="669"/>
    </row>
    <row r="1553" spans="28:28">
      <c r="AB1553" s="669"/>
    </row>
    <row r="1554" spans="28:28">
      <c r="AB1554" s="669"/>
    </row>
    <row r="1555" spans="28:28">
      <c r="AB1555" s="669"/>
    </row>
    <row r="1556" spans="28:28">
      <c r="AB1556" s="669"/>
    </row>
    <row r="1557" spans="28:28">
      <c r="AB1557" s="669"/>
    </row>
    <row r="1558" spans="28:28">
      <c r="AB1558" s="669"/>
    </row>
    <row r="1559" spans="28:28">
      <c r="AB1559" s="669"/>
    </row>
    <row r="1560" spans="28:28">
      <c r="AB1560" s="669"/>
    </row>
    <row r="1561" spans="28:28">
      <c r="AB1561" s="669"/>
    </row>
    <row r="1562" spans="28:28">
      <c r="AB1562" s="669"/>
    </row>
    <row r="1563" spans="28:28">
      <c r="AB1563" s="669"/>
    </row>
    <row r="1564" spans="28:28">
      <c r="AB1564" s="669"/>
    </row>
    <row r="1565" spans="28:28">
      <c r="AB1565" s="669"/>
    </row>
    <row r="1566" spans="28:28">
      <c r="AB1566" s="669"/>
    </row>
    <row r="1567" spans="28:28">
      <c r="AB1567" s="669"/>
    </row>
    <row r="1568" spans="28:28">
      <c r="AB1568" s="669"/>
    </row>
    <row r="1569" spans="28:28">
      <c r="AB1569" s="669"/>
    </row>
    <row r="1570" spans="28:28">
      <c r="AB1570" s="669"/>
    </row>
    <row r="1571" spans="28:28">
      <c r="AB1571" s="669"/>
    </row>
    <row r="1572" spans="28:28">
      <c r="AB1572" s="669"/>
    </row>
    <row r="1573" spans="28:28">
      <c r="AB1573" s="669"/>
    </row>
    <row r="1574" spans="28:28">
      <c r="AB1574" s="669"/>
    </row>
    <row r="1575" spans="28:28">
      <c r="AB1575" s="669"/>
    </row>
    <row r="1576" spans="28:28">
      <c r="AB1576" s="669"/>
    </row>
    <row r="1577" spans="28:28">
      <c r="AB1577" s="669"/>
    </row>
    <row r="1578" spans="28:28">
      <c r="AB1578" s="669"/>
    </row>
    <row r="1579" spans="28:28">
      <c r="AB1579" s="669"/>
    </row>
    <row r="1580" spans="28:28">
      <c r="AB1580" s="669"/>
    </row>
    <row r="1581" spans="28:28">
      <c r="AB1581" s="669"/>
    </row>
    <row r="1582" spans="28:28">
      <c r="AB1582" s="669"/>
    </row>
    <row r="1583" spans="28:28">
      <c r="AB1583" s="669"/>
    </row>
    <row r="1584" spans="28:28">
      <c r="AB1584" s="669"/>
    </row>
    <row r="1585" spans="28:28">
      <c r="AB1585" s="669"/>
    </row>
    <row r="1586" spans="28:28">
      <c r="AB1586" s="669"/>
    </row>
    <row r="1587" spans="28:28">
      <c r="AB1587" s="669"/>
    </row>
    <row r="1588" spans="28:28">
      <c r="AB1588" s="669"/>
    </row>
    <row r="1589" spans="28:28">
      <c r="AB1589" s="669"/>
    </row>
    <row r="1590" spans="28:28">
      <c r="AB1590" s="669"/>
    </row>
    <row r="1591" spans="28:28">
      <c r="AB1591" s="669"/>
    </row>
    <row r="1592" spans="28:28">
      <c r="AB1592" s="669"/>
    </row>
    <row r="1593" spans="28:28">
      <c r="AB1593" s="669"/>
    </row>
    <row r="1594" spans="28:28">
      <c r="AB1594" s="669"/>
    </row>
    <row r="1595" spans="28:28">
      <c r="AB1595" s="669"/>
    </row>
    <row r="1596" spans="28:28">
      <c r="AB1596" s="669"/>
    </row>
    <row r="1597" spans="28:28">
      <c r="AB1597" s="669"/>
    </row>
    <row r="1598" spans="28:28">
      <c r="AB1598" s="669"/>
    </row>
    <row r="1599" spans="28:28">
      <c r="AB1599" s="669"/>
    </row>
    <row r="1600" spans="28:28">
      <c r="AB1600" s="669"/>
    </row>
    <row r="1601" spans="28:28">
      <c r="AB1601" s="669"/>
    </row>
    <row r="1602" spans="28:28">
      <c r="AB1602" s="669"/>
    </row>
    <row r="1603" spans="28:28">
      <c r="AB1603" s="669"/>
    </row>
    <row r="1604" spans="28:28">
      <c r="AB1604" s="669"/>
    </row>
    <row r="1605" spans="28:28">
      <c r="AB1605" s="669"/>
    </row>
    <row r="1606" spans="28:28">
      <c r="AB1606" s="669"/>
    </row>
    <row r="1607" spans="28:28">
      <c r="AB1607" s="669"/>
    </row>
    <row r="1608" spans="28:28">
      <c r="AB1608" s="669"/>
    </row>
    <row r="1609" spans="28:28">
      <c r="AB1609" s="669"/>
    </row>
    <row r="1610" spans="28:28">
      <c r="AB1610" s="669"/>
    </row>
    <row r="1611" spans="28:28">
      <c r="AB1611" s="669"/>
    </row>
    <row r="1612" spans="28:28">
      <c r="AB1612" s="669"/>
    </row>
    <row r="1613" spans="28:28">
      <c r="AB1613" s="669"/>
    </row>
    <row r="1614" spans="28:28">
      <c r="AB1614" s="669"/>
    </row>
    <row r="1615" spans="28:28">
      <c r="AB1615" s="669"/>
    </row>
    <row r="1616" spans="28:28">
      <c r="AB1616" s="669"/>
    </row>
    <row r="1617" spans="28:28">
      <c r="AB1617" s="669"/>
    </row>
    <row r="1618" spans="28:28">
      <c r="AB1618" s="669"/>
    </row>
    <row r="1619" spans="28:28">
      <c r="AB1619" s="669"/>
    </row>
    <row r="1620" spans="28:28">
      <c r="AB1620" s="669"/>
    </row>
    <row r="1621" spans="28:28">
      <c r="AB1621" s="669"/>
    </row>
    <row r="1622" spans="28:28">
      <c r="AB1622" s="669"/>
    </row>
    <row r="1623" spans="28:28">
      <c r="AB1623" s="669"/>
    </row>
    <row r="1624" spans="28:28">
      <c r="AB1624" s="669"/>
    </row>
    <row r="1625" spans="28:28">
      <c r="AB1625" s="669"/>
    </row>
    <row r="1626" spans="28:28">
      <c r="AB1626" s="669"/>
    </row>
    <row r="1627" spans="28:28">
      <c r="AB1627" s="669"/>
    </row>
    <row r="1628" spans="28:28">
      <c r="AB1628" s="669"/>
    </row>
    <row r="1629" spans="28:28">
      <c r="AB1629" s="669"/>
    </row>
    <row r="1630" spans="28:28">
      <c r="AB1630" s="669"/>
    </row>
    <row r="1631" spans="28:28">
      <c r="AB1631" s="669"/>
    </row>
    <row r="1632" spans="28:28">
      <c r="AB1632" s="669"/>
    </row>
    <row r="1633" spans="28:28">
      <c r="AB1633" s="669"/>
    </row>
    <row r="1634" spans="28:28">
      <c r="AB1634" s="669"/>
    </row>
    <row r="1635" spans="28:28">
      <c r="AB1635" s="669"/>
    </row>
    <row r="1636" spans="28:28">
      <c r="AB1636" s="669"/>
    </row>
    <row r="1637" spans="28:28">
      <c r="AB1637" s="669"/>
    </row>
    <row r="1638" spans="28:28">
      <c r="AB1638" s="669"/>
    </row>
    <row r="1639" spans="28:28">
      <c r="AB1639" s="669"/>
    </row>
    <row r="1640" spans="28:28">
      <c r="AB1640" s="669"/>
    </row>
    <row r="1641" spans="28:28">
      <c r="AB1641" s="669"/>
    </row>
    <row r="1642" spans="28:28">
      <c r="AB1642" s="669"/>
    </row>
    <row r="1643" spans="28:28">
      <c r="AB1643" s="669"/>
    </row>
    <row r="1644" spans="28:28">
      <c r="AB1644" s="669"/>
    </row>
    <row r="1645" spans="28:28">
      <c r="AB1645" s="669"/>
    </row>
    <row r="1646" spans="28:28">
      <c r="AB1646" s="669"/>
    </row>
    <row r="1647" spans="28:28">
      <c r="AB1647" s="669"/>
    </row>
    <row r="1648" spans="28:28">
      <c r="AB1648" s="669"/>
    </row>
    <row r="1649" spans="28:28">
      <c r="AB1649" s="669"/>
    </row>
    <row r="1650" spans="28:28">
      <c r="AB1650" s="669"/>
    </row>
    <row r="1651" spans="28:28">
      <c r="AB1651" s="669"/>
    </row>
    <row r="1652" spans="28:28">
      <c r="AB1652" s="669"/>
    </row>
    <row r="1653" spans="28:28">
      <c r="AB1653" s="669"/>
    </row>
    <row r="1654" spans="28:28">
      <c r="AB1654" s="669"/>
    </row>
    <row r="1655" spans="28:28">
      <c r="AB1655" s="669"/>
    </row>
    <row r="1656" spans="28:28">
      <c r="AB1656" s="669"/>
    </row>
    <row r="1657" spans="28:28">
      <c r="AB1657" s="669"/>
    </row>
    <row r="1658" spans="28:28">
      <c r="AB1658" s="669"/>
    </row>
    <row r="1659" spans="28:28">
      <c r="AB1659" s="669"/>
    </row>
    <row r="1660" spans="28:28">
      <c r="AB1660" s="669"/>
    </row>
    <row r="1661" spans="28:28">
      <c r="AB1661" s="669"/>
    </row>
    <row r="1662" spans="28:28">
      <c r="AB1662" s="669"/>
    </row>
    <row r="1663" spans="28:28">
      <c r="AB1663" s="669"/>
    </row>
    <row r="1664" spans="28:28">
      <c r="AB1664" s="669"/>
    </row>
    <row r="1665" spans="28:28">
      <c r="AB1665" s="669"/>
    </row>
    <row r="1666" spans="28:28">
      <c r="AB1666" s="669"/>
    </row>
    <row r="1667" spans="28:28">
      <c r="AB1667" s="669"/>
    </row>
    <row r="1668" spans="28:28">
      <c r="AB1668" s="669"/>
    </row>
    <row r="1669" spans="28:28">
      <c r="AB1669" s="669"/>
    </row>
    <row r="1670" spans="28:28">
      <c r="AB1670" s="669"/>
    </row>
    <row r="1671" spans="28:28">
      <c r="AB1671" s="669"/>
    </row>
    <row r="1672" spans="28:28">
      <c r="AB1672" s="669"/>
    </row>
    <row r="1673" spans="28:28">
      <c r="AB1673" s="669"/>
    </row>
    <row r="1674" spans="28:28">
      <c r="AB1674" s="669"/>
    </row>
    <row r="1675" spans="28:28">
      <c r="AB1675" s="669"/>
    </row>
    <row r="1676" spans="28:28">
      <c r="AB1676" s="669"/>
    </row>
    <row r="1677" spans="28:28">
      <c r="AB1677" s="669"/>
    </row>
    <row r="1678" spans="28:28">
      <c r="AB1678" s="669"/>
    </row>
    <row r="1679" spans="28:28">
      <c r="AB1679" s="669"/>
    </row>
    <row r="1680" spans="28:28">
      <c r="AB1680" s="669"/>
    </row>
    <row r="1681" spans="28:28">
      <c r="AB1681" s="669"/>
    </row>
    <row r="1682" spans="28:28">
      <c r="AB1682" s="669"/>
    </row>
    <row r="1683" spans="28:28">
      <c r="AB1683" s="669"/>
    </row>
    <row r="1684" spans="28:28">
      <c r="AB1684" s="669"/>
    </row>
    <row r="1685" spans="28:28">
      <c r="AB1685" s="669"/>
    </row>
    <row r="1686" spans="28:28">
      <c r="AB1686" s="669"/>
    </row>
    <row r="1687" spans="28:28">
      <c r="AB1687" s="669"/>
    </row>
    <row r="1688" spans="28:28">
      <c r="AB1688" s="669"/>
    </row>
    <row r="1689" spans="28:28">
      <c r="AB1689" s="669"/>
    </row>
    <row r="1690" spans="28:28">
      <c r="AB1690" s="669"/>
    </row>
    <row r="1691" spans="28:28">
      <c r="AB1691" s="669"/>
    </row>
    <row r="1692" spans="28:28">
      <c r="AB1692" s="669"/>
    </row>
    <row r="1693" spans="28:28">
      <c r="AB1693" s="669"/>
    </row>
    <row r="1694" spans="28:28">
      <c r="AB1694" s="669"/>
    </row>
    <row r="1695" spans="28:28">
      <c r="AB1695" s="669"/>
    </row>
    <row r="1696" spans="28:28">
      <c r="AB1696" s="669"/>
    </row>
    <row r="1697" spans="28:28">
      <c r="AB1697" s="669"/>
    </row>
    <row r="1698" spans="28:28">
      <c r="AB1698" s="669"/>
    </row>
    <row r="1699" spans="28:28">
      <c r="AB1699" s="669"/>
    </row>
    <row r="1700" spans="28:28">
      <c r="AB1700" s="669"/>
    </row>
    <row r="1701" spans="28:28">
      <c r="AB1701" s="669"/>
    </row>
    <row r="1702" spans="28:28">
      <c r="AB1702" s="669"/>
    </row>
    <row r="1703" spans="28:28">
      <c r="AB1703" s="669"/>
    </row>
    <row r="1704" spans="28:28">
      <c r="AB1704" s="669"/>
    </row>
    <row r="1705" spans="28:28">
      <c r="AB1705" s="669"/>
    </row>
    <row r="1706" spans="28:28">
      <c r="AB1706" s="669"/>
    </row>
    <row r="1707" spans="28:28">
      <c r="AB1707" s="669"/>
    </row>
    <row r="1708" spans="28:28">
      <c r="AB1708" s="669"/>
    </row>
    <row r="1709" spans="28:28">
      <c r="AB1709" s="669"/>
    </row>
    <row r="1710" spans="28:28">
      <c r="AB1710" s="669"/>
    </row>
    <row r="1711" spans="28:28">
      <c r="AB1711" s="669"/>
    </row>
    <row r="1712" spans="28:28">
      <c r="AB1712" s="669"/>
    </row>
    <row r="1713" spans="28:28">
      <c r="AB1713" s="669"/>
    </row>
    <row r="1714" spans="28:28">
      <c r="AB1714" s="669"/>
    </row>
    <row r="1715" spans="28:28">
      <c r="AB1715" s="669"/>
    </row>
    <row r="1716" spans="28:28">
      <c r="AB1716" s="669"/>
    </row>
    <row r="1717" spans="28:28">
      <c r="AB1717" s="669"/>
    </row>
    <row r="1718" spans="28:28">
      <c r="AB1718" s="669"/>
    </row>
    <row r="1719" spans="28:28">
      <c r="AB1719" s="669"/>
    </row>
    <row r="1720" spans="28:28">
      <c r="AB1720" s="669"/>
    </row>
    <row r="1721" spans="28:28">
      <c r="AB1721" s="669"/>
    </row>
    <row r="1722" spans="28:28">
      <c r="AB1722" s="669"/>
    </row>
    <row r="1723" spans="28:28">
      <c r="AB1723" s="669"/>
    </row>
    <row r="1724" spans="28:28">
      <c r="AB1724" s="669"/>
    </row>
    <row r="1725" spans="28:28">
      <c r="AB1725" s="669"/>
    </row>
    <row r="1726" spans="28:28">
      <c r="AB1726" s="669"/>
    </row>
    <row r="1727" spans="28:28">
      <c r="AB1727" s="669"/>
    </row>
    <row r="1728" spans="28:28">
      <c r="AB1728" s="669"/>
    </row>
    <row r="1729" spans="28:28">
      <c r="AB1729" s="669"/>
    </row>
    <row r="1730" spans="28:28">
      <c r="AB1730" s="669"/>
    </row>
    <row r="1731" spans="28:28">
      <c r="AB1731" s="669"/>
    </row>
    <row r="1732" spans="28:28">
      <c r="AB1732" s="669"/>
    </row>
    <row r="1733" spans="28:28">
      <c r="AB1733" s="669"/>
    </row>
    <row r="1734" spans="28:28">
      <c r="AB1734" s="669"/>
    </row>
    <row r="1735" spans="28:28">
      <c r="AB1735" s="669"/>
    </row>
    <row r="1736" spans="28:28">
      <c r="AB1736" s="669"/>
    </row>
    <row r="1737" spans="28:28">
      <c r="AB1737" s="669"/>
    </row>
    <row r="1738" spans="28:28">
      <c r="AB1738" s="669"/>
    </row>
    <row r="1739" spans="28:28">
      <c r="AB1739" s="669"/>
    </row>
    <row r="1740" spans="28:28">
      <c r="AB1740" s="669"/>
    </row>
    <row r="1741" spans="28:28">
      <c r="AB1741" s="669"/>
    </row>
    <row r="1742" spans="28:28">
      <c r="AB1742" s="669"/>
    </row>
    <row r="1743" spans="28:28">
      <c r="AB1743" s="669"/>
    </row>
    <row r="1744" spans="28:28">
      <c r="AB1744" s="669"/>
    </row>
    <row r="1745" spans="28:28">
      <c r="AB1745" s="669"/>
    </row>
    <row r="1746" spans="28:28">
      <c r="AB1746" s="669"/>
    </row>
    <row r="1747" spans="28:28">
      <c r="AB1747" s="669"/>
    </row>
    <row r="1748" spans="28:28">
      <c r="AB1748" s="669"/>
    </row>
    <row r="1749" spans="28:28">
      <c r="AB1749" s="669"/>
    </row>
    <row r="1750" spans="28:28">
      <c r="AB1750" s="669"/>
    </row>
    <row r="1751" spans="28:28">
      <c r="AB1751" s="669"/>
    </row>
    <row r="1752" spans="28:28">
      <c r="AB1752" s="669"/>
    </row>
    <row r="1753" spans="28:28">
      <c r="AB1753" s="669"/>
    </row>
    <row r="1754" spans="28:28">
      <c r="AB1754" s="669"/>
    </row>
    <row r="1755" spans="28:28">
      <c r="AB1755" s="669"/>
    </row>
    <row r="1756" spans="28:28">
      <c r="AB1756" s="669"/>
    </row>
    <row r="1757" spans="28:28">
      <c r="AB1757" s="669"/>
    </row>
    <row r="1758" spans="28:28">
      <c r="AB1758" s="669"/>
    </row>
    <row r="1759" spans="28:28">
      <c r="AB1759" s="669"/>
    </row>
    <row r="1760" spans="28:28">
      <c r="AB1760" s="669"/>
    </row>
    <row r="1761" spans="28:28">
      <c r="AB1761" s="669"/>
    </row>
    <row r="1762" spans="28:28">
      <c r="AB1762" s="669"/>
    </row>
    <row r="1763" spans="28:28">
      <c r="AB1763" s="669"/>
    </row>
    <row r="1764" spans="28:28">
      <c r="AB1764" s="669"/>
    </row>
    <row r="1765" spans="28:28">
      <c r="AB1765" s="669"/>
    </row>
    <row r="1766" spans="28:28">
      <c r="AB1766" s="669"/>
    </row>
    <row r="1767" spans="28:28">
      <c r="AB1767" s="669"/>
    </row>
    <row r="1768" spans="28:28">
      <c r="AB1768" s="669"/>
    </row>
    <row r="1769" spans="28:28">
      <c r="AB1769" s="669"/>
    </row>
    <row r="1770" spans="28:28">
      <c r="AB1770" s="669"/>
    </row>
    <row r="1771" spans="28:28">
      <c r="AB1771" s="669"/>
    </row>
    <row r="1772" spans="28:28">
      <c r="AB1772" s="669"/>
    </row>
    <row r="1773" spans="28:28">
      <c r="AB1773" s="669"/>
    </row>
    <row r="1774" spans="28:28">
      <c r="AB1774" s="669"/>
    </row>
    <row r="1775" spans="28:28">
      <c r="AB1775" s="669"/>
    </row>
    <row r="1776" spans="28:28">
      <c r="AB1776" s="669"/>
    </row>
    <row r="1777" spans="28:28">
      <c r="AB1777" s="669"/>
    </row>
    <row r="1778" spans="28:28">
      <c r="AB1778" s="669"/>
    </row>
    <row r="1779" spans="28:28">
      <c r="AB1779" s="669"/>
    </row>
    <row r="1780" spans="28:28">
      <c r="AB1780" s="669"/>
    </row>
    <row r="1781" spans="28:28">
      <c r="AB1781" s="669"/>
    </row>
    <row r="1782" spans="28:28">
      <c r="AB1782" s="669"/>
    </row>
    <row r="1783" spans="28:28">
      <c r="AB1783" s="669"/>
    </row>
    <row r="1784" spans="28:28">
      <c r="AB1784" s="669"/>
    </row>
    <row r="1785" spans="28:28">
      <c r="AB1785" s="669"/>
    </row>
    <row r="1786" spans="28:28">
      <c r="AB1786" s="669"/>
    </row>
    <row r="1787" spans="28:28">
      <c r="AB1787" s="669"/>
    </row>
    <row r="1788" spans="28:28">
      <c r="AB1788" s="669"/>
    </row>
    <row r="1789" spans="28:28">
      <c r="AB1789" s="669"/>
    </row>
    <row r="1790" spans="28:28">
      <c r="AB1790" s="669"/>
    </row>
    <row r="1791" spans="28:28">
      <c r="AB1791" s="669"/>
    </row>
    <row r="1792" spans="28:28">
      <c r="AB1792" s="669"/>
    </row>
    <row r="1793" spans="28:28">
      <c r="AB1793" s="669"/>
    </row>
    <row r="1794" spans="28:28">
      <c r="AB1794" s="669"/>
    </row>
    <row r="1795" spans="28:28">
      <c r="AB1795" s="669"/>
    </row>
    <row r="1796" spans="28:28">
      <c r="AB1796" s="669"/>
    </row>
    <row r="1797" spans="28:28">
      <c r="AB1797" s="669"/>
    </row>
    <row r="1798" spans="28:28">
      <c r="AB1798" s="669"/>
    </row>
    <row r="1799" spans="28:28">
      <c r="AB1799" s="669"/>
    </row>
    <row r="1800" spans="28:28">
      <c r="AB1800" s="669"/>
    </row>
    <row r="1801" spans="28:28">
      <c r="AB1801" s="669"/>
    </row>
    <row r="1802" spans="28:28">
      <c r="AB1802" s="669"/>
    </row>
    <row r="1803" spans="28:28">
      <c r="AB1803" s="669"/>
    </row>
    <row r="1804" spans="28:28">
      <c r="AB1804" s="669"/>
    </row>
    <row r="1805" spans="28:28">
      <c r="AB1805" s="669"/>
    </row>
    <row r="1806" spans="28:28">
      <c r="AB1806" s="669"/>
    </row>
    <row r="1807" spans="28:28">
      <c r="AB1807" s="669"/>
    </row>
    <row r="1808" spans="28:28">
      <c r="AB1808" s="669"/>
    </row>
    <row r="1809" spans="28:28">
      <c r="AB1809" s="669"/>
    </row>
    <row r="1810" spans="28:28">
      <c r="AB1810" s="669"/>
    </row>
    <row r="1811" spans="28:28">
      <c r="AB1811" s="669"/>
    </row>
    <row r="1812" spans="28:28">
      <c r="AB1812" s="669"/>
    </row>
    <row r="1813" spans="28:28">
      <c r="AB1813" s="669"/>
    </row>
    <row r="1814" spans="28:28">
      <c r="AB1814" s="669"/>
    </row>
    <row r="1815" spans="28:28">
      <c r="AB1815" s="669"/>
    </row>
    <row r="1816" spans="28:28">
      <c r="AB1816" s="669"/>
    </row>
    <row r="1817" spans="28:28">
      <c r="AB1817" s="669"/>
    </row>
    <row r="1818" spans="28:28">
      <c r="AB1818" s="669"/>
    </row>
    <row r="1819" spans="28:28">
      <c r="AB1819" s="669"/>
    </row>
    <row r="1820" spans="28:28">
      <c r="AB1820" s="669"/>
    </row>
    <row r="1821" spans="28:28">
      <c r="AB1821" s="669"/>
    </row>
    <row r="1822" spans="28:28">
      <c r="AB1822" s="669"/>
    </row>
    <row r="1823" spans="28:28">
      <c r="AB1823" s="669"/>
    </row>
    <row r="1824" spans="28:28">
      <c r="AB1824" s="669"/>
    </row>
    <row r="1825" spans="28:28">
      <c r="AB1825" s="669"/>
    </row>
    <row r="1826" spans="28:28">
      <c r="AB1826" s="669"/>
    </row>
    <row r="1827" spans="28:28">
      <c r="AB1827" s="669"/>
    </row>
    <row r="1828" spans="28:28">
      <c r="AB1828" s="669"/>
    </row>
    <row r="1829" spans="28:28">
      <c r="AB1829" s="669"/>
    </row>
    <row r="1830" spans="28:28">
      <c r="AB1830" s="669"/>
    </row>
    <row r="1831" spans="28:28">
      <c r="AB1831" s="669"/>
    </row>
    <row r="1832" spans="28:28">
      <c r="AB1832" s="669"/>
    </row>
    <row r="1833" spans="28:28">
      <c r="AB1833" s="669"/>
    </row>
    <row r="1834" spans="28:28">
      <c r="AB1834" s="669"/>
    </row>
    <row r="1835" spans="28:28">
      <c r="AB1835" s="669"/>
    </row>
    <row r="1836" spans="28:28">
      <c r="AB1836" s="669"/>
    </row>
    <row r="1837" spans="28:28">
      <c r="AB1837" s="669"/>
    </row>
    <row r="1838" spans="28:28">
      <c r="AB1838" s="669"/>
    </row>
    <row r="1839" spans="28:28">
      <c r="AB1839" s="669"/>
    </row>
    <row r="1840" spans="28:28">
      <c r="AB1840" s="669"/>
    </row>
    <row r="1841" spans="28:28">
      <c r="AB1841" s="669"/>
    </row>
    <row r="1842" spans="28:28">
      <c r="AB1842" s="669"/>
    </row>
    <row r="1843" spans="28:28">
      <c r="AB1843" s="669"/>
    </row>
    <row r="1844" spans="28:28">
      <c r="AB1844" s="669"/>
    </row>
    <row r="1845" spans="28:28">
      <c r="AB1845" s="669"/>
    </row>
    <row r="1846" spans="28:28">
      <c r="AB1846" s="669"/>
    </row>
    <row r="1847" spans="28:28">
      <c r="AB1847" s="669"/>
    </row>
    <row r="1848" spans="28:28">
      <c r="AB1848" s="669"/>
    </row>
    <row r="1849" spans="28:28">
      <c r="AB1849" s="669"/>
    </row>
    <row r="1850" spans="28:28">
      <c r="AB1850" s="669"/>
    </row>
    <row r="1851" spans="28:28">
      <c r="AB1851" s="669"/>
    </row>
    <row r="1852" spans="28:28">
      <c r="AB1852" s="669"/>
    </row>
    <row r="1853" spans="28:28">
      <c r="AB1853" s="669"/>
    </row>
    <row r="1854" spans="28:28">
      <c r="AB1854" s="669"/>
    </row>
    <row r="1855" spans="28:28">
      <c r="AB1855" s="669"/>
    </row>
    <row r="1856" spans="28:28">
      <c r="AB1856" s="669"/>
    </row>
    <row r="1857" spans="28:28">
      <c r="AB1857" s="669"/>
    </row>
    <row r="1858" spans="28:28">
      <c r="AB1858" s="669"/>
    </row>
    <row r="1859" spans="28:28">
      <c r="AB1859" s="669"/>
    </row>
    <row r="1860" spans="28:28">
      <c r="AB1860" s="669"/>
    </row>
    <row r="1861" spans="28:28">
      <c r="AB1861" s="669"/>
    </row>
    <row r="1862" spans="28:28">
      <c r="AB1862" s="669"/>
    </row>
    <row r="1863" spans="28:28">
      <c r="AB1863" s="669"/>
    </row>
    <row r="1864" spans="28:28">
      <c r="AB1864" s="669"/>
    </row>
    <row r="1865" spans="28:28">
      <c r="AB1865" s="669"/>
    </row>
    <row r="1866" spans="28:28">
      <c r="AB1866" s="669"/>
    </row>
    <row r="1867" spans="28:28">
      <c r="AB1867" s="669"/>
    </row>
    <row r="1868" spans="28:28">
      <c r="AB1868" s="669"/>
    </row>
    <row r="1869" spans="28:28">
      <c r="AB1869" s="669"/>
    </row>
    <row r="1870" spans="28:28">
      <c r="AB1870" s="669"/>
    </row>
    <row r="1871" spans="28:28">
      <c r="AB1871" s="669"/>
    </row>
    <row r="1872" spans="28:28">
      <c r="AB1872" s="669"/>
    </row>
    <row r="1873" spans="28:28">
      <c r="AB1873" s="669"/>
    </row>
    <row r="1874" spans="28:28">
      <c r="AB1874" s="669"/>
    </row>
    <row r="1875" spans="28:28">
      <c r="AB1875" s="669"/>
    </row>
    <row r="1876" spans="28:28">
      <c r="AB1876" s="669"/>
    </row>
    <row r="1877" spans="28:28">
      <c r="AB1877" s="669"/>
    </row>
    <row r="1878" spans="28:28">
      <c r="AB1878" s="669"/>
    </row>
    <row r="1879" spans="28:28">
      <c r="AB1879" s="669"/>
    </row>
    <row r="1880" spans="28:28">
      <c r="AB1880" s="669"/>
    </row>
    <row r="1881" spans="28:28">
      <c r="AB1881" s="669"/>
    </row>
    <row r="1882" spans="28:28">
      <c r="AB1882" s="669"/>
    </row>
    <row r="1883" spans="28:28">
      <c r="AB1883" s="669"/>
    </row>
    <row r="1884" spans="28:28">
      <c r="AB1884" s="669"/>
    </row>
    <row r="1885" spans="28:28">
      <c r="AB1885" s="669"/>
    </row>
    <row r="1886" spans="28:28">
      <c r="AB1886" s="669"/>
    </row>
    <row r="1887" spans="28:28">
      <c r="AB1887" s="669"/>
    </row>
    <row r="1888" spans="28:28">
      <c r="AB1888" s="669"/>
    </row>
    <row r="1889" spans="28:28">
      <c r="AB1889" s="669"/>
    </row>
    <row r="1890" spans="28:28">
      <c r="AB1890" s="669"/>
    </row>
    <row r="1891" spans="28:28">
      <c r="AB1891" s="669"/>
    </row>
    <row r="1892" spans="28:28">
      <c r="AB1892" s="669"/>
    </row>
    <row r="1893" spans="28:28">
      <c r="AB1893" s="669"/>
    </row>
    <row r="1894" spans="28:28">
      <c r="AB1894" s="669"/>
    </row>
    <row r="1895" spans="28:28">
      <c r="AB1895" s="669"/>
    </row>
    <row r="1896" spans="28:28">
      <c r="AB1896" s="669"/>
    </row>
    <row r="1897" spans="28:28">
      <c r="AB1897" s="669"/>
    </row>
    <row r="1898" spans="28:28">
      <c r="AB1898" s="669"/>
    </row>
    <row r="1899" spans="28:28">
      <c r="AB1899" s="669"/>
    </row>
    <row r="1900" spans="28:28">
      <c r="AB1900" s="669"/>
    </row>
    <row r="1901" spans="28:28">
      <c r="AB1901" s="669"/>
    </row>
    <row r="1902" spans="28:28">
      <c r="AB1902" s="669"/>
    </row>
    <row r="1903" spans="28:28">
      <c r="AB1903" s="669"/>
    </row>
    <row r="1904" spans="28:28">
      <c r="AB1904" s="669"/>
    </row>
    <row r="1905" spans="28:28">
      <c r="AB1905" s="669"/>
    </row>
    <row r="1906" spans="28:28">
      <c r="AB1906" s="669"/>
    </row>
    <row r="1907" spans="28:28">
      <c r="AB1907" s="669"/>
    </row>
    <row r="1908" spans="28:28">
      <c r="AB1908" s="669"/>
    </row>
    <row r="1909" spans="28:28">
      <c r="AB1909" s="669"/>
    </row>
    <row r="1910" spans="28:28">
      <c r="AB1910" s="669"/>
    </row>
    <row r="1911" spans="28:28">
      <c r="AB1911" s="669"/>
    </row>
    <row r="1912" spans="28:28">
      <c r="AB1912" s="669"/>
    </row>
    <row r="1913" spans="28:28">
      <c r="AB1913" s="669"/>
    </row>
    <row r="1914" spans="28:28">
      <c r="AB1914" s="669"/>
    </row>
    <row r="1915" spans="28:28">
      <c r="AB1915" s="669"/>
    </row>
    <row r="1916" spans="28:28">
      <c r="AB1916" s="669"/>
    </row>
    <row r="1917" spans="28:28">
      <c r="AB1917" s="669"/>
    </row>
    <row r="1918" spans="28:28">
      <c r="AB1918" s="669"/>
    </row>
    <row r="1919" spans="28:28">
      <c r="AB1919" s="669"/>
    </row>
    <row r="1920" spans="28:28">
      <c r="AB1920" s="669"/>
    </row>
    <row r="1921" spans="28:28">
      <c r="AB1921" s="669"/>
    </row>
    <row r="1922" spans="28:28">
      <c r="AB1922" s="669"/>
    </row>
    <row r="1923" spans="28:28">
      <c r="AB1923" s="669"/>
    </row>
    <row r="1924" spans="28:28">
      <c r="AB1924" s="669"/>
    </row>
    <row r="1925" spans="28:28">
      <c r="AB1925" s="669"/>
    </row>
    <row r="1926" spans="28:28">
      <c r="AB1926" s="669"/>
    </row>
    <row r="1927" spans="28:28">
      <c r="AB1927" s="669"/>
    </row>
    <row r="1928" spans="28:28">
      <c r="AB1928" s="669"/>
    </row>
    <row r="1929" spans="28:28">
      <c r="AB1929" s="669"/>
    </row>
    <row r="1930" spans="28:28">
      <c r="AB1930" s="669"/>
    </row>
    <row r="1931" spans="28:28">
      <c r="AB1931" s="669"/>
    </row>
    <row r="1932" spans="28:28">
      <c r="AB1932" s="669"/>
    </row>
    <row r="1933" spans="28:28">
      <c r="AB1933" s="669"/>
    </row>
    <row r="1934" spans="28:28">
      <c r="AB1934" s="669"/>
    </row>
    <row r="1935" spans="28:28">
      <c r="AB1935" s="669"/>
    </row>
    <row r="1936" spans="28:28">
      <c r="AB1936" s="669"/>
    </row>
    <row r="1937" spans="28:28">
      <c r="AB1937" s="669"/>
    </row>
    <row r="1938" spans="28:28">
      <c r="AB1938" s="669"/>
    </row>
    <row r="1939" spans="28:28">
      <c r="AB1939" s="669"/>
    </row>
    <row r="1940" spans="28:28">
      <c r="AB1940" s="669"/>
    </row>
    <row r="1941" spans="28:28">
      <c r="AB1941" s="669"/>
    </row>
    <row r="1942" spans="28:28">
      <c r="AB1942" s="669"/>
    </row>
    <row r="1943" spans="28:28">
      <c r="AB1943" s="669"/>
    </row>
    <row r="1944" spans="28:28">
      <c r="AB1944" s="669"/>
    </row>
    <row r="1945" spans="28:28">
      <c r="AB1945" s="669"/>
    </row>
    <row r="1946" spans="28:28">
      <c r="AB1946" s="669"/>
    </row>
    <row r="1947" spans="28:28">
      <c r="AB1947" s="669"/>
    </row>
    <row r="1948" spans="28:28">
      <c r="AB1948" s="669"/>
    </row>
    <row r="1949" spans="28:28">
      <c r="AB1949" s="669"/>
    </row>
    <row r="1950" spans="28:28">
      <c r="AB1950" s="669"/>
    </row>
    <row r="1951" spans="28:28">
      <c r="AB1951" s="669"/>
    </row>
    <row r="1952" spans="28:28">
      <c r="AB1952" s="669"/>
    </row>
    <row r="1953" spans="28:28">
      <c r="AB1953" s="669"/>
    </row>
    <row r="1954" spans="28:28">
      <c r="AB1954" s="669"/>
    </row>
    <row r="1955" spans="28:28">
      <c r="AB1955" s="669"/>
    </row>
    <row r="1956" spans="28:28">
      <c r="AB1956" s="669"/>
    </row>
    <row r="1957" spans="28:28">
      <c r="AB1957" s="669"/>
    </row>
    <row r="1958" spans="28:28">
      <c r="AB1958" s="669"/>
    </row>
    <row r="1959" spans="28:28">
      <c r="AB1959" s="669"/>
    </row>
    <row r="1960" spans="28:28">
      <c r="AB1960" s="669"/>
    </row>
    <row r="1961" spans="28:28">
      <c r="AB1961" s="669"/>
    </row>
    <row r="1962" spans="28:28">
      <c r="AB1962" s="669"/>
    </row>
    <row r="1963" spans="28:28">
      <c r="AB1963" s="669"/>
    </row>
    <row r="1964" spans="28:28">
      <c r="AB1964" s="669"/>
    </row>
    <row r="1965" spans="28:28">
      <c r="AB1965" s="669"/>
    </row>
    <row r="1966" spans="28:28">
      <c r="AB1966" s="669"/>
    </row>
    <row r="1967" spans="28:28">
      <c r="AB1967" s="669"/>
    </row>
    <row r="1968" spans="28:28">
      <c r="AB1968" s="669"/>
    </row>
    <row r="1969" spans="28:28">
      <c r="AB1969" s="669"/>
    </row>
    <row r="1970" spans="28:28">
      <c r="AB1970" s="669"/>
    </row>
    <row r="1971" spans="28:28">
      <c r="AB1971" s="669"/>
    </row>
    <row r="1972" spans="28:28">
      <c r="AB1972" s="669"/>
    </row>
    <row r="1973" spans="28:28">
      <c r="AB1973" s="669"/>
    </row>
    <row r="1974" spans="28:28">
      <c r="AB1974" s="669"/>
    </row>
    <row r="1975" spans="28:28">
      <c r="AB1975" s="669"/>
    </row>
    <row r="1976" spans="28:28">
      <c r="AB1976" s="669"/>
    </row>
    <row r="1977" spans="28:28">
      <c r="AB1977" s="669"/>
    </row>
    <row r="1978" spans="28:28">
      <c r="AB1978" s="669"/>
    </row>
    <row r="1979" spans="28:28">
      <c r="AB1979" s="669"/>
    </row>
    <row r="1980" spans="28:28">
      <c r="AB1980" s="669"/>
    </row>
    <row r="1981" spans="28:28">
      <c r="AB1981" s="669"/>
    </row>
    <row r="1982" spans="28:28">
      <c r="AB1982" s="669"/>
    </row>
    <row r="1983" spans="28:28">
      <c r="AB1983" s="669"/>
    </row>
    <row r="1984" spans="28:28">
      <c r="AB1984" s="669"/>
    </row>
    <row r="1985" spans="28:28">
      <c r="AB1985" s="669"/>
    </row>
    <row r="1986" spans="28:28">
      <c r="AB1986" s="669"/>
    </row>
    <row r="1987" spans="28:28">
      <c r="AB1987" s="669"/>
    </row>
    <row r="1988" spans="28:28">
      <c r="AB1988" s="669"/>
    </row>
    <row r="1989" spans="28:28">
      <c r="AB1989" s="669"/>
    </row>
    <row r="1990" spans="28:28">
      <c r="AB1990" s="669"/>
    </row>
    <row r="1991" spans="28:28">
      <c r="AB1991" s="669"/>
    </row>
    <row r="1992" spans="28:28">
      <c r="AB1992" s="669"/>
    </row>
    <row r="1993" spans="28:28">
      <c r="AB1993" s="669"/>
    </row>
    <row r="1994" spans="28:28">
      <c r="AB1994" s="669"/>
    </row>
    <row r="1995" spans="28:28">
      <c r="AB1995" s="669"/>
    </row>
    <row r="1996" spans="28:28">
      <c r="AB1996" s="669"/>
    </row>
    <row r="1997" spans="28:28">
      <c r="AB1997" s="669"/>
    </row>
    <row r="1998" spans="28:28">
      <c r="AB1998" s="669"/>
    </row>
    <row r="1999" spans="28:28">
      <c r="AB1999" s="669"/>
    </row>
    <row r="2000" spans="28:28">
      <c r="AB2000" s="669"/>
    </row>
    <row r="2001" spans="28:28">
      <c r="AB2001" s="669"/>
    </row>
    <row r="2002" spans="28:28">
      <c r="AB2002" s="669"/>
    </row>
    <row r="2003" spans="28:28">
      <c r="AB2003" s="669"/>
    </row>
    <row r="2004" spans="28:28">
      <c r="AB2004" s="669"/>
    </row>
    <row r="2005" spans="28:28">
      <c r="AB2005" s="669"/>
    </row>
    <row r="2006" spans="28:28">
      <c r="AB2006" s="669"/>
    </row>
    <row r="2007" spans="28:28">
      <c r="AB2007" s="669"/>
    </row>
    <row r="2008" spans="28:28">
      <c r="AB2008" s="669"/>
    </row>
    <row r="2009" spans="28:28">
      <c r="AB2009" s="669"/>
    </row>
    <row r="2010" spans="28:28">
      <c r="AB2010" s="669"/>
    </row>
    <row r="2011" spans="28:28">
      <c r="AB2011" s="669"/>
    </row>
    <row r="2012" spans="28:28">
      <c r="AB2012" s="669"/>
    </row>
    <row r="2013" spans="28:28">
      <c r="AB2013" s="669"/>
    </row>
    <row r="2014" spans="28:28">
      <c r="AB2014" s="669"/>
    </row>
    <row r="2015" spans="28:28">
      <c r="AB2015" s="669"/>
    </row>
    <row r="2016" spans="28:28">
      <c r="AB2016" s="669"/>
    </row>
    <row r="2017" spans="28:28">
      <c r="AB2017" s="669"/>
    </row>
    <row r="2018" spans="28:28">
      <c r="AB2018" s="669"/>
    </row>
    <row r="2019" spans="28:28">
      <c r="AB2019" s="669"/>
    </row>
    <row r="2020" spans="28:28">
      <c r="AB2020" s="669"/>
    </row>
    <row r="2021" spans="28:28">
      <c r="AB2021" s="669"/>
    </row>
    <row r="2022" spans="28:28">
      <c r="AB2022" s="669"/>
    </row>
    <row r="2023" spans="28:28">
      <c r="AB2023" s="669"/>
    </row>
    <row r="2024" spans="28:28">
      <c r="AB2024" s="669"/>
    </row>
    <row r="2025" spans="28:28">
      <c r="AB2025" s="669"/>
    </row>
    <row r="2026" spans="28:28">
      <c r="AB2026" s="669"/>
    </row>
    <row r="2027" spans="28:28">
      <c r="AB2027" s="669"/>
    </row>
    <row r="2028" spans="28:28">
      <c r="AB2028" s="669"/>
    </row>
    <row r="2029" spans="28:28">
      <c r="AB2029" s="669"/>
    </row>
    <row r="2030" spans="28:28">
      <c r="AB2030" s="669"/>
    </row>
    <row r="2031" spans="28:28">
      <c r="AB2031" s="669"/>
    </row>
    <row r="2032" spans="28:28">
      <c r="AB2032" s="669"/>
    </row>
    <row r="2033" spans="28:28">
      <c r="AB2033" s="669"/>
    </row>
    <row r="2034" spans="28:28">
      <c r="AB2034" s="669"/>
    </row>
    <row r="2035" spans="28:28">
      <c r="AB2035" s="669"/>
    </row>
    <row r="2036" spans="28:28">
      <c r="AB2036" s="669"/>
    </row>
    <row r="2037" spans="28:28">
      <c r="AB2037" s="669"/>
    </row>
    <row r="2038" spans="28:28">
      <c r="AB2038" s="669"/>
    </row>
    <row r="2039" spans="28:28">
      <c r="AB2039" s="669"/>
    </row>
    <row r="2040" spans="28:28">
      <c r="AB2040" s="669"/>
    </row>
    <row r="2041" spans="28:28">
      <c r="AB2041" s="669"/>
    </row>
    <row r="2042" spans="28:28">
      <c r="AB2042" s="669"/>
    </row>
    <row r="2043" spans="28:28">
      <c r="AB2043" s="669"/>
    </row>
    <row r="2044" spans="28:28">
      <c r="AB2044" s="669"/>
    </row>
    <row r="2045" spans="28:28">
      <c r="AB2045" s="669"/>
    </row>
    <row r="2046" spans="28:28">
      <c r="AB2046" s="669"/>
    </row>
    <row r="2047" spans="28:28">
      <c r="AB2047" s="669"/>
    </row>
    <row r="2048" spans="28:28">
      <c r="AB2048" s="669"/>
    </row>
    <row r="2049" spans="28:28">
      <c r="AB2049" s="669"/>
    </row>
    <row r="2050" spans="28:28">
      <c r="AB2050" s="669"/>
    </row>
    <row r="2051" spans="28:28">
      <c r="AB2051" s="669"/>
    </row>
    <row r="2052" spans="28:28">
      <c r="AB2052" s="669"/>
    </row>
    <row r="2053" spans="28:28">
      <c r="AB2053" s="669"/>
    </row>
    <row r="2054" spans="28:28">
      <c r="AB2054" s="669"/>
    </row>
    <row r="2055" spans="28:28">
      <c r="AB2055" s="669"/>
    </row>
    <row r="2056" spans="28:28">
      <c r="AB2056" s="669"/>
    </row>
    <row r="2057" spans="28:28">
      <c r="AB2057" s="669"/>
    </row>
    <row r="2058" spans="28:28">
      <c r="AB2058" s="669"/>
    </row>
    <row r="2059" spans="28:28">
      <c r="AB2059" s="669"/>
    </row>
    <row r="2060" spans="28:28">
      <c r="AB2060" s="669"/>
    </row>
    <row r="2061" spans="28:28">
      <c r="AB2061" s="669"/>
    </row>
    <row r="2062" spans="28:28">
      <c r="AB2062" s="669"/>
    </row>
    <row r="2063" spans="28:28">
      <c r="AB2063" s="669"/>
    </row>
    <row r="2064" spans="28:28">
      <c r="AB2064" s="669"/>
    </row>
    <row r="2065" spans="28:28">
      <c r="AB2065" s="669"/>
    </row>
    <row r="2066" spans="28:28">
      <c r="AB2066" s="669"/>
    </row>
    <row r="2067" spans="28:28">
      <c r="AB2067" s="669"/>
    </row>
    <row r="2068" spans="28:28">
      <c r="AB2068" s="669"/>
    </row>
    <row r="2069" spans="28:28">
      <c r="AB2069" s="669"/>
    </row>
    <row r="2070" spans="28:28">
      <c r="AB2070" s="669"/>
    </row>
    <row r="2071" spans="28:28">
      <c r="AB2071" s="669"/>
    </row>
    <row r="2072" spans="28:28">
      <c r="AB2072" s="669"/>
    </row>
    <row r="2073" spans="28:28">
      <c r="AB2073" s="669"/>
    </row>
    <row r="2074" spans="28:28">
      <c r="AB2074" s="669"/>
    </row>
    <row r="2075" spans="28:28">
      <c r="AB2075" s="669"/>
    </row>
    <row r="2076" spans="28:28">
      <c r="AB2076" s="669"/>
    </row>
    <row r="2077" spans="28:28">
      <c r="AB2077" s="669"/>
    </row>
    <row r="2078" spans="28:28">
      <c r="AB2078" s="669"/>
    </row>
    <row r="2079" spans="28:28">
      <c r="AB2079" s="669"/>
    </row>
    <row r="2080" spans="28:28">
      <c r="AB2080" s="669"/>
    </row>
    <row r="2081" spans="28:28">
      <c r="AB2081" s="669"/>
    </row>
    <row r="2082" spans="28:28">
      <c r="AB2082" s="669"/>
    </row>
    <row r="2083" spans="28:28">
      <c r="AB2083" s="669"/>
    </row>
    <row r="2084" spans="28:28">
      <c r="AB2084" s="669"/>
    </row>
    <row r="2085" spans="28:28">
      <c r="AB2085" s="669"/>
    </row>
    <row r="2086" spans="28:28">
      <c r="AB2086" s="669"/>
    </row>
    <row r="2087" spans="28:28">
      <c r="AB2087" s="669"/>
    </row>
    <row r="2088" spans="28:28">
      <c r="AB2088" s="669"/>
    </row>
    <row r="2089" spans="28:28">
      <c r="AB2089" s="669"/>
    </row>
    <row r="2090" spans="28:28">
      <c r="AB2090" s="669"/>
    </row>
    <row r="2091" spans="28:28">
      <c r="AB2091" s="669"/>
    </row>
    <row r="2092" spans="28:28">
      <c r="AB2092" s="669"/>
    </row>
    <row r="2093" spans="28:28">
      <c r="AB2093" s="669"/>
    </row>
    <row r="2094" spans="28:28">
      <c r="AB2094" s="669"/>
    </row>
    <row r="2095" spans="28:28">
      <c r="AB2095" s="669"/>
    </row>
    <row r="2096" spans="28:28">
      <c r="AB2096" s="669"/>
    </row>
    <row r="2097" spans="28:28">
      <c r="AB2097" s="669"/>
    </row>
    <row r="2098" spans="28:28">
      <c r="AB2098" s="669"/>
    </row>
    <row r="2099" spans="28:28">
      <c r="AB2099" s="669"/>
    </row>
    <row r="2100" spans="28:28">
      <c r="AB2100" s="669"/>
    </row>
    <row r="2101" spans="28:28">
      <c r="AB2101" s="669"/>
    </row>
    <row r="2102" spans="28:28">
      <c r="AB2102" s="669"/>
    </row>
    <row r="2103" spans="28:28">
      <c r="AB2103" s="669"/>
    </row>
    <row r="2104" spans="28:28">
      <c r="AB2104" s="669"/>
    </row>
    <row r="2105" spans="28:28">
      <c r="AB2105" s="669"/>
    </row>
    <row r="2106" spans="28:28">
      <c r="AB2106" s="669"/>
    </row>
    <row r="2107" spans="28:28">
      <c r="AB2107" s="669"/>
    </row>
    <row r="2108" spans="28:28">
      <c r="AB2108" s="669"/>
    </row>
    <row r="2109" spans="28:28">
      <c r="AB2109" s="669"/>
    </row>
    <row r="2110" spans="28:28">
      <c r="AB2110" s="669"/>
    </row>
    <row r="2111" spans="28:28">
      <c r="AB2111" s="669"/>
    </row>
    <row r="2112" spans="28:28">
      <c r="AB2112" s="669"/>
    </row>
    <row r="2113" spans="28:28">
      <c r="AB2113" s="669"/>
    </row>
    <row r="2114" spans="28:28">
      <c r="AB2114" s="669"/>
    </row>
    <row r="2115" spans="28:28">
      <c r="AB2115" s="669"/>
    </row>
    <row r="2116" spans="28:28">
      <c r="AB2116" s="669"/>
    </row>
    <row r="2117" spans="28:28">
      <c r="AB2117" s="669"/>
    </row>
    <row r="2118" spans="28:28">
      <c r="AB2118" s="669"/>
    </row>
    <row r="2119" spans="28:28">
      <c r="AB2119" s="669"/>
    </row>
    <row r="2120" spans="28:28">
      <c r="AB2120" s="669"/>
    </row>
    <row r="2121" spans="28:28">
      <c r="AB2121" s="669"/>
    </row>
    <row r="2122" spans="28:28">
      <c r="AB2122" s="669"/>
    </row>
    <row r="2123" spans="28:28">
      <c r="AB2123" s="669"/>
    </row>
    <row r="2124" spans="28:28">
      <c r="AB2124" s="669"/>
    </row>
    <row r="2125" spans="28:28">
      <c r="AB2125" s="669"/>
    </row>
    <row r="2126" spans="28:28">
      <c r="AB2126" s="669"/>
    </row>
    <row r="2127" spans="28:28">
      <c r="AB2127" s="669"/>
    </row>
    <row r="2128" spans="28:28">
      <c r="AB2128" s="669"/>
    </row>
    <row r="2129" spans="28:28">
      <c r="AB2129" s="669"/>
    </row>
    <row r="2130" spans="28:28">
      <c r="AB2130" s="669"/>
    </row>
    <row r="2131" spans="28:28">
      <c r="AB2131" s="669"/>
    </row>
    <row r="2132" spans="28:28">
      <c r="AB2132" s="669"/>
    </row>
    <row r="2133" spans="28:28">
      <c r="AB2133" s="669"/>
    </row>
    <row r="2134" spans="28:28">
      <c r="AB2134" s="669"/>
    </row>
    <row r="2135" spans="28:28">
      <c r="AB2135" s="669"/>
    </row>
    <row r="2136" spans="28:28">
      <c r="AB2136" s="669"/>
    </row>
    <row r="2137" spans="28:28">
      <c r="AB2137" s="669"/>
    </row>
    <row r="2138" spans="28:28">
      <c r="AB2138" s="669"/>
    </row>
    <row r="2139" spans="28:28">
      <c r="AB2139" s="669"/>
    </row>
    <row r="2140" spans="28:28">
      <c r="AB2140" s="669"/>
    </row>
    <row r="2141" spans="28:28">
      <c r="AB2141" s="669"/>
    </row>
    <row r="2142" spans="28:28">
      <c r="AB2142" s="669"/>
    </row>
    <row r="2143" spans="28:28">
      <c r="AB2143" s="669"/>
    </row>
    <row r="2144" spans="28:28">
      <c r="AB2144" s="669"/>
    </row>
    <row r="2145" spans="28:28">
      <c r="AB2145" s="669"/>
    </row>
    <row r="2146" spans="28:28">
      <c r="AB2146" s="669"/>
    </row>
    <row r="2147" spans="28:28">
      <c r="AB2147" s="669"/>
    </row>
    <row r="2148" spans="28:28">
      <c r="AB2148" s="669"/>
    </row>
    <row r="2149" spans="28:28">
      <c r="AB2149" s="669"/>
    </row>
    <row r="2150" spans="28:28">
      <c r="AB2150" s="669"/>
    </row>
    <row r="2151" spans="28:28">
      <c r="AB2151" s="669"/>
    </row>
    <row r="2152" spans="28:28">
      <c r="AB2152" s="669"/>
    </row>
    <row r="2153" spans="28:28">
      <c r="AB2153" s="669"/>
    </row>
    <row r="2154" spans="28:28">
      <c r="AB2154" s="669"/>
    </row>
    <row r="2155" spans="28:28">
      <c r="AB2155" s="669"/>
    </row>
    <row r="2156" spans="28:28">
      <c r="AB2156" s="669"/>
    </row>
    <row r="2157" spans="28:28">
      <c r="AB2157" s="669"/>
    </row>
    <row r="2158" spans="28:28">
      <c r="AB2158" s="669"/>
    </row>
    <row r="2159" spans="28:28">
      <c r="AB2159" s="669"/>
    </row>
    <row r="2160" spans="28:28">
      <c r="AB2160" s="669"/>
    </row>
    <row r="2161" spans="28:28">
      <c r="AB2161" s="669"/>
    </row>
    <row r="2162" spans="28:28">
      <c r="AB2162" s="669"/>
    </row>
    <row r="2163" spans="28:28">
      <c r="AB2163" s="669"/>
    </row>
    <row r="2164" spans="28:28">
      <c r="AB2164" s="669"/>
    </row>
    <row r="2165" spans="28:28">
      <c r="AB2165" s="669"/>
    </row>
    <row r="2166" spans="28:28">
      <c r="AB2166" s="669"/>
    </row>
    <row r="2167" spans="28:28">
      <c r="AB2167" s="669"/>
    </row>
    <row r="2168" spans="28:28">
      <c r="AB2168" s="669"/>
    </row>
    <row r="2169" spans="28:28">
      <c r="AB2169" s="669"/>
    </row>
    <row r="2170" spans="28:28">
      <c r="AB2170" s="669"/>
    </row>
    <row r="2171" spans="28:28">
      <c r="AB2171" s="669"/>
    </row>
    <row r="2172" spans="28:28">
      <c r="AB2172" s="669"/>
    </row>
    <row r="2173" spans="28:28">
      <c r="AB2173" s="669"/>
    </row>
    <row r="2174" spans="28:28">
      <c r="AB2174" s="669"/>
    </row>
    <row r="2175" spans="28:28">
      <c r="AB2175" s="669"/>
    </row>
    <row r="2176" spans="28:28">
      <c r="AB2176" s="669"/>
    </row>
    <row r="2177" spans="28:28">
      <c r="AB2177" s="669"/>
    </row>
    <row r="2178" spans="28:28">
      <c r="AB2178" s="669"/>
    </row>
    <row r="2179" spans="28:28">
      <c r="AB2179" s="669"/>
    </row>
    <row r="2180" spans="28:28">
      <c r="AB2180" s="669"/>
    </row>
    <row r="2181" spans="28:28">
      <c r="AB2181" s="669"/>
    </row>
    <row r="2182" spans="28:28">
      <c r="AB2182" s="669"/>
    </row>
    <row r="2183" spans="28:28">
      <c r="AB2183" s="669"/>
    </row>
    <row r="2184" spans="28:28">
      <c r="AB2184" s="669"/>
    </row>
    <row r="2185" spans="28:28">
      <c r="AB2185" s="669"/>
    </row>
    <row r="2186" spans="28:28">
      <c r="AB2186" s="669"/>
    </row>
    <row r="2187" spans="28:28">
      <c r="AB2187" s="669"/>
    </row>
    <row r="2188" spans="28:28">
      <c r="AB2188" s="669"/>
    </row>
    <row r="2189" spans="28:28">
      <c r="AB2189" s="669"/>
    </row>
    <row r="2190" spans="28:28">
      <c r="AB2190" s="669"/>
    </row>
    <row r="2191" spans="28:28">
      <c r="AB2191" s="669"/>
    </row>
    <row r="2192" spans="28:28">
      <c r="AB2192" s="669"/>
    </row>
    <row r="2193" spans="28:28">
      <c r="AB2193" s="669"/>
    </row>
    <row r="2194" spans="28:28">
      <c r="AB2194" s="669"/>
    </row>
    <row r="2195" spans="28:28">
      <c r="AB2195" s="669"/>
    </row>
    <row r="2196" spans="28:28">
      <c r="AB2196" s="669"/>
    </row>
    <row r="2197" spans="28:28">
      <c r="AB2197" s="669"/>
    </row>
    <row r="2198" spans="28:28">
      <c r="AB2198" s="669"/>
    </row>
    <row r="2199" spans="28:28">
      <c r="AB2199" s="669"/>
    </row>
    <row r="2200" spans="28:28">
      <c r="AB2200" s="669"/>
    </row>
    <row r="2201" spans="28:28">
      <c r="AB2201" s="669"/>
    </row>
    <row r="2202" spans="28:28">
      <c r="AB2202" s="669"/>
    </row>
    <row r="2203" spans="28:28">
      <c r="AB2203" s="669"/>
    </row>
    <row r="2204" spans="28:28">
      <c r="AB2204" s="669"/>
    </row>
    <row r="2205" spans="28:28">
      <c r="AB2205" s="669"/>
    </row>
    <row r="2206" spans="28:28">
      <c r="AB2206" s="669"/>
    </row>
    <row r="2207" spans="28:28">
      <c r="AB2207" s="669"/>
    </row>
    <row r="2208" spans="28:28">
      <c r="AB2208" s="669"/>
    </row>
    <row r="2209" spans="28:28">
      <c r="AB2209" s="669"/>
    </row>
    <row r="2210" spans="28:28">
      <c r="AB2210" s="669"/>
    </row>
    <row r="2211" spans="28:28">
      <c r="AB2211" s="669"/>
    </row>
    <row r="2212" spans="28:28">
      <c r="AB2212" s="669"/>
    </row>
    <row r="2213" spans="28:28">
      <c r="AB2213" s="669"/>
    </row>
    <row r="2214" spans="28:28">
      <c r="AB2214" s="669"/>
    </row>
    <row r="2215" spans="28:28">
      <c r="AB2215" s="669"/>
    </row>
    <row r="2216" spans="28:28">
      <c r="AB2216" s="669"/>
    </row>
    <row r="2217" spans="28:28">
      <c r="AB2217" s="669"/>
    </row>
    <row r="2218" spans="28:28">
      <c r="AB2218" s="669"/>
    </row>
    <row r="2219" spans="28:28">
      <c r="AB2219" s="669"/>
    </row>
    <row r="2220" spans="28:28">
      <c r="AB2220" s="669"/>
    </row>
    <row r="2221" spans="28:28">
      <c r="AB2221" s="669"/>
    </row>
    <row r="2222" spans="28:28">
      <c r="AB2222" s="669"/>
    </row>
    <row r="2223" spans="28:28">
      <c r="AB2223" s="669"/>
    </row>
    <row r="2224" spans="28:28">
      <c r="AB2224" s="669"/>
    </row>
    <row r="2225" spans="28:28">
      <c r="AB2225" s="669"/>
    </row>
    <row r="2226" spans="28:28">
      <c r="AB2226" s="669"/>
    </row>
    <row r="2227" spans="28:28">
      <c r="AB2227" s="669"/>
    </row>
    <row r="2228" spans="28:28">
      <c r="AB2228" s="669"/>
    </row>
    <row r="2229" spans="28:28">
      <c r="AB2229" s="669"/>
    </row>
    <row r="2230" spans="28:28">
      <c r="AB2230" s="669"/>
    </row>
    <row r="2231" spans="28:28">
      <c r="AB2231" s="669"/>
    </row>
    <row r="2232" spans="28:28">
      <c r="AB2232" s="669"/>
    </row>
    <row r="2233" spans="28:28">
      <c r="AB2233" s="669"/>
    </row>
    <row r="2234" spans="28:28">
      <c r="AB2234" s="669"/>
    </row>
    <row r="2235" spans="28:28">
      <c r="AB2235" s="669"/>
    </row>
    <row r="2236" spans="28:28">
      <c r="AB2236" s="669"/>
    </row>
    <row r="2237" spans="28:28">
      <c r="AB2237" s="669"/>
    </row>
    <row r="2238" spans="28:28">
      <c r="AB2238" s="669"/>
    </row>
    <row r="2239" spans="28:28">
      <c r="AB2239" s="669"/>
    </row>
    <row r="2240" spans="28:28">
      <c r="AB2240" s="669"/>
    </row>
    <row r="2241" spans="28:28">
      <c r="AB2241" s="669"/>
    </row>
    <row r="2242" spans="28:28">
      <c r="AB2242" s="669"/>
    </row>
    <row r="2243" spans="28:28">
      <c r="AB2243" s="669"/>
    </row>
    <row r="2244" spans="28:28">
      <c r="AB2244" s="669"/>
    </row>
    <row r="2245" spans="28:28">
      <c r="AB2245" s="669"/>
    </row>
    <row r="2246" spans="28:28">
      <c r="AB2246" s="669"/>
    </row>
    <row r="2247" spans="28:28">
      <c r="AB2247" s="669"/>
    </row>
    <row r="2248" spans="28:28">
      <c r="AB2248" s="669"/>
    </row>
    <row r="2249" spans="28:28">
      <c r="AB2249" s="669"/>
    </row>
    <row r="2250" spans="28:28">
      <c r="AB2250" s="669"/>
    </row>
    <row r="2251" spans="28:28">
      <c r="AB2251" s="669"/>
    </row>
    <row r="2252" spans="28:28">
      <c r="AB2252" s="669"/>
    </row>
    <row r="2253" spans="28:28">
      <c r="AB2253" s="669"/>
    </row>
    <row r="2254" spans="28:28">
      <c r="AB2254" s="669"/>
    </row>
    <row r="2255" spans="28:28">
      <c r="AB2255" s="669"/>
    </row>
    <row r="2256" spans="28:28">
      <c r="AB2256" s="669"/>
    </row>
    <row r="2257" spans="28:28">
      <c r="AB2257" s="669"/>
    </row>
    <row r="2258" spans="28:28">
      <c r="AB2258" s="669"/>
    </row>
    <row r="2259" spans="28:28">
      <c r="AB2259" s="669"/>
    </row>
    <row r="2260" spans="28:28">
      <c r="AB2260" s="669"/>
    </row>
    <row r="2261" spans="28:28">
      <c r="AB2261" s="669"/>
    </row>
    <row r="2262" spans="28:28">
      <c r="AB2262" s="669"/>
    </row>
    <row r="2263" spans="28:28">
      <c r="AB2263" s="669"/>
    </row>
    <row r="2264" spans="28:28">
      <c r="AB2264" s="669"/>
    </row>
    <row r="2265" spans="28:28">
      <c r="AB2265" s="669"/>
    </row>
    <row r="2266" spans="28:28">
      <c r="AB2266" s="669"/>
    </row>
    <row r="2267" spans="28:28">
      <c r="AB2267" s="669"/>
    </row>
    <row r="2268" spans="28:28">
      <c r="AB2268" s="669"/>
    </row>
    <row r="2269" spans="28:28">
      <c r="AB2269" s="669"/>
    </row>
    <row r="2270" spans="28:28">
      <c r="AB2270" s="669"/>
    </row>
    <row r="2271" spans="28:28">
      <c r="AB2271" s="669"/>
    </row>
    <row r="2272" spans="28:28">
      <c r="AB2272" s="669"/>
    </row>
    <row r="2273" spans="28:28">
      <c r="AB2273" s="669"/>
    </row>
    <row r="2274" spans="28:28">
      <c r="AB2274" s="669"/>
    </row>
    <row r="2275" spans="28:28">
      <c r="AB2275" s="669"/>
    </row>
    <row r="2276" spans="28:28">
      <c r="AB2276" s="669"/>
    </row>
    <row r="2277" spans="28:28">
      <c r="AB2277" s="669"/>
    </row>
    <row r="2278" spans="28:28">
      <c r="AB2278" s="669"/>
    </row>
    <row r="2279" spans="28:28">
      <c r="AB2279" s="669"/>
    </row>
    <row r="2280" spans="28:28">
      <c r="AB2280" s="669"/>
    </row>
    <row r="2281" spans="28:28">
      <c r="AB2281" s="669"/>
    </row>
    <row r="2282" spans="28:28">
      <c r="AB2282" s="669"/>
    </row>
    <row r="2283" spans="28:28">
      <c r="AB2283" s="669"/>
    </row>
    <row r="2284" spans="28:28">
      <c r="AB2284" s="669"/>
    </row>
    <row r="2285" spans="28:28">
      <c r="AB2285" s="669"/>
    </row>
    <row r="2286" spans="28:28">
      <c r="AB2286" s="669"/>
    </row>
    <row r="2287" spans="28:28">
      <c r="AB2287" s="669"/>
    </row>
    <row r="2288" spans="28:28">
      <c r="AB2288" s="669"/>
    </row>
    <row r="2289" spans="28:28">
      <c r="AB2289" s="669"/>
    </row>
    <row r="2290" spans="28:28">
      <c r="AB2290" s="669"/>
    </row>
    <row r="2291" spans="28:28">
      <c r="AB2291" s="669"/>
    </row>
    <row r="2292" spans="28:28">
      <c r="AB2292" s="669"/>
    </row>
    <row r="2293" spans="28:28">
      <c r="AB2293" s="669"/>
    </row>
    <row r="2294" spans="28:28">
      <c r="AB2294" s="669"/>
    </row>
    <row r="2295" spans="28:28">
      <c r="AB2295" s="669"/>
    </row>
    <row r="2296" spans="28:28">
      <c r="AB2296" s="669"/>
    </row>
    <row r="2297" spans="28:28">
      <c r="AB2297" s="669"/>
    </row>
    <row r="2298" spans="28:28">
      <c r="AB2298" s="669"/>
    </row>
    <row r="2299" spans="28:28">
      <c r="AB2299" s="669"/>
    </row>
    <row r="2300" spans="28:28">
      <c r="AB2300" s="669"/>
    </row>
    <row r="2301" spans="28:28">
      <c r="AB2301" s="669"/>
    </row>
    <row r="2302" spans="28:28">
      <c r="AB2302" s="669"/>
    </row>
    <row r="2303" spans="28:28">
      <c r="AB2303" s="669"/>
    </row>
    <row r="2304" spans="28:28">
      <c r="AB2304" s="669"/>
    </row>
    <row r="2305" spans="28:28">
      <c r="AB2305" s="669"/>
    </row>
    <row r="2306" spans="28:28">
      <c r="AB2306" s="669"/>
    </row>
    <row r="2307" spans="28:28">
      <c r="AB2307" s="669"/>
    </row>
    <row r="2308" spans="28:28">
      <c r="AB2308" s="669"/>
    </row>
    <row r="2309" spans="28:28">
      <c r="AB2309" s="669"/>
    </row>
    <row r="2310" spans="28:28">
      <c r="AB2310" s="669"/>
    </row>
    <row r="2311" spans="28:28">
      <c r="AB2311" s="669"/>
    </row>
    <row r="2312" spans="28:28">
      <c r="AB2312" s="669"/>
    </row>
    <row r="2313" spans="28:28">
      <c r="AB2313" s="669"/>
    </row>
    <row r="2314" spans="28:28">
      <c r="AB2314" s="669"/>
    </row>
    <row r="2315" spans="28:28">
      <c r="AB2315" s="669"/>
    </row>
    <row r="2316" spans="28:28">
      <c r="AB2316" s="669"/>
    </row>
    <row r="2317" spans="28:28">
      <c r="AB2317" s="669"/>
    </row>
    <row r="2318" spans="28:28">
      <c r="AB2318" s="669"/>
    </row>
    <row r="2319" spans="28:28">
      <c r="AB2319" s="669"/>
    </row>
    <row r="2320" spans="28:28">
      <c r="AB2320" s="669"/>
    </row>
    <row r="2321" spans="28:28">
      <c r="AB2321" s="669"/>
    </row>
    <row r="2322" spans="28:28">
      <c r="AB2322" s="669"/>
    </row>
    <row r="2323" spans="28:28">
      <c r="AB2323" s="669"/>
    </row>
    <row r="2324" spans="28:28">
      <c r="AB2324" s="669"/>
    </row>
    <row r="2325" spans="28:28">
      <c r="AB2325" s="669"/>
    </row>
    <row r="2326" spans="28:28">
      <c r="AB2326" s="669"/>
    </row>
    <row r="2327" spans="28:28">
      <c r="AB2327" s="669"/>
    </row>
    <row r="2328" spans="28:28">
      <c r="AB2328" s="669"/>
    </row>
    <row r="2329" spans="28:28">
      <c r="AB2329" s="669"/>
    </row>
    <row r="2330" spans="28:28">
      <c r="AB2330" s="669"/>
    </row>
    <row r="2331" spans="28:28">
      <c r="AB2331" s="669"/>
    </row>
    <row r="2332" spans="28:28">
      <c r="AB2332" s="669"/>
    </row>
    <row r="2333" spans="28:28">
      <c r="AB2333" s="669"/>
    </row>
    <row r="2334" spans="28:28">
      <c r="AB2334" s="669"/>
    </row>
    <row r="2335" spans="28:28">
      <c r="AB2335" s="669"/>
    </row>
    <row r="2336" spans="28:28">
      <c r="AB2336" s="669"/>
    </row>
    <row r="2337" spans="28:28">
      <c r="AB2337" s="669"/>
    </row>
    <row r="2338" spans="28:28">
      <c r="AB2338" s="669"/>
    </row>
    <row r="2339" spans="28:28">
      <c r="AB2339" s="669"/>
    </row>
    <row r="2340" spans="28:28">
      <c r="AB2340" s="669"/>
    </row>
    <row r="2341" spans="28:28">
      <c r="AB2341" s="669"/>
    </row>
    <row r="2342" spans="28:28">
      <c r="AB2342" s="669"/>
    </row>
    <row r="2343" spans="28:28">
      <c r="AB2343" s="669"/>
    </row>
    <row r="2344" spans="28:28">
      <c r="AB2344" s="669"/>
    </row>
    <row r="2345" spans="28:28">
      <c r="AB2345" s="669"/>
    </row>
    <row r="2346" spans="28:28">
      <c r="AB2346" s="669"/>
    </row>
    <row r="2347" spans="28:28">
      <c r="AB2347" s="669"/>
    </row>
    <row r="2348" spans="28:28">
      <c r="AB2348" s="669"/>
    </row>
    <row r="2349" spans="28:28">
      <c r="AB2349" s="669"/>
    </row>
    <row r="2350" spans="28:28">
      <c r="AB2350" s="669"/>
    </row>
    <row r="2351" spans="28:28">
      <c r="AB2351" s="669"/>
    </row>
    <row r="2352" spans="28:28">
      <c r="AB2352" s="669"/>
    </row>
    <row r="2353" spans="28:28">
      <c r="AB2353" s="669"/>
    </row>
    <row r="2354" spans="28:28">
      <c r="AB2354" s="669"/>
    </row>
    <row r="2355" spans="28:28">
      <c r="AB2355" s="669"/>
    </row>
    <row r="2356" spans="28:28">
      <c r="AB2356" s="669"/>
    </row>
    <row r="2357" spans="28:28">
      <c r="AB2357" s="669"/>
    </row>
    <row r="2358" spans="28:28">
      <c r="AB2358" s="669"/>
    </row>
    <row r="2359" spans="28:28">
      <c r="AB2359" s="669"/>
    </row>
    <row r="2360" spans="28:28">
      <c r="AB2360" s="669"/>
    </row>
    <row r="2361" spans="28:28">
      <c r="AB2361" s="669"/>
    </row>
    <row r="2362" spans="28:28">
      <c r="AB2362" s="669"/>
    </row>
    <row r="2363" spans="28:28">
      <c r="AB2363" s="669"/>
    </row>
    <row r="2364" spans="28:28">
      <c r="AB2364" s="669"/>
    </row>
    <row r="2365" spans="28:28">
      <c r="AB2365" s="669"/>
    </row>
    <row r="2366" spans="28:28">
      <c r="AB2366" s="669"/>
    </row>
    <row r="2367" spans="28:28">
      <c r="AB2367" s="669"/>
    </row>
    <row r="2368" spans="28:28">
      <c r="AB2368" s="669"/>
    </row>
    <row r="2369" spans="28:28">
      <c r="AB2369" s="669"/>
    </row>
    <row r="2370" spans="28:28">
      <c r="AB2370" s="669"/>
    </row>
    <row r="2371" spans="28:28">
      <c r="AB2371" s="669"/>
    </row>
    <row r="2372" spans="28:28">
      <c r="AB2372" s="669"/>
    </row>
    <row r="2373" spans="28:28">
      <c r="AB2373" s="669"/>
    </row>
    <row r="2374" spans="28:28">
      <c r="AB2374" s="669"/>
    </row>
    <row r="2375" spans="28:28">
      <c r="AB2375" s="669"/>
    </row>
    <row r="2376" spans="28:28">
      <c r="AB2376" s="669"/>
    </row>
    <row r="2377" spans="28:28">
      <c r="AB2377" s="669"/>
    </row>
    <row r="2378" spans="28:28">
      <c r="AB2378" s="669"/>
    </row>
    <row r="2379" spans="28:28">
      <c r="AB2379" s="669"/>
    </row>
    <row r="2380" spans="28:28">
      <c r="AB2380" s="669"/>
    </row>
    <row r="2381" spans="28:28">
      <c r="AB2381" s="669"/>
    </row>
    <row r="2382" spans="28:28">
      <c r="AB2382" s="669"/>
    </row>
    <row r="2383" spans="28:28">
      <c r="AB2383" s="669"/>
    </row>
    <row r="2384" spans="28:28">
      <c r="AB2384" s="669"/>
    </row>
    <row r="2385" spans="28:28">
      <c r="AB2385" s="669"/>
    </row>
    <row r="2386" spans="28:28">
      <c r="AB2386" s="669"/>
    </row>
    <row r="2387" spans="28:28">
      <c r="AB2387" s="669"/>
    </row>
    <row r="2388" spans="28:28">
      <c r="AB2388" s="669"/>
    </row>
    <row r="2389" spans="28:28">
      <c r="AB2389" s="669"/>
    </row>
    <row r="2390" spans="28:28">
      <c r="AB2390" s="669"/>
    </row>
    <row r="2391" spans="28:28">
      <c r="AB2391" s="669"/>
    </row>
    <row r="2392" spans="28:28">
      <c r="AB2392" s="669"/>
    </row>
    <row r="2393" spans="28:28">
      <c r="AB2393" s="669"/>
    </row>
    <row r="2394" spans="28:28">
      <c r="AB2394" s="669"/>
    </row>
    <row r="2395" spans="28:28">
      <c r="AB2395" s="669"/>
    </row>
    <row r="2396" spans="28:28">
      <c r="AB2396" s="669"/>
    </row>
    <row r="2397" spans="28:28">
      <c r="AB2397" s="669"/>
    </row>
    <row r="2398" spans="28:28">
      <c r="AB2398" s="669"/>
    </row>
    <row r="2399" spans="28:28">
      <c r="AB2399" s="669"/>
    </row>
    <row r="2400" spans="28:28">
      <c r="AB2400" s="669"/>
    </row>
    <row r="2401" spans="28:28">
      <c r="AB2401" s="669"/>
    </row>
    <row r="2402" spans="28:28">
      <c r="AB2402" s="669"/>
    </row>
    <row r="2403" spans="28:28">
      <c r="AB2403" s="669"/>
    </row>
    <row r="2404" spans="28:28">
      <c r="AB2404" s="669"/>
    </row>
    <row r="2405" spans="28:28">
      <c r="AB2405" s="669"/>
    </row>
    <row r="2406" spans="28:28">
      <c r="AB2406" s="669"/>
    </row>
    <row r="2407" spans="28:28">
      <c r="AB2407" s="669"/>
    </row>
    <row r="2408" spans="28:28">
      <c r="AB2408" s="669"/>
    </row>
    <row r="2409" spans="28:28">
      <c r="AB2409" s="669"/>
    </row>
    <row r="2410" spans="28:28">
      <c r="AB2410" s="669"/>
    </row>
    <row r="2411" spans="28:28">
      <c r="AB2411" s="669"/>
    </row>
    <row r="2412" spans="28:28">
      <c r="AB2412" s="669"/>
    </row>
    <row r="2413" spans="28:28">
      <c r="AB2413" s="669"/>
    </row>
    <row r="2414" spans="28:28">
      <c r="AB2414" s="669"/>
    </row>
    <row r="2415" spans="28:28">
      <c r="AB2415" s="669"/>
    </row>
    <row r="2416" spans="28:28">
      <c r="AB2416" s="669"/>
    </row>
    <row r="2417" spans="28:28">
      <c r="AB2417" s="669"/>
    </row>
    <row r="2418" spans="28:28">
      <c r="AB2418" s="669"/>
    </row>
    <row r="2419" spans="28:28">
      <c r="AB2419" s="669"/>
    </row>
    <row r="2420" spans="28:28">
      <c r="AB2420" s="669"/>
    </row>
    <row r="2421" spans="28:28">
      <c r="AB2421" s="669"/>
    </row>
    <row r="2422" spans="28:28">
      <c r="AB2422" s="669"/>
    </row>
    <row r="2423" spans="28:28">
      <c r="AB2423" s="669"/>
    </row>
    <row r="2424" spans="28:28">
      <c r="AB2424" s="669"/>
    </row>
    <row r="2425" spans="28:28">
      <c r="AB2425" s="669"/>
    </row>
    <row r="2426" spans="28:28">
      <c r="AB2426" s="669"/>
    </row>
    <row r="2427" spans="28:28">
      <c r="AB2427" s="669"/>
    </row>
    <row r="2428" spans="28:28">
      <c r="AB2428" s="669"/>
    </row>
    <row r="2429" spans="28:28">
      <c r="AB2429" s="669"/>
    </row>
    <row r="2430" spans="28:28">
      <c r="AB2430" s="669"/>
    </row>
    <row r="2431" spans="28:28">
      <c r="AB2431" s="669"/>
    </row>
    <row r="2432" spans="28:28">
      <c r="AB2432" s="669"/>
    </row>
    <row r="2433" spans="28:28">
      <c r="AB2433" s="669"/>
    </row>
    <row r="2434" spans="28:28">
      <c r="AB2434" s="669"/>
    </row>
    <row r="2435" spans="28:28">
      <c r="AB2435" s="669"/>
    </row>
    <row r="2436" spans="28:28">
      <c r="AB2436" s="669"/>
    </row>
    <row r="2437" spans="28:28">
      <c r="AB2437" s="669"/>
    </row>
    <row r="2438" spans="28:28">
      <c r="AB2438" s="669"/>
    </row>
    <row r="2439" spans="28:28">
      <c r="AB2439" s="669"/>
    </row>
    <row r="2440" spans="28:28">
      <c r="AB2440" s="669"/>
    </row>
    <row r="2441" spans="28:28">
      <c r="AB2441" s="669"/>
    </row>
    <row r="2442" spans="28:28">
      <c r="AB2442" s="669"/>
    </row>
    <row r="2443" spans="28:28">
      <c r="AB2443" s="669"/>
    </row>
    <row r="2444" spans="28:28">
      <c r="AB2444" s="669"/>
    </row>
    <row r="2445" spans="28:28">
      <c r="AB2445" s="669"/>
    </row>
    <row r="2446" spans="28:28">
      <c r="AB2446" s="669"/>
    </row>
    <row r="2447" spans="28:28">
      <c r="AB2447" s="669"/>
    </row>
    <row r="2448" spans="28:28">
      <c r="AB2448" s="669"/>
    </row>
    <row r="2449" spans="28:28">
      <c r="AB2449" s="669"/>
    </row>
    <row r="2450" spans="28:28">
      <c r="AB2450" s="669"/>
    </row>
    <row r="2451" spans="28:28">
      <c r="AB2451" s="669"/>
    </row>
    <row r="2452" spans="28:28">
      <c r="AB2452" s="669"/>
    </row>
    <row r="2453" spans="28:28">
      <c r="AB2453" s="669"/>
    </row>
    <row r="2454" spans="28:28">
      <c r="AB2454" s="669"/>
    </row>
    <row r="2455" spans="28:28">
      <c r="AB2455" s="669"/>
    </row>
    <row r="2456" spans="28:28">
      <c r="AB2456" s="669"/>
    </row>
    <row r="2457" spans="28:28">
      <c r="AB2457" s="669"/>
    </row>
    <row r="2458" spans="28:28">
      <c r="AB2458" s="669"/>
    </row>
    <row r="2459" spans="28:28">
      <c r="AB2459" s="669"/>
    </row>
    <row r="2460" spans="28:28">
      <c r="AB2460" s="669"/>
    </row>
    <row r="2461" spans="28:28">
      <c r="AB2461" s="669"/>
    </row>
    <row r="2462" spans="28:28">
      <c r="AB2462" s="669"/>
    </row>
    <row r="2463" spans="28:28">
      <c r="AB2463" s="669"/>
    </row>
    <row r="2464" spans="28:28">
      <c r="AB2464" s="669"/>
    </row>
    <row r="2465" spans="28:28">
      <c r="AB2465" s="669"/>
    </row>
    <row r="2466" spans="28:28">
      <c r="AB2466" s="669"/>
    </row>
    <row r="2467" spans="28:28">
      <c r="AB2467" s="669"/>
    </row>
    <row r="2468" spans="28:28">
      <c r="AB2468" s="669"/>
    </row>
    <row r="2469" spans="28:28">
      <c r="AB2469" s="669"/>
    </row>
    <row r="2470" spans="28:28">
      <c r="AB2470" s="669"/>
    </row>
    <row r="2471" spans="28:28">
      <c r="AB2471" s="669"/>
    </row>
    <row r="2472" spans="28:28">
      <c r="AB2472" s="669"/>
    </row>
    <row r="2473" spans="28:28">
      <c r="AB2473" s="669"/>
    </row>
    <row r="2474" spans="28:28">
      <c r="AB2474" s="669"/>
    </row>
    <row r="2475" spans="28:28">
      <c r="AB2475" s="669"/>
    </row>
    <row r="2476" spans="28:28">
      <c r="AB2476" s="669"/>
    </row>
    <row r="2477" spans="28:28">
      <c r="AB2477" s="669"/>
    </row>
    <row r="2478" spans="28:28">
      <c r="AB2478" s="669"/>
    </row>
    <row r="2479" spans="28:28">
      <c r="AB2479" s="669"/>
    </row>
    <row r="2480" spans="28:28">
      <c r="AB2480" s="669"/>
    </row>
    <row r="2481" spans="28:28">
      <c r="AB2481" s="669"/>
    </row>
    <row r="2482" spans="28:28">
      <c r="AB2482" s="669"/>
    </row>
    <row r="2483" spans="28:28">
      <c r="AB2483" s="669"/>
    </row>
    <row r="2484" spans="28:28">
      <c r="AB2484" s="669"/>
    </row>
    <row r="2485" spans="28:28">
      <c r="AB2485" s="669"/>
    </row>
    <row r="2486" spans="28:28">
      <c r="AB2486" s="669"/>
    </row>
    <row r="2487" spans="28:28">
      <c r="AB2487" s="669"/>
    </row>
    <row r="2488" spans="28:28">
      <c r="AB2488" s="669"/>
    </row>
    <row r="2489" spans="28:28">
      <c r="AB2489" s="669"/>
    </row>
    <row r="2490" spans="28:28">
      <c r="AB2490" s="669"/>
    </row>
    <row r="2491" spans="28:28">
      <c r="AB2491" s="669"/>
    </row>
    <row r="2492" spans="28:28">
      <c r="AB2492" s="669"/>
    </row>
    <row r="2493" spans="28:28">
      <c r="AB2493" s="669"/>
    </row>
    <row r="2494" spans="28:28">
      <c r="AB2494" s="669"/>
    </row>
    <row r="2495" spans="28:28">
      <c r="AB2495" s="669"/>
    </row>
    <row r="2496" spans="28:28">
      <c r="AB2496" s="669"/>
    </row>
    <row r="2497" spans="28:28">
      <c r="AB2497" s="669"/>
    </row>
    <row r="2498" spans="28:28">
      <c r="AB2498" s="669"/>
    </row>
    <row r="2499" spans="28:28">
      <c r="AB2499" s="669"/>
    </row>
    <row r="2500" spans="28:28">
      <c r="AB2500" s="669"/>
    </row>
    <row r="2501" spans="28:28">
      <c r="AB2501" s="669"/>
    </row>
    <row r="2502" spans="28:28">
      <c r="AB2502" s="669"/>
    </row>
    <row r="2503" spans="28:28">
      <c r="AB2503" s="669"/>
    </row>
    <row r="2504" spans="28:28">
      <c r="AB2504" s="669"/>
    </row>
    <row r="2505" spans="28:28">
      <c r="AB2505" s="669"/>
    </row>
    <row r="2506" spans="28:28">
      <c r="AB2506" s="669"/>
    </row>
    <row r="2507" spans="28:28">
      <c r="AB2507" s="669"/>
    </row>
    <row r="2508" spans="28:28">
      <c r="AB2508" s="669"/>
    </row>
    <row r="2509" spans="28:28">
      <c r="AB2509" s="669"/>
    </row>
    <row r="2510" spans="28:28">
      <c r="AB2510" s="669"/>
    </row>
    <row r="2511" spans="28:28">
      <c r="AB2511" s="669"/>
    </row>
    <row r="2512" spans="28:28">
      <c r="AB2512" s="669"/>
    </row>
    <row r="2513" spans="28:28">
      <c r="AB2513" s="669"/>
    </row>
    <row r="2514" spans="28:28">
      <c r="AB2514" s="669"/>
    </row>
    <row r="2515" spans="28:28">
      <c r="AB2515" s="669"/>
    </row>
    <row r="2516" spans="28:28">
      <c r="AB2516" s="669"/>
    </row>
    <row r="2517" spans="28:28">
      <c r="AB2517" s="669"/>
    </row>
    <row r="2518" spans="28:28">
      <c r="AB2518" s="669"/>
    </row>
    <row r="2519" spans="28:28">
      <c r="AB2519" s="669"/>
    </row>
    <row r="2520" spans="28:28">
      <c r="AB2520" s="669"/>
    </row>
    <row r="2521" spans="28:28">
      <c r="AB2521" s="669"/>
    </row>
    <row r="2522" spans="28:28">
      <c r="AB2522" s="669"/>
    </row>
    <row r="2523" spans="28:28">
      <c r="AB2523" s="669"/>
    </row>
    <row r="2524" spans="28:28">
      <c r="AB2524" s="669"/>
    </row>
    <row r="2525" spans="28:28">
      <c r="AB2525" s="669"/>
    </row>
    <row r="2526" spans="28:28">
      <c r="AB2526" s="669"/>
    </row>
    <row r="2527" spans="28:28">
      <c r="AB2527" s="669"/>
    </row>
    <row r="2528" spans="28:28">
      <c r="AB2528" s="669"/>
    </row>
    <row r="2529" spans="28:28">
      <c r="AB2529" s="669"/>
    </row>
    <row r="2530" spans="28:28">
      <c r="AB2530" s="669"/>
    </row>
    <row r="2531" spans="28:28">
      <c r="AB2531" s="669"/>
    </row>
    <row r="2532" spans="28:28">
      <c r="AB2532" s="669"/>
    </row>
    <row r="2533" spans="28:28">
      <c r="AB2533" s="669"/>
    </row>
    <row r="2534" spans="28:28">
      <c r="AB2534" s="669"/>
    </row>
    <row r="2535" spans="28:28">
      <c r="AB2535" s="669"/>
    </row>
    <row r="2536" spans="28:28">
      <c r="AB2536" s="669"/>
    </row>
    <row r="2537" spans="28:28">
      <c r="AB2537" s="669"/>
    </row>
    <row r="2538" spans="28:28">
      <c r="AB2538" s="669"/>
    </row>
    <row r="2539" spans="28:28">
      <c r="AB2539" s="669"/>
    </row>
    <row r="2540" spans="28:28">
      <c r="AB2540" s="669"/>
    </row>
    <row r="2541" spans="28:28">
      <c r="AB2541" s="669"/>
    </row>
    <row r="2542" spans="28:28">
      <c r="AB2542" s="669"/>
    </row>
    <row r="2543" spans="28:28">
      <c r="AB2543" s="669"/>
    </row>
    <row r="2544" spans="28:28">
      <c r="AB2544" s="669"/>
    </row>
    <row r="2545" spans="28:28">
      <c r="AB2545" s="669"/>
    </row>
    <row r="2546" spans="28:28">
      <c r="AB2546" s="669"/>
    </row>
    <row r="2547" spans="28:28">
      <c r="AB2547" s="669"/>
    </row>
    <row r="2548" spans="28:28">
      <c r="AB2548" s="669"/>
    </row>
    <row r="2549" spans="28:28">
      <c r="AB2549" s="669"/>
    </row>
    <row r="2550" spans="28:28">
      <c r="AB2550" s="669"/>
    </row>
    <row r="2551" spans="28:28">
      <c r="AB2551" s="669"/>
    </row>
    <row r="2552" spans="28:28">
      <c r="AB2552" s="669"/>
    </row>
    <row r="2553" spans="28:28">
      <c r="AB2553" s="669"/>
    </row>
    <row r="2554" spans="28:28">
      <c r="AB2554" s="669"/>
    </row>
    <row r="2555" spans="28:28">
      <c r="AB2555" s="669"/>
    </row>
    <row r="2556" spans="28:28">
      <c r="AB2556" s="669"/>
    </row>
    <row r="2557" spans="28:28">
      <c r="AB2557" s="669"/>
    </row>
    <row r="2558" spans="28:28">
      <c r="AB2558" s="669"/>
    </row>
    <row r="2559" spans="28:28">
      <c r="AB2559" s="669"/>
    </row>
    <row r="2560" spans="28:28">
      <c r="AB2560" s="669"/>
    </row>
    <row r="2561" spans="28:28">
      <c r="AB2561" s="669"/>
    </row>
    <row r="2562" spans="28:28">
      <c r="AB2562" s="669"/>
    </row>
    <row r="2563" spans="28:28">
      <c r="AB2563" s="669"/>
    </row>
    <row r="2564" spans="28:28">
      <c r="AB2564" s="669"/>
    </row>
    <row r="2565" spans="28:28">
      <c r="AB2565" s="669"/>
    </row>
    <row r="2566" spans="28:28">
      <c r="AB2566" s="669"/>
    </row>
    <row r="2567" spans="28:28">
      <c r="AB2567" s="669"/>
    </row>
    <row r="2568" spans="28:28">
      <c r="AB2568" s="669"/>
    </row>
    <row r="2569" spans="28:28">
      <c r="AB2569" s="669"/>
    </row>
    <row r="2570" spans="28:28">
      <c r="AB2570" s="669"/>
    </row>
    <row r="2571" spans="28:28">
      <c r="AB2571" s="669"/>
    </row>
    <row r="2572" spans="28:28">
      <c r="AB2572" s="669"/>
    </row>
    <row r="2573" spans="28:28">
      <c r="AB2573" s="669"/>
    </row>
    <row r="2574" spans="28:28">
      <c r="AB2574" s="669"/>
    </row>
    <row r="2575" spans="28:28">
      <c r="AB2575" s="669"/>
    </row>
    <row r="2576" spans="28:28">
      <c r="AB2576" s="669"/>
    </row>
    <row r="2577" spans="28:28">
      <c r="AB2577" s="669"/>
    </row>
    <row r="2578" spans="28:28">
      <c r="AB2578" s="669"/>
    </row>
    <row r="2579" spans="28:28">
      <c r="AB2579" s="669"/>
    </row>
    <row r="2580" spans="28:28">
      <c r="AB2580" s="669"/>
    </row>
    <row r="2581" spans="28:28">
      <c r="AB2581" s="669"/>
    </row>
    <row r="2582" spans="28:28">
      <c r="AB2582" s="669"/>
    </row>
    <row r="2583" spans="28:28">
      <c r="AB2583" s="669"/>
    </row>
    <row r="2584" spans="28:28">
      <c r="AB2584" s="669"/>
    </row>
    <row r="2585" spans="28:28">
      <c r="AB2585" s="669"/>
    </row>
    <row r="2586" spans="28:28">
      <c r="AB2586" s="669"/>
    </row>
    <row r="2587" spans="28:28">
      <c r="AB2587" s="669"/>
    </row>
    <row r="2588" spans="28:28">
      <c r="AB2588" s="669"/>
    </row>
    <row r="2589" spans="28:28">
      <c r="AB2589" s="669"/>
    </row>
    <row r="2590" spans="28:28">
      <c r="AB2590" s="669"/>
    </row>
    <row r="2591" spans="28:28">
      <c r="AB2591" s="669"/>
    </row>
    <row r="2592" spans="28:28">
      <c r="AB2592" s="669"/>
    </row>
    <row r="2593" spans="28:28">
      <c r="AB2593" s="669"/>
    </row>
    <row r="2594" spans="28:28">
      <c r="AB2594" s="669"/>
    </row>
    <row r="2595" spans="28:28">
      <c r="AB2595" s="669"/>
    </row>
    <row r="2596" spans="28:28">
      <c r="AB2596" s="669"/>
    </row>
    <row r="2597" spans="28:28">
      <c r="AB2597" s="669"/>
    </row>
    <row r="2598" spans="28:28">
      <c r="AB2598" s="669"/>
    </row>
    <row r="2599" spans="28:28">
      <c r="AB2599" s="669"/>
    </row>
    <row r="2600" spans="28:28">
      <c r="AB2600" s="669"/>
    </row>
    <row r="2601" spans="28:28">
      <c r="AB2601" s="669"/>
    </row>
    <row r="2602" spans="28:28">
      <c r="AB2602" s="669"/>
    </row>
    <row r="2603" spans="28:28">
      <c r="AB2603" s="669"/>
    </row>
    <row r="2604" spans="28:28">
      <c r="AB2604" s="669"/>
    </row>
    <row r="2605" spans="28:28">
      <c r="AB2605" s="669"/>
    </row>
    <row r="2606" spans="28:28">
      <c r="AB2606" s="669"/>
    </row>
    <row r="2607" spans="28:28">
      <c r="AB2607" s="669"/>
    </row>
    <row r="2608" spans="28:28">
      <c r="AB2608" s="669"/>
    </row>
    <row r="2609" spans="28:28">
      <c r="AB2609" s="669"/>
    </row>
    <row r="2610" spans="28:28">
      <c r="AB2610" s="669"/>
    </row>
    <row r="2611" spans="28:28">
      <c r="AB2611" s="669"/>
    </row>
    <row r="2612" spans="28:28">
      <c r="AB2612" s="669"/>
    </row>
    <row r="2613" spans="28:28">
      <c r="AB2613" s="669"/>
    </row>
    <row r="2614" spans="28:28">
      <c r="AB2614" s="669"/>
    </row>
    <row r="2615" spans="28:28">
      <c r="AB2615" s="669"/>
    </row>
    <row r="2616" spans="28:28">
      <c r="AB2616" s="669"/>
    </row>
    <row r="2617" spans="28:28">
      <c r="AB2617" s="669"/>
    </row>
    <row r="2618" spans="28:28">
      <c r="AB2618" s="669"/>
    </row>
    <row r="2619" spans="28:28">
      <c r="AB2619" s="669"/>
    </row>
    <row r="2620" spans="28:28">
      <c r="AB2620" s="669"/>
    </row>
    <row r="2621" spans="28:28">
      <c r="AB2621" s="669"/>
    </row>
    <row r="2622" spans="28:28">
      <c r="AB2622" s="669"/>
    </row>
    <row r="2623" spans="28:28">
      <c r="AB2623" s="669"/>
    </row>
    <row r="2624" spans="28:28">
      <c r="AB2624" s="669"/>
    </row>
    <row r="2625" spans="28:28">
      <c r="AB2625" s="669"/>
    </row>
    <row r="2626" spans="28:28">
      <c r="AB2626" s="669"/>
    </row>
    <row r="2627" spans="28:28">
      <c r="AB2627" s="669"/>
    </row>
    <row r="2628" spans="28:28">
      <c r="AB2628" s="669"/>
    </row>
    <row r="2629" spans="28:28">
      <c r="AB2629" s="669"/>
    </row>
    <row r="2630" spans="28:28">
      <c r="AB2630" s="669"/>
    </row>
    <row r="2631" spans="28:28">
      <c r="AB2631" s="669"/>
    </row>
    <row r="2632" spans="28:28">
      <c r="AB2632" s="669"/>
    </row>
    <row r="2633" spans="28:28">
      <c r="AB2633" s="669"/>
    </row>
    <row r="2634" spans="28:28">
      <c r="AB2634" s="669"/>
    </row>
    <row r="2635" spans="28:28">
      <c r="AB2635" s="669"/>
    </row>
    <row r="2636" spans="28:28">
      <c r="AB2636" s="669"/>
    </row>
    <row r="2637" spans="28:28">
      <c r="AB2637" s="669"/>
    </row>
    <row r="2638" spans="28:28">
      <c r="AB2638" s="669"/>
    </row>
    <row r="2639" spans="28:28">
      <c r="AB2639" s="669"/>
    </row>
    <row r="2640" spans="28:28">
      <c r="AB2640" s="669"/>
    </row>
    <row r="2641" spans="28:28">
      <c r="AB2641" s="669"/>
    </row>
    <row r="2642" spans="28:28">
      <c r="AB2642" s="669"/>
    </row>
    <row r="2643" spans="28:28">
      <c r="AB2643" s="669"/>
    </row>
    <row r="2644" spans="28:28">
      <c r="AB2644" s="669"/>
    </row>
    <row r="2645" spans="28:28">
      <c r="AB2645" s="669"/>
    </row>
    <row r="2646" spans="28:28">
      <c r="AB2646" s="669"/>
    </row>
    <row r="2647" spans="28:28">
      <c r="AB2647" s="669"/>
    </row>
    <row r="2648" spans="28:28">
      <c r="AB2648" s="669"/>
    </row>
    <row r="2649" spans="28:28">
      <c r="AB2649" s="669"/>
    </row>
    <row r="2650" spans="28:28">
      <c r="AB2650" s="669"/>
    </row>
    <row r="2651" spans="28:28">
      <c r="AB2651" s="669"/>
    </row>
    <row r="2652" spans="28:28">
      <c r="AB2652" s="669"/>
    </row>
    <row r="2653" spans="28:28">
      <c r="AB2653" s="669"/>
    </row>
    <row r="2654" spans="28:28">
      <c r="AB2654" s="669"/>
    </row>
    <row r="2655" spans="28:28">
      <c r="AB2655" s="669"/>
    </row>
    <row r="2656" spans="28:28">
      <c r="AB2656" s="669"/>
    </row>
    <row r="2657" spans="28:28">
      <c r="AB2657" s="669"/>
    </row>
    <row r="2658" spans="28:28">
      <c r="AB2658" s="669"/>
    </row>
    <row r="2659" spans="28:28">
      <c r="AB2659" s="669"/>
    </row>
    <row r="2660" spans="28:28">
      <c r="AB2660" s="669"/>
    </row>
    <row r="2661" spans="28:28">
      <c r="AB2661" s="669"/>
    </row>
    <row r="2662" spans="28:28">
      <c r="AB2662" s="669"/>
    </row>
    <row r="2663" spans="28:28">
      <c r="AB2663" s="669"/>
    </row>
    <row r="2664" spans="28:28">
      <c r="AB2664" s="669"/>
    </row>
    <row r="2665" spans="28:28">
      <c r="AB2665" s="669"/>
    </row>
    <row r="2666" spans="28:28">
      <c r="AB2666" s="669"/>
    </row>
    <row r="2667" spans="28:28">
      <c r="AB2667" s="669"/>
    </row>
    <row r="2668" spans="28:28">
      <c r="AB2668" s="669"/>
    </row>
    <row r="2669" spans="28:28">
      <c r="AB2669" s="669"/>
    </row>
    <row r="2670" spans="28:28">
      <c r="AB2670" s="669"/>
    </row>
    <row r="2671" spans="28:28">
      <c r="AB2671" s="669"/>
    </row>
    <row r="2672" spans="28:28">
      <c r="AB2672" s="669"/>
    </row>
    <row r="2673" spans="28:28">
      <c r="AB2673" s="669"/>
    </row>
    <row r="2674" spans="28:28">
      <c r="AB2674" s="669"/>
    </row>
    <row r="2675" spans="28:28">
      <c r="AB2675" s="669"/>
    </row>
    <row r="2676" spans="28:28">
      <c r="AB2676" s="669"/>
    </row>
    <row r="2677" spans="28:28">
      <c r="AB2677" s="669"/>
    </row>
    <row r="2678" spans="28:28">
      <c r="AB2678" s="669"/>
    </row>
    <row r="2679" spans="28:28">
      <c r="AB2679" s="669"/>
    </row>
    <row r="2680" spans="28:28">
      <c r="AB2680" s="669"/>
    </row>
    <row r="2681" spans="28:28">
      <c r="AB2681" s="669"/>
    </row>
    <row r="2682" spans="28:28">
      <c r="AB2682" s="669"/>
    </row>
    <row r="2683" spans="28:28">
      <c r="AB2683" s="669"/>
    </row>
    <row r="2684" spans="28:28">
      <c r="AB2684" s="669"/>
    </row>
    <row r="2685" spans="28:28">
      <c r="AB2685" s="669"/>
    </row>
    <row r="2686" spans="28:28">
      <c r="AB2686" s="669"/>
    </row>
    <row r="2687" spans="28:28">
      <c r="AB2687" s="669"/>
    </row>
    <row r="2688" spans="28:28">
      <c r="AB2688" s="669"/>
    </row>
    <row r="2689" spans="28:28">
      <c r="AB2689" s="669"/>
    </row>
    <row r="2690" spans="28:28">
      <c r="AB2690" s="669"/>
    </row>
    <row r="2691" spans="28:28">
      <c r="AB2691" s="669"/>
    </row>
    <row r="2692" spans="28:28">
      <c r="AB2692" s="669"/>
    </row>
    <row r="2693" spans="28:28">
      <c r="AB2693" s="669"/>
    </row>
    <row r="2694" spans="28:28">
      <c r="AB2694" s="669"/>
    </row>
    <row r="2695" spans="28:28">
      <c r="AB2695" s="669"/>
    </row>
    <row r="2696" spans="28:28">
      <c r="AB2696" s="669"/>
    </row>
    <row r="2697" spans="28:28">
      <c r="AB2697" s="669"/>
    </row>
    <row r="2698" spans="28:28">
      <c r="AB2698" s="669"/>
    </row>
    <row r="2699" spans="28:28">
      <c r="AB2699" s="669"/>
    </row>
    <row r="2700" spans="28:28">
      <c r="AB2700" s="669"/>
    </row>
    <row r="2701" spans="28:28">
      <c r="AB2701" s="669"/>
    </row>
    <row r="2702" spans="28:28">
      <c r="AB2702" s="669"/>
    </row>
    <row r="2703" spans="28:28">
      <c r="AB2703" s="669"/>
    </row>
    <row r="2704" spans="28:28">
      <c r="AB2704" s="669"/>
    </row>
    <row r="2705" spans="28:28">
      <c r="AB2705" s="669"/>
    </row>
    <row r="2706" spans="28:28">
      <c r="AB2706" s="669"/>
    </row>
    <row r="2707" spans="28:28">
      <c r="AB2707" s="669"/>
    </row>
    <row r="2708" spans="28:28">
      <c r="AB2708" s="669"/>
    </row>
    <row r="2709" spans="28:28">
      <c r="AB2709" s="669"/>
    </row>
    <row r="2710" spans="28:28">
      <c r="AB2710" s="669"/>
    </row>
    <row r="2711" spans="28:28">
      <c r="AB2711" s="669"/>
    </row>
    <row r="2712" spans="28:28">
      <c r="AB2712" s="669"/>
    </row>
    <row r="2713" spans="28:28">
      <c r="AB2713" s="669"/>
    </row>
    <row r="2714" spans="28:28">
      <c r="AB2714" s="669"/>
    </row>
    <row r="2715" spans="28:28">
      <c r="AB2715" s="669"/>
    </row>
    <row r="2716" spans="28:28">
      <c r="AB2716" s="669"/>
    </row>
    <row r="2717" spans="28:28">
      <c r="AB2717" s="669"/>
    </row>
    <row r="2718" spans="28:28">
      <c r="AB2718" s="669"/>
    </row>
    <row r="2719" spans="28:28">
      <c r="AB2719" s="669"/>
    </row>
    <row r="2720" spans="28:28">
      <c r="AB2720" s="669"/>
    </row>
    <row r="2721" spans="28:28">
      <c r="AB2721" s="669"/>
    </row>
    <row r="2722" spans="28:28">
      <c r="AB2722" s="669"/>
    </row>
    <row r="2723" spans="28:28">
      <c r="AB2723" s="669"/>
    </row>
    <row r="2724" spans="28:28">
      <c r="AB2724" s="669"/>
    </row>
    <row r="2725" spans="28:28">
      <c r="AB2725" s="669"/>
    </row>
    <row r="2726" spans="28:28">
      <c r="AB2726" s="669"/>
    </row>
    <row r="2727" spans="28:28">
      <c r="AB2727" s="669"/>
    </row>
    <row r="2728" spans="28:28">
      <c r="AB2728" s="669"/>
    </row>
    <row r="2729" spans="28:28">
      <c r="AB2729" s="669"/>
    </row>
    <row r="2730" spans="28:28">
      <c r="AB2730" s="669"/>
    </row>
    <row r="2731" spans="28:28">
      <c r="AB2731" s="669"/>
    </row>
    <row r="2732" spans="28:28">
      <c r="AB2732" s="669"/>
    </row>
    <row r="2733" spans="28:28">
      <c r="AB2733" s="669"/>
    </row>
    <row r="2734" spans="28:28">
      <c r="AB2734" s="669"/>
    </row>
    <row r="2735" spans="28:28">
      <c r="AB2735" s="669"/>
    </row>
    <row r="2736" spans="28:28">
      <c r="AB2736" s="669"/>
    </row>
    <row r="2737" spans="28:28">
      <c r="AB2737" s="669"/>
    </row>
    <row r="2738" spans="28:28">
      <c r="AB2738" s="669"/>
    </row>
    <row r="2739" spans="28:28">
      <c r="AB2739" s="669"/>
    </row>
    <row r="2740" spans="28:28">
      <c r="AB2740" s="669"/>
    </row>
    <row r="2741" spans="28:28">
      <c r="AB2741" s="669"/>
    </row>
    <row r="2742" spans="28:28">
      <c r="AB2742" s="669"/>
    </row>
    <row r="2743" spans="28:28">
      <c r="AB2743" s="669"/>
    </row>
    <row r="2744" spans="28:28">
      <c r="AB2744" s="669"/>
    </row>
    <row r="2745" spans="28:28">
      <c r="AB2745" s="669"/>
    </row>
    <row r="2746" spans="28:28">
      <c r="AB2746" s="669"/>
    </row>
    <row r="2747" spans="28:28">
      <c r="AB2747" s="669"/>
    </row>
    <row r="2748" spans="28:28">
      <c r="AB2748" s="669"/>
    </row>
    <row r="2749" spans="28:28">
      <c r="AB2749" s="669"/>
    </row>
    <row r="2750" spans="28:28">
      <c r="AB2750" s="669"/>
    </row>
    <row r="2751" spans="28:28">
      <c r="AB2751" s="669"/>
    </row>
    <row r="2752" spans="28:28">
      <c r="AB2752" s="669"/>
    </row>
    <row r="2753" spans="28:28">
      <c r="AB2753" s="669"/>
    </row>
    <row r="2754" spans="28:28">
      <c r="AB2754" s="669"/>
    </row>
    <row r="2755" spans="28:28">
      <c r="AB2755" s="669"/>
    </row>
    <row r="2756" spans="28:28">
      <c r="AB2756" s="669"/>
    </row>
    <row r="2757" spans="28:28">
      <c r="AB2757" s="669"/>
    </row>
    <row r="2758" spans="28:28">
      <c r="AB2758" s="669"/>
    </row>
    <row r="2759" spans="28:28">
      <c r="AB2759" s="669"/>
    </row>
    <row r="2760" spans="28:28">
      <c r="AB2760" s="669"/>
    </row>
    <row r="2761" spans="28:28">
      <c r="AB2761" s="669"/>
    </row>
    <row r="2762" spans="28:28">
      <c r="AB2762" s="669"/>
    </row>
    <row r="2763" spans="28:28">
      <c r="AB2763" s="669"/>
    </row>
    <row r="2764" spans="28:28">
      <c r="AB2764" s="669"/>
    </row>
    <row r="2765" spans="28:28">
      <c r="AB2765" s="669"/>
    </row>
    <row r="2766" spans="28:28">
      <c r="AB2766" s="669"/>
    </row>
    <row r="2767" spans="28:28">
      <c r="AB2767" s="669"/>
    </row>
    <row r="2768" spans="28:28">
      <c r="AB2768" s="669"/>
    </row>
    <row r="2769" spans="28:28">
      <c r="AB2769" s="669"/>
    </row>
    <row r="2770" spans="28:28">
      <c r="AB2770" s="669"/>
    </row>
    <row r="2771" spans="28:28">
      <c r="AB2771" s="669"/>
    </row>
    <row r="2772" spans="28:28">
      <c r="AB2772" s="669"/>
    </row>
    <row r="2773" spans="28:28">
      <c r="AB2773" s="669"/>
    </row>
    <row r="2774" spans="28:28">
      <c r="AB2774" s="669"/>
    </row>
    <row r="2775" spans="28:28">
      <c r="AB2775" s="669"/>
    </row>
    <row r="2776" spans="28:28">
      <c r="AB2776" s="669"/>
    </row>
    <row r="2777" spans="28:28">
      <c r="AB2777" s="669"/>
    </row>
    <row r="2778" spans="28:28">
      <c r="AB2778" s="669"/>
    </row>
    <row r="2779" spans="28:28">
      <c r="AB2779" s="669"/>
    </row>
    <row r="2780" spans="28:28">
      <c r="AB2780" s="669"/>
    </row>
    <row r="2781" spans="28:28">
      <c r="AB2781" s="669"/>
    </row>
    <row r="2782" spans="28:28">
      <c r="AB2782" s="669"/>
    </row>
    <row r="2783" spans="28:28">
      <c r="AB2783" s="669"/>
    </row>
    <row r="2784" spans="28:28">
      <c r="AB2784" s="669"/>
    </row>
    <row r="2785" spans="28:28">
      <c r="AB2785" s="669"/>
    </row>
    <row r="2786" spans="28:28">
      <c r="AB2786" s="669"/>
    </row>
    <row r="2787" spans="28:28">
      <c r="AB2787" s="669"/>
    </row>
    <row r="2788" spans="28:28">
      <c r="AB2788" s="669"/>
    </row>
    <row r="2789" spans="28:28">
      <c r="AB2789" s="669"/>
    </row>
    <row r="2790" spans="28:28">
      <c r="AB2790" s="669"/>
    </row>
    <row r="2791" spans="28:28">
      <c r="AB2791" s="669"/>
    </row>
    <row r="2792" spans="28:28">
      <c r="AB2792" s="669"/>
    </row>
    <row r="2793" spans="28:28">
      <c r="AB2793" s="669"/>
    </row>
    <row r="2794" spans="28:28">
      <c r="AB2794" s="669"/>
    </row>
    <row r="2795" spans="28:28">
      <c r="AB2795" s="669"/>
    </row>
    <row r="2796" spans="28:28">
      <c r="AB2796" s="669"/>
    </row>
    <row r="2797" spans="28:28">
      <c r="AB2797" s="669"/>
    </row>
    <row r="2798" spans="28:28">
      <c r="AB2798" s="669"/>
    </row>
    <row r="2799" spans="28:28">
      <c r="AB2799" s="669"/>
    </row>
    <row r="2800" spans="28:28">
      <c r="AB2800" s="669"/>
    </row>
    <row r="2801" spans="28:28">
      <c r="AB2801" s="669"/>
    </row>
    <row r="2802" spans="28:28">
      <c r="AB2802" s="669"/>
    </row>
    <row r="2803" spans="28:28">
      <c r="AB2803" s="669"/>
    </row>
    <row r="2804" spans="28:28">
      <c r="AB2804" s="669"/>
    </row>
    <row r="2805" spans="28:28">
      <c r="AB2805" s="669"/>
    </row>
    <row r="2806" spans="28:28">
      <c r="AB2806" s="669"/>
    </row>
    <row r="2807" spans="28:28">
      <c r="AB2807" s="669"/>
    </row>
    <row r="2808" spans="28:28">
      <c r="AB2808" s="669"/>
    </row>
    <row r="2809" spans="28:28">
      <c r="AB2809" s="669"/>
    </row>
    <row r="2810" spans="28:28">
      <c r="AB2810" s="669"/>
    </row>
    <row r="2811" spans="28:28">
      <c r="AB2811" s="669"/>
    </row>
    <row r="2812" spans="28:28">
      <c r="AB2812" s="669"/>
    </row>
    <row r="2813" spans="28:28">
      <c r="AB2813" s="669"/>
    </row>
    <row r="2814" spans="28:28">
      <c r="AB2814" s="669"/>
    </row>
    <row r="2815" spans="28:28">
      <c r="AB2815" s="669"/>
    </row>
    <row r="2816" spans="28:28">
      <c r="AB2816" s="669"/>
    </row>
    <row r="2817" spans="28:28">
      <c r="AB2817" s="669"/>
    </row>
    <row r="2818" spans="28:28">
      <c r="AB2818" s="669"/>
    </row>
    <row r="2819" spans="28:28">
      <c r="AB2819" s="669"/>
    </row>
    <row r="2820" spans="28:28">
      <c r="AB2820" s="669"/>
    </row>
    <row r="2821" spans="28:28">
      <c r="AB2821" s="669"/>
    </row>
    <row r="2822" spans="28:28">
      <c r="AB2822" s="669"/>
    </row>
    <row r="2823" spans="28:28">
      <c r="AB2823" s="669"/>
    </row>
    <row r="2824" spans="28:28">
      <c r="AB2824" s="669"/>
    </row>
    <row r="2825" spans="28:28">
      <c r="AB2825" s="669"/>
    </row>
    <row r="2826" spans="28:28">
      <c r="AB2826" s="669"/>
    </row>
    <row r="2827" spans="28:28">
      <c r="AB2827" s="669"/>
    </row>
    <row r="2828" spans="28:28">
      <c r="AB2828" s="669"/>
    </row>
    <row r="2829" spans="28:28">
      <c r="AB2829" s="669"/>
    </row>
    <row r="2830" spans="28:28">
      <c r="AB2830" s="669"/>
    </row>
    <row r="2831" spans="28:28">
      <c r="AB2831" s="669"/>
    </row>
    <row r="2832" spans="28:28">
      <c r="AB2832" s="669"/>
    </row>
    <row r="2833" spans="28:28">
      <c r="AB2833" s="669"/>
    </row>
    <row r="2834" spans="28:28">
      <c r="AB2834" s="669"/>
    </row>
    <row r="2835" spans="28:28">
      <c r="AB2835" s="669"/>
    </row>
    <row r="2836" spans="28:28">
      <c r="AB2836" s="669"/>
    </row>
    <row r="2837" spans="28:28">
      <c r="AB2837" s="669"/>
    </row>
    <row r="2838" spans="28:28">
      <c r="AB2838" s="669"/>
    </row>
    <row r="2839" spans="28:28">
      <c r="AB2839" s="669"/>
    </row>
    <row r="2840" spans="28:28">
      <c r="AB2840" s="669"/>
    </row>
    <row r="2841" spans="28:28">
      <c r="AB2841" s="669"/>
    </row>
    <row r="2842" spans="28:28">
      <c r="AB2842" s="669"/>
    </row>
    <row r="2843" spans="28:28">
      <c r="AB2843" s="669"/>
    </row>
    <row r="2844" spans="28:28">
      <c r="AB2844" s="669"/>
    </row>
    <row r="2845" spans="28:28">
      <c r="AB2845" s="669"/>
    </row>
    <row r="2846" spans="28:28">
      <c r="AB2846" s="669"/>
    </row>
    <row r="2847" spans="28:28">
      <c r="AB2847" s="669"/>
    </row>
    <row r="2848" spans="28:28">
      <c r="AB2848" s="669"/>
    </row>
    <row r="2849" spans="28:28">
      <c r="AB2849" s="669"/>
    </row>
    <row r="2850" spans="28:28">
      <c r="AB2850" s="669"/>
    </row>
    <row r="2851" spans="28:28">
      <c r="AB2851" s="669"/>
    </row>
    <row r="2852" spans="28:28">
      <c r="AB2852" s="669"/>
    </row>
    <row r="2853" spans="28:28">
      <c r="AB2853" s="669"/>
    </row>
    <row r="2854" spans="28:28">
      <c r="AB2854" s="669"/>
    </row>
    <row r="2855" spans="28:28">
      <c r="AB2855" s="669"/>
    </row>
    <row r="2856" spans="28:28">
      <c r="AB2856" s="669"/>
    </row>
    <row r="2857" spans="28:28">
      <c r="AB2857" s="669"/>
    </row>
    <row r="2858" spans="28:28">
      <c r="AB2858" s="669"/>
    </row>
    <row r="2859" spans="28:28">
      <c r="AB2859" s="669"/>
    </row>
    <row r="2860" spans="28:28">
      <c r="AB2860" s="669"/>
    </row>
    <row r="2861" spans="28:28">
      <c r="AB2861" s="669"/>
    </row>
    <row r="2862" spans="28:28">
      <c r="AB2862" s="669"/>
    </row>
    <row r="2863" spans="28:28">
      <c r="AB2863" s="669"/>
    </row>
    <row r="2864" spans="28:28">
      <c r="AB2864" s="669"/>
    </row>
    <row r="2865" spans="28:28">
      <c r="AB2865" s="669"/>
    </row>
    <row r="2866" spans="28:28">
      <c r="AB2866" s="669"/>
    </row>
    <row r="2867" spans="28:28">
      <c r="AB2867" s="669"/>
    </row>
    <row r="2868" spans="28:28">
      <c r="AB2868" s="669"/>
    </row>
    <row r="2869" spans="28:28">
      <c r="AB2869" s="669"/>
    </row>
    <row r="2870" spans="28:28">
      <c r="AB2870" s="669"/>
    </row>
    <row r="2871" spans="28:28">
      <c r="AB2871" s="669"/>
    </row>
    <row r="2872" spans="28:28">
      <c r="AB2872" s="669"/>
    </row>
    <row r="2873" spans="28:28">
      <c r="AB2873" s="669"/>
    </row>
    <row r="2874" spans="28:28">
      <c r="AB2874" s="669"/>
    </row>
    <row r="2875" spans="28:28">
      <c r="AB2875" s="669"/>
    </row>
    <row r="2876" spans="28:28">
      <c r="AB2876" s="669"/>
    </row>
    <row r="2877" spans="28:28">
      <c r="AB2877" s="669"/>
    </row>
    <row r="2878" spans="28:28">
      <c r="AB2878" s="669"/>
    </row>
    <row r="2879" spans="28:28">
      <c r="AB2879" s="669"/>
    </row>
    <row r="2880" spans="28:28">
      <c r="AB2880" s="669"/>
    </row>
    <row r="2881" spans="28:28">
      <c r="AB2881" s="669"/>
    </row>
    <row r="2882" spans="28:28">
      <c r="AB2882" s="669"/>
    </row>
    <row r="2883" spans="28:28">
      <c r="AB2883" s="669"/>
    </row>
    <row r="2884" spans="28:28">
      <c r="AB2884" s="669"/>
    </row>
    <row r="2885" spans="28:28">
      <c r="AB2885" s="669"/>
    </row>
    <row r="2886" spans="28:28">
      <c r="AB2886" s="669"/>
    </row>
    <row r="2887" spans="28:28">
      <c r="AB2887" s="669"/>
    </row>
    <row r="2888" spans="28:28">
      <c r="AB2888" s="669"/>
    </row>
    <row r="2889" spans="28:28">
      <c r="AB2889" s="669"/>
    </row>
    <row r="2890" spans="28:28">
      <c r="AB2890" s="669"/>
    </row>
    <row r="2891" spans="28:28">
      <c r="AB2891" s="669"/>
    </row>
    <row r="2892" spans="28:28">
      <c r="AB2892" s="669"/>
    </row>
    <row r="2893" spans="28:28">
      <c r="AB2893" s="669"/>
    </row>
    <row r="2894" spans="28:28">
      <c r="AB2894" s="669"/>
    </row>
    <row r="2895" spans="28:28">
      <c r="AB2895" s="669"/>
    </row>
    <row r="2896" spans="28:28">
      <c r="AB2896" s="669"/>
    </row>
    <row r="2897" spans="28:28">
      <c r="AB2897" s="669"/>
    </row>
    <row r="2898" spans="28:28">
      <c r="AB2898" s="669"/>
    </row>
    <row r="2899" spans="28:28">
      <c r="AB2899" s="669"/>
    </row>
    <row r="2900" spans="28:28">
      <c r="AB2900" s="669"/>
    </row>
    <row r="2901" spans="28:28">
      <c r="AB2901" s="669"/>
    </row>
    <row r="2902" spans="28:28">
      <c r="AB2902" s="669"/>
    </row>
    <row r="2903" spans="28:28">
      <c r="AB2903" s="669"/>
    </row>
    <row r="2904" spans="28:28">
      <c r="AB2904" s="669"/>
    </row>
    <row r="2905" spans="28:28">
      <c r="AB2905" s="669"/>
    </row>
    <row r="2906" spans="28:28">
      <c r="AB2906" s="669"/>
    </row>
    <row r="2907" spans="28:28">
      <c r="AB2907" s="669"/>
    </row>
    <row r="2908" spans="28:28">
      <c r="AB2908" s="669"/>
    </row>
    <row r="2909" spans="28:28">
      <c r="AB2909" s="669"/>
    </row>
    <row r="2910" spans="28:28">
      <c r="AB2910" s="669"/>
    </row>
    <row r="2911" spans="28:28">
      <c r="AB2911" s="669"/>
    </row>
    <row r="2912" spans="28:28">
      <c r="AB2912" s="669"/>
    </row>
    <row r="2913" spans="28:28">
      <c r="AB2913" s="669"/>
    </row>
    <row r="2914" spans="28:28">
      <c r="AB2914" s="669"/>
    </row>
    <row r="2915" spans="28:28">
      <c r="AB2915" s="669"/>
    </row>
    <row r="2916" spans="28:28">
      <c r="AB2916" s="669"/>
    </row>
    <row r="2917" spans="28:28">
      <c r="AB2917" s="669"/>
    </row>
    <row r="2918" spans="28:28">
      <c r="AB2918" s="669"/>
    </row>
    <row r="2919" spans="28:28">
      <c r="AB2919" s="669"/>
    </row>
    <row r="2920" spans="28:28">
      <c r="AB2920" s="669"/>
    </row>
    <row r="2921" spans="28:28">
      <c r="AB2921" s="669"/>
    </row>
    <row r="2922" spans="28:28">
      <c r="AB2922" s="669"/>
    </row>
    <row r="2923" spans="28:28">
      <c r="AB2923" s="669"/>
    </row>
    <row r="2924" spans="28:28">
      <c r="AB2924" s="669"/>
    </row>
    <row r="2925" spans="28:28">
      <c r="AB2925" s="669"/>
    </row>
    <row r="2926" spans="28:28">
      <c r="AB2926" s="669"/>
    </row>
    <row r="2927" spans="28:28">
      <c r="AB2927" s="669"/>
    </row>
    <row r="2928" spans="28:28">
      <c r="AB2928" s="669"/>
    </row>
    <row r="2929" spans="28:28">
      <c r="AB2929" s="669"/>
    </row>
    <row r="2930" spans="28:28">
      <c r="AB2930" s="669"/>
    </row>
    <row r="2931" spans="28:28">
      <c r="AB2931" s="669"/>
    </row>
    <row r="2932" spans="28:28">
      <c r="AB2932" s="669"/>
    </row>
    <row r="2933" spans="28:28">
      <c r="AB2933" s="669"/>
    </row>
    <row r="2934" spans="28:28">
      <c r="AB2934" s="669"/>
    </row>
    <row r="2935" spans="28:28">
      <c r="AB2935" s="669"/>
    </row>
    <row r="2936" spans="28:28">
      <c r="AB2936" s="669"/>
    </row>
    <row r="2937" spans="28:28">
      <c r="AB2937" s="669"/>
    </row>
    <row r="2938" spans="28:28">
      <c r="AB2938" s="669"/>
    </row>
    <row r="2939" spans="28:28">
      <c r="AB2939" s="669"/>
    </row>
    <row r="2940" spans="28:28">
      <c r="AB2940" s="669"/>
    </row>
    <row r="2941" spans="28:28">
      <c r="AB2941" s="669"/>
    </row>
    <row r="2942" spans="28:28">
      <c r="AB2942" s="669"/>
    </row>
    <row r="2943" spans="28:28">
      <c r="AB2943" s="669"/>
    </row>
    <row r="2944" spans="28:28">
      <c r="AB2944" s="669"/>
    </row>
    <row r="2945" spans="28:28">
      <c r="AB2945" s="669"/>
    </row>
    <row r="2946" spans="28:28">
      <c r="AB2946" s="669"/>
    </row>
    <row r="2947" spans="28:28">
      <c r="AB2947" s="669"/>
    </row>
    <row r="2948" spans="28:28">
      <c r="AB2948" s="669"/>
    </row>
    <row r="2949" spans="28:28">
      <c r="AB2949" s="669"/>
    </row>
    <row r="2950" spans="28:28">
      <c r="AB2950" s="669"/>
    </row>
    <row r="2951" spans="28:28">
      <c r="AB2951" s="669"/>
    </row>
    <row r="2952" spans="28:28">
      <c r="AB2952" s="669"/>
    </row>
    <row r="2953" spans="28:28">
      <c r="AB2953" s="669"/>
    </row>
    <row r="2954" spans="28:28">
      <c r="AB2954" s="669"/>
    </row>
    <row r="2955" spans="28:28">
      <c r="AB2955" s="669"/>
    </row>
    <row r="2956" spans="28:28">
      <c r="AB2956" s="669"/>
    </row>
    <row r="2957" spans="28:28">
      <c r="AB2957" s="669"/>
    </row>
    <row r="2958" spans="28:28">
      <c r="AB2958" s="669"/>
    </row>
    <row r="2959" spans="28:28">
      <c r="AB2959" s="669"/>
    </row>
    <row r="2960" spans="28:28">
      <c r="AB2960" s="669"/>
    </row>
    <row r="2961" spans="28:28">
      <c r="AB2961" s="669"/>
    </row>
    <row r="2962" spans="28:28">
      <c r="AB2962" s="669"/>
    </row>
    <row r="2963" spans="28:28">
      <c r="AB2963" s="669"/>
    </row>
    <row r="2964" spans="28:28">
      <c r="AB2964" s="669"/>
    </row>
    <row r="2965" spans="28:28">
      <c r="AB2965" s="669"/>
    </row>
    <row r="2966" spans="28:28">
      <c r="AB2966" s="669"/>
    </row>
    <row r="2967" spans="28:28">
      <c r="AB2967" s="669"/>
    </row>
    <row r="2968" spans="28:28">
      <c r="AB2968" s="669"/>
    </row>
    <row r="2969" spans="28:28">
      <c r="AB2969" s="669"/>
    </row>
    <row r="2970" spans="28:28">
      <c r="AB2970" s="669"/>
    </row>
    <row r="2971" spans="28:28">
      <c r="AB2971" s="669"/>
    </row>
    <row r="2972" spans="28:28">
      <c r="AB2972" s="669"/>
    </row>
    <row r="2973" spans="28:28">
      <c r="AB2973" s="669"/>
    </row>
    <row r="2974" spans="28:28">
      <c r="AB2974" s="669"/>
    </row>
    <row r="2975" spans="28:28">
      <c r="AB2975" s="669"/>
    </row>
    <row r="2976" spans="28:28">
      <c r="AB2976" s="669"/>
    </row>
    <row r="2977" spans="28:28">
      <c r="AB2977" s="669"/>
    </row>
    <row r="2978" spans="28:28">
      <c r="AB2978" s="669"/>
    </row>
    <row r="2979" spans="28:28">
      <c r="AB2979" s="669"/>
    </row>
    <row r="2980" spans="28:28">
      <c r="AB2980" s="669"/>
    </row>
    <row r="2981" spans="28:28">
      <c r="AB2981" s="669"/>
    </row>
    <row r="2982" spans="28:28">
      <c r="AB2982" s="669"/>
    </row>
    <row r="2983" spans="28:28">
      <c r="AB2983" s="669"/>
    </row>
    <row r="2984" spans="28:28">
      <c r="AB2984" s="669"/>
    </row>
    <row r="2985" spans="28:28">
      <c r="AB2985" s="669"/>
    </row>
    <row r="2986" spans="28:28">
      <c r="AB2986" s="669"/>
    </row>
    <row r="2987" spans="28:28">
      <c r="AB2987" s="669"/>
    </row>
    <row r="2988" spans="28:28">
      <c r="AB2988" s="669"/>
    </row>
    <row r="2989" spans="28:28">
      <c r="AB2989" s="669"/>
    </row>
    <row r="2990" spans="28:28">
      <c r="AB2990" s="669"/>
    </row>
    <row r="2991" spans="28:28">
      <c r="AB2991" s="669"/>
    </row>
    <row r="2992" spans="28:28">
      <c r="AB2992" s="669"/>
    </row>
    <row r="2993" spans="28:28">
      <c r="AB2993" s="669"/>
    </row>
    <row r="2994" spans="28:28">
      <c r="AB2994" s="669"/>
    </row>
    <row r="2995" spans="28:28">
      <c r="AB2995" s="669"/>
    </row>
    <row r="2996" spans="28:28">
      <c r="AB2996" s="669"/>
    </row>
    <row r="2997" spans="28:28">
      <c r="AB2997" s="669"/>
    </row>
    <row r="2998" spans="28:28">
      <c r="AB2998" s="669"/>
    </row>
    <row r="2999" spans="28:28">
      <c r="AB2999" s="669"/>
    </row>
    <row r="3000" spans="28:28">
      <c r="AB3000" s="669"/>
    </row>
    <row r="3001" spans="28:28">
      <c r="AB3001" s="669"/>
    </row>
    <row r="3002" spans="28:28">
      <c r="AB3002" s="669"/>
    </row>
    <row r="3003" spans="28:28">
      <c r="AB3003" s="669"/>
    </row>
    <row r="3004" spans="28:28">
      <c r="AB3004" s="669"/>
    </row>
    <row r="3005" spans="28:28">
      <c r="AB3005" s="669"/>
    </row>
    <row r="3006" spans="28:28">
      <c r="AB3006" s="669"/>
    </row>
    <row r="3007" spans="28:28">
      <c r="AB3007" s="669"/>
    </row>
    <row r="3008" spans="28:28">
      <c r="AB3008" s="669"/>
    </row>
    <row r="3009" spans="28:28">
      <c r="AB3009" s="669"/>
    </row>
    <row r="3010" spans="28:28">
      <c r="AB3010" s="669"/>
    </row>
    <row r="3011" spans="28:28">
      <c r="AB3011" s="669"/>
    </row>
    <row r="3012" spans="28:28">
      <c r="AB3012" s="669"/>
    </row>
    <row r="3013" spans="28:28">
      <c r="AB3013" s="669"/>
    </row>
    <row r="3014" spans="28:28">
      <c r="AB3014" s="669"/>
    </row>
    <row r="3015" spans="28:28">
      <c r="AB3015" s="669"/>
    </row>
    <row r="3016" spans="28:28">
      <c r="AB3016" s="669"/>
    </row>
    <row r="3017" spans="28:28">
      <c r="AB3017" s="669"/>
    </row>
    <row r="3018" spans="28:28">
      <c r="AB3018" s="669"/>
    </row>
    <row r="3019" spans="28:28">
      <c r="AB3019" s="669"/>
    </row>
    <row r="3020" spans="28:28">
      <c r="AB3020" s="669"/>
    </row>
    <row r="3021" spans="28:28">
      <c r="AB3021" s="669"/>
    </row>
    <row r="3022" spans="28:28">
      <c r="AB3022" s="669"/>
    </row>
    <row r="3023" spans="28:28">
      <c r="AB3023" s="669"/>
    </row>
    <row r="3024" spans="28:28">
      <c r="AB3024" s="669"/>
    </row>
    <row r="3025" spans="28:28">
      <c r="AB3025" s="669"/>
    </row>
    <row r="3026" spans="28:28">
      <c r="AB3026" s="669"/>
    </row>
    <row r="3027" spans="28:28">
      <c r="AB3027" s="669"/>
    </row>
    <row r="3028" spans="28:28">
      <c r="AB3028" s="669"/>
    </row>
    <row r="3029" spans="28:28">
      <c r="AB3029" s="669"/>
    </row>
    <row r="3030" spans="28:28">
      <c r="AB3030" s="669"/>
    </row>
    <row r="3031" spans="28:28">
      <c r="AB3031" s="669"/>
    </row>
    <row r="3032" spans="28:28">
      <c r="AB3032" s="669"/>
    </row>
    <row r="3033" spans="28:28">
      <c r="AB3033" s="669"/>
    </row>
    <row r="3034" spans="28:28">
      <c r="AB3034" s="669"/>
    </row>
    <row r="3035" spans="28:28">
      <c r="AB3035" s="669"/>
    </row>
    <row r="3036" spans="28:28">
      <c r="AB3036" s="669"/>
    </row>
    <row r="3037" spans="28:28">
      <c r="AB3037" s="669"/>
    </row>
    <row r="3038" spans="28:28">
      <c r="AB3038" s="669"/>
    </row>
    <row r="3039" spans="28:28">
      <c r="AB3039" s="669"/>
    </row>
    <row r="3040" spans="28:28">
      <c r="AB3040" s="669"/>
    </row>
    <row r="3041" spans="28:28">
      <c r="AB3041" s="669"/>
    </row>
    <row r="3042" spans="28:28">
      <c r="AB3042" s="669"/>
    </row>
    <row r="3043" spans="28:28">
      <c r="AB3043" s="669"/>
    </row>
    <row r="3044" spans="28:28">
      <c r="AB3044" s="669"/>
    </row>
    <row r="3045" spans="28:28">
      <c r="AB3045" s="669"/>
    </row>
    <row r="3046" spans="28:28">
      <c r="AB3046" s="669"/>
    </row>
    <row r="3047" spans="28:28">
      <c r="AB3047" s="669"/>
    </row>
    <row r="3048" spans="28:28">
      <c r="AB3048" s="669"/>
    </row>
    <row r="3049" spans="28:28">
      <c r="AB3049" s="669"/>
    </row>
    <row r="3050" spans="28:28">
      <c r="AB3050" s="669"/>
    </row>
    <row r="3051" spans="28:28">
      <c r="AB3051" s="669"/>
    </row>
    <row r="3052" spans="28:28">
      <c r="AB3052" s="669"/>
    </row>
    <row r="3053" spans="28:28">
      <c r="AB3053" s="669"/>
    </row>
    <row r="3054" spans="28:28">
      <c r="AB3054" s="669"/>
    </row>
    <row r="3055" spans="28:28">
      <c r="AB3055" s="669"/>
    </row>
    <row r="3056" spans="28:28">
      <c r="AB3056" s="669"/>
    </row>
    <row r="3057" spans="28:28">
      <c r="AB3057" s="669"/>
    </row>
    <row r="3058" spans="28:28">
      <c r="AB3058" s="669"/>
    </row>
    <row r="3059" spans="28:28">
      <c r="AB3059" s="669"/>
    </row>
    <row r="3060" spans="28:28">
      <c r="AB3060" s="669"/>
    </row>
    <row r="3061" spans="28:28">
      <c r="AB3061" s="669"/>
    </row>
    <row r="3062" spans="28:28">
      <c r="AB3062" s="669"/>
    </row>
    <row r="3063" spans="28:28">
      <c r="AB3063" s="669"/>
    </row>
    <row r="3064" spans="28:28">
      <c r="AB3064" s="669"/>
    </row>
    <row r="3065" spans="28:28">
      <c r="AB3065" s="669"/>
    </row>
    <row r="3066" spans="28:28">
      <c r="AB3066" s="669"/>
    </row>
    <row r="3067" spans="28:28">
      <c r="AB3067" s="669"/>
    </row>
    <row r="3068" spans="28:28">
      <c r="AB3068" s="669"/>
    </row>
    <row r="3069" spans="28:28">
      <c r="AB3069" s="669"/>
    </row>
    <row r="3070" spans="28:28">
      <c r="AB3070" s="669"/>
    </row>
    <row r="3071" spans="28:28">
      <c r="AB3071" s="669"/>
    </row>
    <row r="3072" spans="28:28">
      <c r="AB3072" s="669"/>
    </row>
    <row r="3073" spans="28:28">
      <c r="AB3073" s="669"/>
    </row>
    <row r="3074" spans="28:28">
      <c r="AB3074" s="669"/>
    </row>
    <row r="3075" spans="28:28">
      <c r="AB3075" s="669"/>
    </row>
    <row r="3076" spans="28:28">
      <c r="AB3076" s="669"/>
    </row>
    <row r="3077" spans="28:28">
      <c r="AB3077" s="669"/>
    </row>
    <row r="3078" spans="28:28">
      <c r="AB3078" s="669"/>
    </row>
    <row r="3079" spans="28:28">
      <c r="AB3079" s="669"/>
    </row>
    <row r="3080" spans="28:28">
      <c r="AB3080" s="669"/>
    </row>
    <row r="3081" spans="28:28">
      <c r="AB3081" s="669"/>
    </row>
    <row r="3082" spans="28:28">
      <c r="AB3082" s="669"/>
    </row>
    <row r="3083" spans="28:28">
      <c r="AB3083" s="669"/>
    </row>
    <row r="3084" spans="28:28">
      <c r="AB3084" s="669"/>
    </row>
    <row r="3085" spans="28:28">
      <c r="AB3085" s="669"/>
    </row>
    <row r="3086" spans="28:28">
      <c r="AB3086" s="669"/>
    </row>
    <row r="3087" spans="28:28">
      <c r="AB3087" s="669"/>
    </row>
    <row r="3088" spans="28:28">
      <c r="AB3088" s="669"/>
    </row>
    <row r="3089" spans="28:28">
      <c r="AB3089" s="669"/>
    </row>
    <row r="3090" spans="28:28">
      <c r="AB3090" s="669"/>
    </row>
    <row r="3091" spans="28:28">
      <c r="AB3091" s="669"/>
    </row>
    <row r="3092" spans="28:28">
      <c r="AB3092" s="669"/>
    </row>
    <row r="3093" spans="28:28">
      <c r="AB3093" s="669"/>
    </row>
    <row r="3094" spans="28:28">
      <c r="AB3094" s="669"/>
    </row>
    <row r="3095" spans="28:28">
      <c r="AB3095" s="669"/>
    </row>
    <row r="3096" spans="28:28">
      <c r="AB3096" s="669"/>
    </row>
    <row r="3097" spans="28:28">
      <c r="AB3097" s="669"/>
    </row>
    <row r="3098" spans="28:28">
      <c r="AB3098" s="669"/>
    </row>
    <row r="3099" spans="28:28">
      <c r="AB3099" s="669"/>
    </row>
    <row r="3100" spans="28:28">
      <c r="AB3100" s="669"/>
    </row>
    <row r="3101" spans="28:28">
      <c r="AB3101" s="669"/>
    </row>
    <row r="3102" spans="28:28">
      <c r="AB3102" s="669"/>
    </row>
    <row r="3103" spans="28:28">
      <c r="AB3103" s="669"/>
    </row>
    <row r="3104" spans="28:28">
      <c r="AB3104" s="669"/>
    </row>
    <row r="3105" spans="28:28">
      <c r="AB3105" s="669"/>
    </row>
    <row r="3106" spans="28:28">
      <c r="AB3106" s="669"/>
    </row>
    <row r="3107" spans="28:28">
      <c r="AB3107" s="669"/>
    </row>
    <row r="3108" spans="28:28">
      <c r="AB3108" s="669"/>
    </row>
    <row r="3109" spans="28:28">
      <c r="AB3109" s="669"/>
    </row>
    <row r="3110" spans="28:28">
      <c r="AB3110" s="669"/>
    </row>
    <row r="3111" spans="28:28">
      <c r="AB3111" s="669"/>
    </row>
    <row r="3112" spans="28:28">
      <c r="AB3112" s="669"/>
    </row>
    <row r="3113" spans="28:28">
      <c r="AB3113" s="669"/>
    </row>
    <row r="3114" spans="28:28">
      <c r="AB3114" s="669"/>
    </row>
    <row r="3115" spans="28:28">
      <c r="AB3115" s="669"/>
    </row>
    <row r="3116" spans="28:28">
      <c r="AB3116" s="669"/>
    </row>
    <row r="3117" spans="28:28">
      <c r="AB3117" s="669"/>
    </row>
    <row r="3118" spans="28:28">
      <c r="AB3118" s="669"/>
    </row>
    <row r="3119" spans="28:28">
      <c r="AB3119" s="669"/>
    </row>
    <row r="3120" spans="28:28">
      <c r="AB3120" s="669"/>
    </row>
    <row r="3121" spans="28:28">
      <c r="AB3121" s="669"/>
    </row>
    <row r="3122" spans="28:28">
      <c r="AB3122" s="669"/>
    </row>
    <row r="3123" spans="28:28">
      <c r="AB3123" s="669"/>
    </row>
    <row r="3124" spans="28:28">
      <c r="AB3124" s="669"/>
    </row>
    <row r="3125" spans="28:28">
      <c r="AB3125" s="669"/>
    </row>
    <row r="3126" spans="28:28">
      <c r="AB3126" s="669"/>
    </row>
    <row r="3127" spans="28:28">
      <c r="AB3127" s="669"/>
    </row>
    <row r="3128" spans="28:28">
      <c r="AB3128" s="669"/>
    </row>
    <row r="3129" spans="28:28">
      <c r="AB3129" s="669"/>
    </row>
    <row r="3130" spans="28:28">
      <c r="AB3130" s="669"/>
    </row>
    <row r="3131" spans="28:28">
      <c r="AB3131" s="669"/>
    </row>
    <row r="3132" spans="28:28">
      <c r="AB3132" s="669"/>
    </row>
    <row r="3133" spans="28:28">
      <c r="AB3133" s="669"/>
    </row>
    <row r="3134" spans="28:28">
      <c r="AB3134" s="669"/>
    </row>
    <row r="3135" spans="28:28">
      <c r="AB3135" s="669"/>
    </row>
    <row r="3136" spans="28:28">
      <c r="AB3136" s="669"/>
    </row>
    <row r="3137" spans="28:28">
      <c r="AB3137" s="669"/>
    </row>
    <row r="3138" spans="28:28">
      <c r="AB3138" s="669"/>
    </row>
    <row r="3139" spans="28:28">
      <c r="AB3139" s="669"/>
    </row>
    <row r="3140" spans="28:28">
      <c r="AB3140" s="669"/>
    </row>
    <row r="3141" spans="28:28">
      <c r="AB3141" s="669"/>
    </row>
    <row r="3142" spans="28:28">
      <c r="AB3142" s="669"/>
    </row>
    <row r="3143" spans="28:28">
      <c r="AB3143" s="669"/>
    </row>
    <row r="3144" spans="28:28">
      <c r="AB3144" s="669"/>
    </row>
    <row r="3145" spans="28:28">
      <c r="AB3145" s="669"/>
    </row>
    <row r="3146" spans="28:28">
      <c r="AB3146" s="669"/>
    </row>
    <row r="3147" spans="28:28">
      <c r="AB3147" s="669"/>
    </row>
    <row r="3148" spans="28:28">
      <c r="AB3148" s="669"/>
    </row>
    <row r="3149" spans="28:28">
      <c r="AB3149" s="669"/>
    </row>
    <row r="3150" spans="28:28">
      <c r="AB3150" s="669"/>
    </row>
    <row r="3151" spans="28:28">
      <c r="AB3151" s="669"/>
    </row>
    <row r="3152" spans="28:28">
      <c r="AB3152" s="669"/>
    </row>
    <row r="3153" spans="28:28">
      <c r="AB3153" s="669"/>
    </row>
    <row r="3154" spans="28:28">
      <c r="AB3154" s="669"/>
    </row>
    <row r="3155" spans="28:28">
      <c r="AB3155" s="669"/>
    </row>
    <row r="3156" spans="28:28">
      <c r="AB3156" s="669"/>
    </row>
    <row r="3157" spans="28:28">
      <c r="AB3157" s="669"/>
    </row>
    <row r="3158" spans="28:28">
      <c r="AB3158" s="669"/>
    </row>
    <row r="3159" spans="28:28">
      <c r="AB3159" s="669"/>
    </row>
    <row r="3160" spans="28:28">
      <c r="AB3160" s="669"/>
    </row>
    <row r="3161" spans="28:28">
      <c r="AB3161" s="669"/>
    </row>
    <row r="3162" spans="28:28">
      <c r="AB3162" s="669"/>
    </row>
    <row r="3163" spans="28:28">
      <c r="AB3163" s="669"/>
    </row>
    <row r="3164" spans="28:28">
      <c r="AB3164" s="669"/>
    </row>
    <row r="3165" spans="28:28">
      <c r="AB3165" s="669"/>
    </row>
    <row r="3166" spans="28:28">
      <c r="AB3166" s="669"/>
    </row>
    <row r="3167" spans="28:28">
      <c r="AB3167" s="669"/>
    </row>
    <row r="3168" spans="28:28">
      <c r="AB3168" s="669"/>
    </row>
    <row r="3169" spans="28:28">
      <c r="AB3169" s="669"/>
    </row>
    <row r="3170" spans="28:28">
      <c r="AB3170" s="669"/>
    </row>
    <row r="3171" spans="28:28">
      <c r="AB3171" s="669"/>
    </row>
    <row r="3172" spans="28:28">
      <c r="AB3172" s="669"/>
    </row>
    <row r="3173" spans="28:28">
      <c r="AB3173" s="669"/>
    </row>
    <row r="3174" spans="28:28">
      <c r="AB3174" s="669"/>
    </row>
    <row r="3175" spans="28:28">
      <c r="AB3175" s="669"/>
    </row>
    <row r="3176" spans="28:28">
      <c r="AB3176" s="669"/>
    </row>
    <row r="3177" spans="28:28">
      <c r="AB3177" s="669"/>
    </row>
    <row r="3178" spans="28:28">
      <c r="AB3178" s="669"/>
    </row>
    <row r="3179" spans="28:28">
      <c r="AB3179" s="669"/>
    </row>
    <row r="3180" spans="28:28">
      <c r="AB3180" s="669"/>
    </row>
    <row r="3181" spans="28:28">
      <c r="AB3181" s="669"/>
    </row>
    <row r="3182" spans="28:28">
      <c r="AB3182" s="669"/>
    </row>
    <row r="3183" spans="28:28">
      <c r="AB3183" s="669"/>
    </row>
    <row r="3184" spans="28:28">
      <c r="AB3184" s="669"/>
    </row>
    <row r="3185" spans="28:28">
      <c r="AB3185" s="669"/>
    </row>
    <row r="3186" spans="28:28">
      <c r="AB3186" s="669"/>
    </row>
    <row r="3187" spans="28:28">
      <c r="AB3187" s="669"/>
    </row>
    <row r="3188" spans="28:28">
      <c r="AB3188" s="669"/>
    </row>
    <row r="3189" spans="28:28">
      <c r="AB3189" s="669"/>
    </row>
    <row r="3190" spans="28:28">
      <c r="AB3190" s="669"/>
    </row>
    <row r="3191" spans="28:28">
      <c r="AB3191" s="669"/>
    </row>
    <row r="3192" spans="28:28">
      <c r="AB3192" s="669"/>
    </row>
    <row r="3193" spans="28:28">
      <c r="AB3193" s="669"/>
    </row>
    <row r="3194" spans="28:28">
      <c r="AB3194" s="669"/>
    </row>
    <row r="3195" spans="28:28">
      <c r="AB3195" s="669"/>
    </row>
    <row r="3196" spans="28:28">
      <c r="AB3196" s="669"/>
    </row>
    <row r="3197" spans="28:28">
      <c r="AB3197" s="669"/>
    </row>
    <row r="3198" spans="28:28">
      <c r="AB3198" s="669"/>
    </row>
    <row r="3199" spans="28:28">
      <c r="AB3199" s="669"/>
    </row>
    <row r="3200" spans="28:28">
      <c r="AB3200" s="669"/>
    </row>
    <row r="3201" spans="28:28">
      <c r="AB3201" s="669"/>
    </row>
    <row r="3202" spans="28:28">
      <c r="AB3202" s="669"/>
    </row>
    <row r="3203" spans="28:28">
      <c r="AB3203" s="669"/>
    </row>
    <row r="3204" spans="28:28">
      <c r="AB3204" s="669"/>
    </row>
    <row r="3205" spans="28:28">
      <c r="AB3205" s="669"/>
    </row>
    <row r="3206" spans="28:28">
      <c r="AB3206" s="669"/>
    </row>
    <row r="3207" spans="28:28">
      <c r="AB3207" s="669"/>
    </row>
    <row r="3208" spans="28:28">
      <c r="AB3208" s="669"/>
    </row>
    <row r="3209" spans="28:28">
      <c r="AB3209" s="669"/>
    </row>
    <row r="3210" spans="28:28">
      <c r="AB3210" s="669"/>
    </row>
    <row r="3211" spans="28:28">
      <c r="AB3211" s="669"/>
    </row>
    <row r="3212" spans="28:28">
      <c r="AB3212" s="669"/>
    </row>
    <row r="3213" spans="28:28">
      <c r="AB3213" s="669"/>
    </row>
    <row r="3214" spans="28:28">
      <c r="AB3214" s="669"/>
    </row>
    <row r="3215" spans="28:28">
      <c r="AB3215" s="669"/>
    </row>
    <row r="3216" spans="28:28">
      <c r="AB3216" s="669"/>
    </row>
    <row r="3217" spans="28:28">
      <c r="AB3217" s="669"/>
    </row>
    <row r="3218" spans="28:28">
      <c r="AB3218" s="669"/>
    </row>
    <row r="3219" spans="28:28">
      <c r="AB3219" s="669"/>
    </row>
    <row r="3220" spans="28:28">
      <c r="AB3220" s="669"/>
    </row>
    <row r="3221" spans="28:28">
      <c r="AB3221" s="669"/>
    </row>
    <row r="3222" spans="28:28">
      <c r="AB3222" s="669"/>
    </row>
    <row r="3223" spans="28:28">
      <c r="AB3223" s="669"/>
    </row>
    <row r="3224" spans="28:28">
      <c r="AB3224" s="669"/>
    </row>
    <row r="3225" spans="28:28">
      <c r="AB3225" s="669"/>
    </row>
    <row r="3226" spans="28:28">
      <c r="AB3226" s="669"/>
    </row>
    <row r="3227" spans="28:28">
      <c r="AB3227" s="669"/>
    </row>
    <row r="3228" spans="28:28">
      <c r="AB3228" s="669"/>
    </row>
    <row r="3229" spans="28:28">
      <c r="AB3229" s="669"/>
    </row>
    <row r="3230" spans="28:28">
      <c r="AB3230" s="669"/>
    </row>
    <row r="3231" spans="28:28">
      <c r="AB3231" s="669"/>
    </row>
    <row r="3232" spans="28:28">
      <c r="AB3232" s="669"/>
    </row>
    <row r="3233" spans="28:28">
      <c r="AB3233" s="669"/>
    </row>
    <row r="3234" spans="28:28">
      <c r="AB3234" s="669"/>
    </row>
    <row r="3235" spans="28:28">
      <c r="AB3235" s="669"/>
    </row>
    <row r="3236" spans="28:28">
      <c r="AB3236" s="669"/>
    </row>
    <row r="3237" spans="28:28">
      <c r="AB3237" s="669"/>
    </row>
    <row r="3238" spans="28:28">
      <c r="AB3238" s="669"/>
    </row>
    <row r="3239" spans="28:28">
      <c r="AB3239" s="669"/>
    </row>
    <row r="3240" spans="28:28">
      <c r="AB3240" s="669"/>
    </row>
    <row r="3241" spans="28:28">
      <c r="AB3241" s="669"/>
    </row>
    <row r="3242" spans="28:28">
      <c r="AB3242" s="669"/>
    </row>
    <row r="3243" spans="28:28">
      <c r="AB3243" s="669"/>
    </row>
    <row r="3244" spans="28:28">
      <c r="AB3244" s="669"/>
    </row>
    <row r="3245" spans="28:28">
      <c r="AB3245" s="669"/>
    </row>
    <row r="3246" spans="28:28">
      <c r="AB3246" s="669"/>
    </row>
    <row r="3247" spans="28:28">
      <c r="AB3247" s="669"/>
    </row>
    <row r="3248" spans="28:28">
      <c r="AB3248" s="669"/>
    </row>
    <row r="3249" spans="28:28">
      <c r="AB3249" s="669"/>
    </row>
    <row r="3250" spans="28:28">
      <c r="AB3250" s="669"/>
    </row>
    <row r="3251" spans="28:28">
      <c r="AB3251" s="669"/>
    </row>
    <row r="3252" spans="28:28">
      <c r="AB3252" s="669"/>
    </row>
    <row r="3253" spans="28:28">
      <c r="AB3253" s="669"/>
    </row>
    <row r="3254" spans="28:28">
      <c r="AB3254" s="669"/>
    </row>
    <row r="3255" spans="28:28">
      <c r="AB3255" s="669"/>
    </row>
    <row r="3256" spans="28:28">
      <c r="AB3256" s="669"/>
    </row>
    <row r="3257" spans="28:28">
      <c r="AB3257" s="669"/>
    </row>
    <row r="3258" spans="28:28">
      <c r="AB3258" s="669"/>
    </row>
    <row r="3259" spans="28:28">
      <c r="AB3259" s="669"/>
    </row>
    <row r="3260" spans="28:28">
      <c r="AB3260" s="669"/>
    </row>
    <row r="3261" spans="28:28">
      <c r="AB3261" s="669"/>
    </row>
    <row r="3262" spans="28:28">
      <c r="AB3262" s="669"/>
    </row>
    <row r="3263" spans="28:28">
      <c r="AB3263" s="669"/>
    </row>
    <row r="3264" spans="28:28">
      <c r="AB3264" s="669"/>
    </row>
    <row r="3265" spans="28:28">
      <c r="AB3265" s="669"/>
    </row>
    <row r="3266" spans="28:28">
      <c r="AB3266" s="669"/>
    </row>
    <row r="3267" spans="28:28">
      <c r="AB3267" s="669"/>
    </row>
    <row r="3268" spans="28:28">
      <c r="AB3268" s="669"/>
    </row>
    <row r="3269" spans="28:28">
      <c r="AB3269" s="669"/>
    </row>
    <row r="3270" spans="28:28">
      <c r="AB3270" s="669"/>
    </row>
    <row r="3271" spans="28:28">
      <c r="AB3271" s="669"/>
    </row>
    <row r="3272" spans="28:28">
      <c r="AB3272" s="669"/>
    </row>
    <row r="3273" spans="28:28">
      <c r="AB3273" s="669"/>
    </row>
    <row r="3274" spans="28:28">
      <c r="AB3274" s="669"/>
    </row>
    <row r="3275" spans="28:28">
      <c r="AB3275" s="669"/>
    </row>
    <row r="3276" spans="28:28">
      <c r="AB3276" s="669"/>
    </row>
    <row r="3277" spans="28:28">
      <c r="AB3277" s="669"/>
    </row>
    <row r="3278" spans="28:28">
      <c r="AB3278" s="669"/>
    </row>
    <row r="3279" spans="28:28">
      <c r="AB3279" s="669"/>
    </row>
    <row r="3280" spans="28:28">
      <c r="AB3280" s="669"/>
    </row>
    <row r="3281" spans="28:28">
      <c r="AB3281" s="669"/>
    </row>
    <row r="3282" spans="28:28">
      <c r="AB3282" s="669"/>
    </row>
    <row r="3283" spans="28:28">
      <c r="AB3283" s="669"/>
    </row>
    <row r="3284" spans="28:28">
      <c r="AB3284" s="669"/>
    </row>
    <row r="3285" spans="28:28">
      <c r="AB3285" s="669"/>
    </row>
    <row r="3286" spans="28:28">
      <c r="AB3286" s="669"/>
    </row>
    <row r="3287" spans="28:28">
      <c r="AB3287" s="669"/>
    </row>
    <row r="3288" spans="28:28">
      <c r="AB3288" s="669"/>
    </row>
    <row r="3289" spans="28:28">
      <c r="AB3289" s="669"/>
    </row>
    <row r="3290" spans="28:28">
      <c r="AB3290" s="669"/>
    </row>
    <row r="3291" spans="28:28">
      <c r="AB3291" s="669"/>
    </row>
    <row r="3292" spans="28:28">
      <c r="AB3292" s="669"/>
    </row>
    <row r="3293" spans="28:28">
      <c r="AB3293" s="669"/>
    </row>
    <row r="3294" spans="28:28">
      <c r="AB3294" s="669"/>
    </row>
    <row r="3295" spans="28:28">
      <c r="AB3295" s="669"/>
    </row>
    <row r="3296" spans="28:28">
      <c r="AB3296" s="669"/>
    </row>
    <row r="3297" spans="28:28">
      <c r="AB3297" s="669"/>
    </row>
    <row r="3298" spans="28:28">
      <c r="AB3298" s="669"/>
    </row>
    <row r="3299" spans="28:28">
      <c r="AB3299" s="669"/>
    </row>
    <row r="3300" spans="28:28">
      <c r="AB3300" s="669"/>
    </row>
    <row r="3301" spans="28:28">
      <c r="AB3301" s="669"/>
    </row>
    <row r="3302" spans="28:28">
      <c r="AB3302" s="669"/>
    </row>
    <row r="3303" spans="28:28">
      <c r="AB3303" s="669"/>
    </row>
    <row r="3304" spans="28:28">
      <c r="AB3304" s="669"/>
    </row>
    <row r="3305" spans="28:28">
      <c r="AB3305" s="669"/>
    </row>
    <row r="3306" spans="28:28">
      <c r="AB3306" s="669"/>
    </row>
    <row r="3307" spans="28:28">
      <c r="AB3307" s="669"/>
    </row>
    <row r="3308" spans="28:28">
      <c r="AB3308" s="669"/>
    </row>
    <row r="3309" spans="28:28">
      <c r="AB3309" s="669"/>
    </row>
    <row r="3310" spans="28:28">
      <c r="AB3310" s="669"/>
    </row>
    <row r="3311" spans="28:28">
      <c r="AB3311" s="669"/>
    </row>
    <row r="3312" spans="28:28">
      <c r="AB3312" s="669"/>
    </row>
    <row r="3313" spans="28:28">
      <c r="AB3313" s="669"/>
    </row>
    <row r="3314" spans="28:28">
      <c r="AB3314" s="669"/>
    </row>
    <row r="3315" spans="28:28">
      <c r="AB3315" s="669"/>
    </row>
    <row r="3316" spans="28:28">
      <c r="AB3316" s="669"/>
    </row>
    <row r="3317" spans="28:28">
      <c r="AB3317" s="669"/>
    </row>
    <row r="3318" spans="28:28">
      <c r="AB3318" s="669"/>
    </row>
    <row r="3319" spans="28:28">
      <c r="AB3319" s="669"/>
    </row>
    <row r="3320" spans="28:28">
      <c r="AB3320" s="669"/>
    </row>
    <row r="3321" spans="28:28">
      <c r="AB3321" s="669"/>
    </row>
    <row r="3322" spans="28:28">
      <c r="AB3322" s="669"/>
    </row>
    <row r="3323" spans="28:28">
      <c r="AB3323" s="669"/>
    </row>
    <row r="3324" spans="28:28">
      <c r="AB3324" s="669"/>
    </row>
    <row r="3325" spans="28:28">
      <c r="AB3325" s="669"/>
    </row>
    <row r="3326" spans="28:28">
      <c r="AB3326" s="669"/>
    </row>
    <row r="3327" spans="28:28">
      <c r="AB3327" s="669"/>
    </row>
    <row r="3328" spans="28:28">
      <c r="AB3328" s="669"/>
    </row>
    <row r="3329" spans="28:28">
      <c r="AB3329" s="669"/>
    </row>
    <row r="3330" spans="28:28">
      <c r="AB3330" s="669"/>
    </row>
    <row r="3331" spans="28:28">
      <c r="AB3331" s="669"/>
    </row>
    <row r="3332" spans="28:28">
      <c r="AB3332" s="669"/>
    </row>
    <row r="3333" spans="28:28">
      <c r="AB3333" s="669"/>
    </row>
    <row r="3334" spans="28:28">
      <c r="AB3334" s="669"/>
    </row>
    <row r="3335" spans="28:28">
      <c r="AB3335" s="669"/>
    </row>
    <row r="3336" spans="28:28">
      <c r="AB3336" s="669"/>
    </row>
    <row r="3337" spans="28:28">
      <c r="AB3337" s="669"/>
    </row>
    <row r="3338" spans="28:28">
      <c r="AB3338" s="669"/>
    </row>
    <row r="3339" spans="28:28">
      <c r="AB3339" s="669"/>
    </row>
    <row r="3340" spans="28:28">
      <c r="AB3340" s="669"/>
    </row>
    <row r="3341" spans="28:28">
      <c r="AB3341" s="669"/>
    </row>
    <row r="3342" spans="28:28">
      <c r="AB3342" s="669"/>
    </row>
    <row r="3343" spans="28:28">
      <c r="AB3343" s="669"/>
    </row>
    <row r="3344" spans="28:28">
      <c r="AB3344" s="669"/>
    </row>
    <row r="3345" spans="28:28">
      <c r="AB3345" s="669"/>
    </row>
    <row r="3346" spans="28:28">
      <c r="AB3346" s="669"/>
    </row>
    <row r="3347" spans="28:28">
      <c r="AB3347" s="669"/>
    </row>
    <row r="3348" spans="28:28">
      <c r="AB3348" s="669"/>
    </row>
    <row r="3349" spans="28:28">
      <c r="AB3349" s="669"/>
    </row>
    <row r="3350" spans="28:28">
      <c r="AB3350" s="669"/>
    </row>
    <row r="3351" spans="28:28">
      <c r="AB3351" s="669"/>
    </row>
    <row r="3352" spans="28:28">
      <c r="AB3352" s="669"/>
    </row>
    <row r="3353" spans="28:28">
      <c r="AB3353" s="669"/>
    </row>
    <row r="3354" spans="28:28">
      <c r="AB3354" s="669"/>
    </row>
    <row r="3355" spans="28:28">
      <c r="AB3355" s="669"/>
    </row>
    <row r="3356" spans="28:28">
      <c r="AB3356" s="669"/>
    </row>
    <row r="3357" spans="28:28">
      <c r="AB3357" s="669"/>
    </row>
    <row r="3358" spans="28:28">
      <c r="AB3358" s="669"/>
    </row>
    <row r="3359" spans="28:28">
      <c r="AB3359" s="669"/>
    </row>
    <row r="3360" spans="28:28">
      <c r="AB3360" s="669"/>
    </row>
    <row r="3361" spans="28:28">
      <c r="AB3361" s="669"/>
    </row>
    <row r="3362" spans="28:28">
      <c r="AB3362" s="669"/>
    </row>
    <row r="3363" spans="28:28">
      <c r="AB3363" s="669"/>
    </row>
    <row r="3364" spans="28:28">
      <c r="AB3364" s="669"/>
    </row>
    <row r="3365" spans="28:28">
      <c r="AB3365" s="669"/>
    </row>
    <row r="3366" spans="28:28">
      <c r="AB3366" s="669"/>
    </row>
    <row r="3367" spans="28:28">
      <c r="AB3367" s="669"/>
    </row>
    <row r="3368" spans="28:28">
      <c r="AB3368" s="669"/>
    </row>
    <row r="3369" spans="28:28">
      <c r="AB3369" s="669"/>
    </row>
    <row r="3370" spans="28:28">
      <c r="AB3370" s="669"/>
    </row>
    <row r="3371" spans="28:28">
      <c r="AB3371" s="669"/>
    </row>
    <row r="3372" spans="28:28">
      <c r="AB3372" s="669"/>
    </row>
    <row r="3373" spans="28:28">
      <c r="AB3373" s="669"/>
    </row>
    <row r="3374" spans="28:28">
      <c r="AB3374" s="669"/>
    </row>
    <row r="3375" spans="28:28">
      <c r="AB3375" s="669"/>
    </row>
    <row r="3376" spans="28:28">
      <c r="AB3376" s="669"/>
    </row>
    <row r="3377" spans="28:28">
      <c r="AB3377" s="669"/>
    </row>
    <row r="3378" spans="28:28">
      <c r="AB3378" s="669"/>
    </row>
    <row r="3379" spans="28:28">
      <c r="AB3379" s="669"/>
    </row>
    <row r="3380" spans="28:28">
      <c r="AB3380" s="669"/>
    </row>
    <row r="3381" spans="28:28">
      <c r="AB3381" s="669"/>
    </row>
    <row r="3382" spans="28:28">
      <c r="AB3382" s="669"/>
    </row>
    <row r="3383" spans="28:28">
      <c r="AB3383" s="669"/>
    </row>
    <row r="3384" spans="28:28">
      <c r="AB3384" s="669"/>
    </row>
    <row r="3385" spans="28:28">
      <c r="AB3385" s="669"/>
    </row>
    <row r="3386" spans="28:28">
      <c r="AB3386" s="669"/>
    </row>
    <row r="3387" spans="28:28">
      <c r="AB3387" s="669"/>
    </row>
    <row r="3388" spans="28:28">
      <c r="AB3388" s="669"/>
    </row>
    <row r="3389" spans="28:28">
      <c r="AB3389" s="669"/>
    </row>
    <row r="3390" spans="28:28">
      <c r="AB3390" s="669"/>
    </row>
    <row r="3391" spans="28:28">
      <c r="AB3391" s="669"/>
    </row>
    <row r="3392" spans="28:28">
      <c r="AB3392" s="669"/>
    </row>
    <row r="3393" spans="28:28">
      <c r="AB3393" s="669"/>
    </row>
    <row r="3394" spans="28:28">
      <c r="AB3394" s="669"/>
    </row>
    <row r="3395" spans="28:28">
      <c r="AB3395" s="669"/>
    </row>
    <row r="3396" spans="28:28">
      <c r="AB3396" s="669"/>
    </row>
    <row r="3397" spans="28:28">
      <c r="AB3397" s="669"/>
    </row>
    <row r="3398" spans="28:28">
      <c r="AB3398" s="669"/>
    </row>
    <row r="3399" spans="28:28">
      <c r="AB3399" s="669"/>
    </row>
    <row r="3400" spans="28:28">
      <c r="AB3400" s="669"/>
    </row>
    <row r="3401" spans="28:28">
      <c r="AB3401" s="669"/>
    </row>
    <row r="3402" spans="28:28">
      <c r="AB3402" s="669"/>
    </row>
    <row r="3403" spans="28:28">
      <c r="AB3403" s="669"/>
    </row>
    <row r="3404" spans="28:28">
      <c r="AB3404" s="669"/>
    </row>
    <row r="3405" spans="28:28">
      <c r="AB3405" s="669"/>
    </row>
    <row r="3406" spans="28:28">
      <c r="AB3406" s="669"/>
    </row>
    <row r="3407" spans="28:28">
      <c r="AB3407" s="669"/>
    </row>
    <row r="3408" spans="28:28">
      <c r="AB3408" s="669"/>
    </row>
    <row r="3409" spans="28:28">
      <c r="AB3409" s="669"/>
    </row>
    <row r="3410" spans="28:28">
      <c r="AB3410" s="669"/>
    </row>
    <row r="3411" spans="28:28">
      <c r="AB3411" s="669"/>
    </row>
    <row r="3412" spans="28:28">
      <c r="AB3412" s="669"/>
    </row>
    <row r="3413" spans="28:28">
      <c r="AB3413" s="669"/>
    </row>
    <row r="3414" spans="28:28">
      <c r="AB3414" s="669"/>
    </row>
    <row r="3415" spans="28:28">
      <c r="AB3415" s="669"/>
    </row>
    <row r="3416" spans="28:28">
      <c r="AB3416" s="669"/>
    </row>
    <row r="3417" spans="28:28">
      <c r="AB3417" s="669"/>
    </row>
    <row r="3418" spans="28:28">
      <c r="AB3418" s="669"/>
    </row>
    <row r="3419" spans="28:28">
      <c r="AB3419" s="669"/>
    </row>
    <row r="3420" spans="28:28">
      <c r="AB3420" s="669"/>
    </row>
    <row r="3421" spans="28:28">
      <c r="AB3421" s="669"/>
    </row>
    <row r="3422" spans="28:28">
      <c r="AB3422" s="669"/>
    </row>
    <row r="3423" spans="28:28">
      <c r="AB3423" s="669"/>
    </row>
    <row r="3424" spans="28:28">
      <c r="AB3424" s="669"/>
    </row>
    <row r="3425" spans="28:28">
      <c r="AB3425" s="669"/>
    </row>
    <row r="3426" spans="28:28">
      <c r="AB3426" s="669"/>
    </row>
    <row r="3427" spans="28:28">
      <c r="AB3427" s="669"/>
    </row>
    <row r="3428" spans="28:28">
      <c r="AB3428" s="669"/>
    </row>
    <row r="3429" spans="28:28">
      <c r="AB3429" s="669"/>
    </row>
    <row r="3430" spans="28:28">
      <c r="AB3430" s="669"/>
    </row>
    <row r="3431" spans="28:28">
      <c r="AB3431" s="669"/>
    </row>
    <row r="3432" spans="28:28">
      <c r="AB3432" s="669"/>
    </row>
    <row r="3433" spans="28:28">
      <c r="AB3433" s="669"/>
    </row>
    <row r="3434" spans="28:28">
      <c r="AB3434" s="669"/>
    </row>
    <row r="3435" spans="28:28">
      <c r="AB3435" s="669"/>
    </row>
    <row r="3436" spans="28:28">
      <c r="AB3436" s="669"/>
    </row>
    <row r="3437" spans="28:28">
      <c r="AB3437" s="669"/>
    </row>
    <row r="3438" spans="28:28">
      <c r="AB3438" s="669"/>
    </row>
    <row r="3439" spans="28:28">
      <c r="AB3439" s="669"/>
    </row>
    <row r="3440" spans="28:28">
      <c r="AB3440" s="669"/>
    </row>
    <row r="3441" spans="28:28">
      <c r="AB3441" s="669"/>
    </row>
    <row r="3442" spans="28:28">
      <c r="AB3442" s="669"/>
    </row>
    <row r="3443" spans="28:28">
      <c r="AB3443" s="669"/>
    </row>
    <row r="3444" spans="28:28">
      <c r="AB3444" s="669"/>
    </row>
    <row r="3445" spans="28:28">
      <c r="AB3445" s="669"/>
    </row>
    <row r="3446" spans="28:28">
      <c r="AB3446" s="669"/>
    </row>
    <row r="3447" spans="28:28">
      <c r="AB3447" s="669"/>
    </row>
    <row r="3448" spans="28:28">
      <c r="AB3448" s="669"/>
    </row>
    <row r="3449" spans="28:28">
      <c r="AB3449" s="669"/>
    </row>
    <row r="3450" spans="28:28">
      <c r="AB3450" s="669"/>
    </row>
    <row r="3451" spans="28:28">
      <c r="AB3451" s="669"/>
    </row>
    <row r="3452" spans="28:28">
      <c r="AB3452" s="669"/>
    </row>
    <row r="3453" spans="28:28">
      <c r="AB3453" s="669"/>
    </row>
    <row r="3454" spans="28:28">
      <c r="AB3454" s="669"/>
    </row>
    <row r="3455" spans="28:28">
      <c r="AB3455" s="669"/>
    </row>
    <row r="3456" spans="28:28">
      <c r="AB3456" s="669"/>
    </row>
    <row r="3457" spans="28:28">
      <c r="AB3457" s="669"/>
    </row>
    <row r="3458" spans="28:28">
      <c r="AB3458" s="669"/>
    </row>
    <row r="3459" spans="28:28">
      <c r="AB3459" s="669"/>
    </row>
    <row r="3460" spans="28:28">
      <c r="AB3460" s="669"/>
    </row>
    <row r="3461" spans="28:28">
      <c r="AB3461" s="669"/>
    </row>
    <row r="3462" spans="28:28">
      <c r="AB3462" s="669"/>
    </row>
    <row r="3463" spans="28:28">
      <c r="AB3463" s="669"/>
    </row>
    <row r="3464" spans="28:28">
      <c r="AB3464" s="669"/>
    </row>
    <row r="3465" spans="28:28">
      <c r="AB3465" s="669"/>
    </row>
    <row r="3466" spans="28:28">
      <c r="AB3466" s="669"/>
    </row>
    <row r="3467" spans="28:28">
      <c r="AB3467" s="669"/>
    </row>
    <row r="3468" spans="28:28">
      <c r="AB3468" s="669"/>
    </row>
    <row r="3469" spans="28:28">
      <c r="AB3469" s="669"/>
    </row>
    <row r="3470" spans="28:28">
      <c r="AB3470" s="669"/>
    </row>
    <row r="3471" spans="28:28">
      <c r="AB3471" s="669"/>
    </row>
    <row r="3472" spans="28:28">
      <c r="AB3472" s="669"/>
    </row>
    <row r="3473" spans="28:28">
      <c r="AB3473" s="669"/>
    </row>
    <row r="3474" spans="28:28">
      <c r="AB3474" s="669"/>
    </row>
    <row r="3475" spans="28:28">
      <c r="AB3475" s="669"/>
    </row>
    <row r="3476" spans="28:28">
      <c r="AB3476" s="669"/>
    </row>
    <row r="3477" spans="28:28">
      <c r="AB3477" s="669"/>
    </row>
    <row r="3478" spans="28:28">
      <c r="AB3478" s="669"/>
    </row>
    <row r="3479" spans="28:28">
      <c r="AB3479" s="669"/>
    </row>
    <row r="3480" spans="28:28">
      <c r="AB3480" s="669"/>
    </row>
    <row r="3481" spans="28:28">
      <c r="AB3481" s="669"/>
    </row>
    <row r="3482" spans="28:28">
      <c r="AB3482" s="669"/>
    </row>
    <row r="3483" spans="28:28">
      <c r="AB3483" s="669"/>
    </row>
    <row r="3484" spans="28:28">
      <c r="AB3484" s="669"/>
    </row>
    <row r="3485" spans="28:28">
      <c r="AB3485" s="669"/>
    </row>
    <row r="3486" spans="28:28">
      <c r="AB3486" s="669"/>
    </row>
    <row r="3487" spans="28:28">
      <c r="AB3487" s="669"/>
    </row>
    <row r="3488" spans="28:28">
      <c r="AB3488" s="669"/>
    </row>
    <row r="3489" spans="28:28">
      <c r="AB3489" s="669"/>
    </row>
    <row r="3490" spans="28:28">
      <c r="AB3490" s="669"/>
    </row>
    <row r="3491" spans="28:28">
      <c r="AB3491" s="669"/>
    </row>
    <row r="3492" spans="28:28">
      <c r="AB3492" s="669"/>
    </row>
    <row r="3493" spans="28:28">
      <c r="AB3493" s="669"/>
    </row>
    <row r="3494" spans="28:28">
      <c r="AB3494" s="669"/>
    </row>
    <row r="3495" spans="28:28">
      <c r="AB3495" s="669"/>
    </row>
    <row r="3496" spans="28:28">
      <c r="AB3496" s="669"/>
    </row>
    <row r="3497" spans="28:28">
      <c r="AB3497" s="669"/>
    </row>
    <row r="3498" spans="28:28">
      <c r="AB3498" s="669"/>
    </row>
    <row r="3499" spans="28:28">
      <c r="AB3499" s="669"/>
    </row>
    <row r="3500" spans="28:28">
      <c r="AB3500" s="669"/>
    </row>
    <row r="3501" spans="28:28">
      <c r="AB3501" s="669"/>
    </row>
    <row r="3502" spans="28:28">
      <c r="AB3502" s="669"/>
    </row>
    <row r="3503" spans="28:28">
      <c r="AB3503" s="669"/>
    </row>
    <row r="3504" spans="28:28">
      <c r="AB3504" s="669"/>
    </row>
    <row r="3505" spans="28:28">
      <c r="AB3505" s="669"/>
    </row>
    <row r="3506" spans="28:28">
      <c r="AB3506" s="669"/>
    </row>
    <row r="3507" spans="28:28">
      <c r="AB3507" s="669"/>
    </row>
    <row r="3508" spans="28:28">
      <c r="AB3508" s="669"/>
    </row>
    <row r="3509" spans="28:28">
      <c r="AB3509" s="669"/>
    </row>
    <row r="3510" spans="28:28">
      <c r="AB3510" s="669"/>
    </row>
    <row r="3511" spans="28:28">
      <c r="AB3511" s="669"/>
    </row>
    <row r="3512" spans="28:28">
      <c r="AB3512" s="669"/>
    </row>
    <row r="3513" spans="28:28">
      <c r="AB3513" s="669"/>
    </row>
    <row r="3514" spans="28:28">
      <c r="AB3514" s="669"/>
    </row>
    <row r="3515" spans="28:28">
      <c r="AB3515" s="669"/>
    </row>
    <row r="3516" spans="28:28">
      <c r="AB3516" s="669"/>
    </row>
    <row r="3517" spans="28:28">
      <c r="AB3517" s="669"/>
    </row>
    <row r="3518" spans="28:28">
      <c r="AB3518" s="669"/>
    </row>
    <row r="3519" spans="28:28">
      <c r="AB3519" s="669"/>
    </row>
    <row r="3520" spans="28:28">
      <c r="AB3520" s="669"/>
    </row>
    <row r="3521" spans="28:28">
      <c r="AB3521" s="669"/>
    </row>
    <row r="3522" spans="28:28">
      <c r="AB3522" s="669"/>
    </row>
    <row r="3523" spans="28:28">
      <c r="AB3523" s="669"/>
    </row>
    <row r="3524" spans="28:28">
      <c r="AB3524" s="669"/>
    </row>
    <row r="3525" spans="28:28">
      <c r="AB3525" s="669"/>
    </row>
    <row r="3526" spans="28:28">
      <c r="AB3526" s="669"/>
    </row>
    <row r="3527" spans="28:28">
      <c r="AB3527" s="669"/>
    </row>
    <row r="3528" spans="28:28">
      <c r="AB3528" s="669"/>
    </row>
    <row r="3529" spans="28:28">
      <c r="AB3529" s="669"/>
    </row>
    <row r="3530" spans="28:28">
      <c r="AB3530" s="669"/>
    </row>
    <row r="3531" spans="28:28">
      <c r="AB3531" s="669"/>
    </row>
    <row r="3532" spans="28:28">
      <c r="AB3532" s="669"/>
    </row>
    <row r="3533" spans="28:28">
      <c r="AB3533" s="669"/>
    </row>
    <row r="3534" spans="28:28">
      <c r="AB3534" s="669"/>
    </row>
    <row r="3535" spans="28:28">
      <c r="AB3535" s="669"/>
    </row>
    <row r="3536" spans="28:28">
      <c r="AB3536" s="669"/>
    </row>
    <row r="3537" spans="28:28">
      <c r="AB3537" s="669"/>
    </row>
    <row r="3538" spans="28:28">
      <c r="AB3538" s="669"/>
    </row>
    <row r="3539" spans="28:28">
      <c r="AB3539" s="669"/>
    </row>
    <row r="3540" spans="28:28">
      <c r="AB3540" s="669"/>
    </row>
    <row r="3541" spans="28:28">
      <c r="AB3541" s="669"/>
    </row>
    <row r="3542" spans="28:28">
      <c r="AB3542" s="669"/>
    </row>
    <row r="3543" spans="28:28">
      <c r="AB3543" s="669"/>
    </row>
    <row r="3544" spans="28:28">
      <c r="AB3544" s="669"/>
    </row>
    <row r="3545" spans="28:28">
      <c r="AB3545" s="669"/>
    </row>
    <row r="3546" spans="28:28">
      <c r="AB3546" s="669"/>
    </row>
    <row r="3547" spans="28:28">
      <c r="AB3547" s="669"/>
    </row>
    <row r="3548" spans="28:28">
      <c r="AB3548" s="669"/>
    </row>
    <row r="3549" spans="28:28">
      <c r="AB3549" s="669"/>
    </row>
    <row r="3550" spans="28:28">
      <c r="AB3550" s="669"/>
    </row>
    <row r="3551" spans="28:28">
      <c r="AB3551" s="669"/>
    </row>
    <row r="3552" spans="28:28">
      <c r="AB3552" s="669"/>
    </row>
    <row r="3553" spans="28:28">
      <c r="AB3553" s="669"/>
    </row>
    <row r="3554" spans="28:28">
      <c r="AB3554" s="669"/>
    </row>
    <row r="3555" spans="28:28">
      <c r="AB3555" s="669"/>
    </row>
    <row r="3556" spans="28:28">
      <c r="AB3556" s="669"/>
    </row>
    <row r="3557" spans="28:28">
      <c r="AB3557" s="669"/>
    </row>
    <row r="3558" spans="28:28">
      <c r="AB3558" s="669"/>
    </row>
    <row r="3559" spans="28:28">
      <c r="AB3559" s="669"/>
    </row>
    <row r="3560" spans="28:28">
      <c r="AB3560" s="669"/>
    </row>
    <row r="3561" spans="28:28">
      <c r="AB3561" s="669"/>
    </row>
    <row r="3562" spans="28:28">
      <c r="AB3562" s="669"/>
    </row>
    <row r="3563" spans="28:28">
      <c r="AB3563" s="669"/>
    </row>
    <row r="3564" spans="28:28">
      <c r="AB3564" s="669"/>
    </row>
    <row r="3565" spans="28:28">
      <c r="AB3565" s="669"/>
    </row>
    <row r="3566" spans="28:28">
      <c r="AB3566" s="669"/>
    </row>
    <row r="3567" spans="28:28">
      <c r="AB3567" s="669"/>
    </row>
    <row r="3568" spans="28:28">
      <c r="AB3568" s="669"/>
    </row>
    <row r="3569" spans="28:28">
      <c r="AB3569" s="669"/>
    </row>
    <row r="3570" spans="28:28">
      <c r="AB3570" s="669"/>
    </row>
    <row r="3571" spans="28:28">
      <c r="AB3571" s="669"/>
    </row>
    <row r="3572" spans="28:28">
      <c r="AB3572" s="669"/>
    </row>
    <row r="3573" spans="28:28">
      <c r="AB3573" s="669"/>
    </row>
    <row r="3574" spans="28:28">
      <c r="AB3574" s="669"/>
    </row>
    <row r="3575" spans="28:28">
      <c r="AB3575" s="669"/>
    </row>
    <row r="3576" spans="28:28">
      <c r="AB3576" s="669"/>
    </row>
    <row r="3577" spans="28:28">
      <c r="AB3577" s="669"/>
    </row>
    <row r="3578" spans="28:28">
      <c r="AB3578" s="669"/>
    </row>
    <row r="3579" spans="28:28">
      <c r="AB3579" s="669"/>
    </row>
    <row r="3580" spans="28:28">
      <c r="AB3580" s="669"/>
    </row>
    <row r="3581" spans="28:28">
      <c r="AB3581" s="669"/>
    </row>
    <row r="3582" spans="28:28">
      <c r="AB3582" s="669"/>
    </row>
    <row r="3583" spans="28:28">
      <c r="AB3583" s="669"/>
    </row>
    <row r="3584" spans="28:28">
      <c r="AB3584" s="669"/>
    </row>
    <row r="3585" spans="28:28">
      <c r="AB3585" s="669"/>
    </row>
    <row r="3586" spans="28:28">
      <c r="AB3586" s="669"/>
    </row>
    <row r="3587" spans="28:28">
      <c r="AB3587" s="669"/>
    </row>
    <row r="3588" spans="28:28">
      <c r="AB3588" s="669"/>
    </row>
    <row r="3589" spans="28:28">
      <c r="AB3589" s="669"/>
    </row>
    <row r="3590" spans="28:28">
      <c r="AB3590" s="669"/>
    </row>
    <row r="3591" spans="28:28">
      <c r="AB3591" s="669"/>
    </row>
    <row r="3592" spans="28:28">
      <c r="AB3592" s="669"/>
    </row>
    <row r="3593" spans="28:28">
      <c r="AB3593" s="669"/>
    </row>
    <row r="3594" spans="28:28">
      <c r="AB3594" s="669"/>
    </row>
    <row r="3595" spans="28:28">
      <c r="AB3595" s="669"/>
    </row>
    <row r="3596" spans="28:28">
      <c r="AB3596" s="669"/>
    </row>
    <row r="3597" spans="28:28">
      <c r="AB3597" s="669"/>
    </row>
    <row r="3598" spans="28:28">
      <c r="AB3598" s="669"/>
    </row>
    <row r="3599" spans="28:28">
      <c r="AB3599" s="669"/>
    </row>
    <row r="3600" spans="28:28">
      <c r="AB3600" s="669"/>
    </row>
    <row r="3601" spans="28:28">
      <c r="AB3601" s="669"/>
    </row>
    <row r="3602" spans="28:28">
      <c r="AB3602" s="669"/>
    </row>
    <row r="3603" spans="28:28">
      <c r="AB3603" s="669"/>
    </row>
    <row r="3604" spans="28:28">
      <c r="AB3604" s="669"/>
    </row>
    <row r="3605" spans="28:28">
      <c r="AB3605" s="669"/>
    </row>
    <row r="3606" spans="28:28">
      <c r="AB3606" s="669"/>
    </row>
    <row r="3607" spans="28:28">
      <c r="AB3607" s="669"/>
    </row>
    <row r="3608" spans="28:28">
      <c r="AB3608" s="669"/>
    </row>
    <row r="3609" spans="28:28">
      <c r="AB3609" s="669"/>
    </row>
    <row r="3610" spans="28:28">
      <c r="AB3610" s="669"/>
    </row>
    <row r="3611" spans="28:28">
      <c r="AB3611" s="669"/>
    </row>
    <row r="3612" spans="28:28">
      <c r="AB3612" s="669"/>
    </row>
    <row r="3613" spans="28:28">
      <c r="AB3613" s="669"/>
    </row>
    <row r="3614" spans="28:28">
      <c r="AB3614" s="669"/>
    </row>
    <row r="3615" spans="28:28">
      <c r="AB3615" s="669"/>
    </row>
    <row r="3616" spans="28:28">
      <c r="AB3616" s="669"/>
    </row>
    <row r="3617" spans="28:28">
      <c r="AB3617" s="669"/>
    </row>
    <row r="3618" spans="28:28">
      <c r="AB3618" s="669"/>
    </row>
    <row r="3619" spans="28:28">
      <c r="AB3619" s="669"/>
    </row>
    <row r="3620" spans="28:28">
      <c r="AB3620" s="669"/>
    </row>
    <row r="3621" spans="28:28">
      <c r="AB3621" s="669"/>
    </row>
    <row r="3622" spans="28:28">
      <c r="AB3622" s="669"/>
    </row>
    <row r="3623" spans="28:28">
      <c r="AB3623" s="669"/>
    </row>
    <row r="3624" spans="28:28">
      <c r="AB3624" s="669"/>
    </row>
    <row r="3625" spans="28:28">
      <c r="AB3625" s="669"/>
    </row>
    <row r="3626" spans="28:28">
      <c r="AB3626" s="669"/>
    </row>
    <row r="3627" spans="28:28">
      <c r="AB3627" s="669"/>
    </row>
    <row r="3628" spans="28:28">
      <c r="AB3628" s="669"/>
    </row>
    <row r="3629" spans="28:28">
      <c r="AB3629" s="669"/>
    </row>
    <row r="3630" spans="28:28">
      <c r="AB3630" s="669"/>
    </row>
    <row r="3631" spans="28:28">
      <c r="AB3631" s="669"/>
    </row>
    <row r="3632" spans="28:28">
      <c r="AB3632" s="669"/>
    </row>
    <row r="3633" spans="28:28">
      <c r="AB3633" s="669"/>
    </row>
    <row r="3634" spans="28:28">
      <c r="AB3634" s="669"/>
    </row>
    <row r="3635" spans="28:28">
      <c r="AB3635" s="669"/>
    </row>
    <row r="3636" spans="28:28">
      <c r="AB3636" s="669"/>
    </row>
    <row r="3637" spans="28:28">
      <c r="AB3637" s="669"/>
    </row>
    <row r="3638" spans="28:28">
      <c r="AB3638" s="669"/>
    </row>
    <row r="3639" spans="28:28">
      <c r="AB3639" s="669"/>
    </row>
    <row r="3640" spans="28:28">
      <c r="AB3640" s="669"/>
    </row>
    <row r="3641" spans="28:28">
      <c r="AB3641" s="669"/>
    </row>
    <row r="3642" spans="28:28">
      <c r="AB3642" s="669"/>
    </row>
    <row r="3643" spans="28:28">
      <c r="AB3643" s="669"/>
    </row>
    <row r="3644" spans="28:28">
      <c r="AB3644" s="669"/>
    </row>
    <row r="3645" spans="28:28">
      <c r="AB3645" s="669"/>
    </row>
    <row r="3646" spans="28:28">
      <c r="AB3646" s="669"/>
    </row>
    <row r="3647" spans="28:28">
      <c r="AB3647" s="669"/>
    </row>
    <row r="3648" spans="28:28">
      <c r="AB3648" s="669"/>
    </row>
    <row r="3649" spans="28:28">
      <c r="AB3649" s="669"/>
    </row>
    <row r="3650" spans="28:28">
      <c r="AB3650" s="669"/>
    </row>
    <row r="3651" spans="28:28">
      <c r="AB3651" s="669"/>
    </row>
    <row r="3652" spans="28:28">
      <c r="AB3652" s="669"/>
    </row>
    <row r="3653" spans="28:28">
      <c r="AB3653" s="669"/>
    </row>
    <row r="3654" spans="28:28">
      <c r="AB3654" s="669"/>
    </row>
    <row r="3655" spans="28:28">
      <c r="AB3655" s="669"/>
    </row>
    <row r="3656" spans="28:28">
      <c r="AB3656" s="669"/>
    </row>
    <row r="3657" spans="28:28">
      <c r="AB3657" s="669"/>
    </row>
    <row r="3658" spans="28:28">
      <c r="AB3658" s="669"/>
    </row>
    <row r="3659" spans="28:28">
      <c r="AB3659" s="669"/>
    </row>
    <row r="3660" spans="28:28">
      <c r="AB3660" s="669"/>
    </row>
    <row r="3661" spans="28:28">
      <c r="AB3661" s="669"/>
    </row>
    <row r="3662" spans="28:28">
      <c r="AB3662" s="669"/>
    </row>
    <row r="3663" spans="28:28">
      <c r="AB3663" s="669"/>
    </row>
    <row r="3664" spans="28:28">
      <c r="AB3664" s="669"/>
    </row>
    <row r="3665" spans="28:28">
      <c r="AB3665" s="669"/>
    </row>
    <row r="3666" spans="28:28">
      <c r="AB3666" s="669"/>
    </row>
    <row r="3667" spans="28:28">
      <c r="AB3667" s="669"/>
    </row>
    <row r="3668" spans="28:28">
      <c r="AB3668" s="669"/>
    </row>
    <row r="3669" spans="28:28">
      <c r="AB3669" s="669"/>
    </row>
    <row r="3670" spans="28:28">
      <c r="AB3670" s="669"/>
    </row>
    <row r="3671" spans="28:28">
      <c r="AB3671" s="669"/>
    </row>
    <row r="3672" spans="28:28">
      <c r="AB3672" s="669"/>
    </row>
    <row r="3673" spans="28:28">
      <c r="AB3673" s="669"/>
    </row>
    <row r="3674" spans="28:28">
      <c r="AB3674" s="669"/>
    </row>
    <row r="3675" spans="28:28">
      <c r="AB3675" s="669"/>
    </row>
    <row r="3676" spans="28:28">
      <c r="AB3676" s="669"/>
    </row>
    <row r="3677" spans="28:28">
      <c r="AB3677" s="669"/>
    </row>
    <row r="3678" spans="28:28">
      <c r="AB3678" s="669"/>
    </row>
    <row r="3679" spans="28:28">
      <c r="AB3679" s="669"/>
    </row>
    <row r="3680" spans="28:28">
      <c r="AB3680" s="669"/>
    </row>
    <row r="3681" spans="28:28">
      <c r="AB3681" s="669"/>
    </row>
    <row r="3682" spans="28:28">
      <c r="AB3682" s="669"/>
    </row>
    <row r="3683" spans="28:28">
      <c r="AB3683" s="669"/>
    </row>
    <row r="3684" spans="28:28">
      <c r="AB3684" s="669"/>
    </row>
    <row r="3685" spans="28:28">
      <c r="AB3685" s="669"/>
    </row>
    <row r="3686" spans="28:28">
      <c r="AB3686" s="669"/>
    </row>
    <row r="3687" spans="28:28">
      <c r="AB3687" s="669"/>
    </row>
    <row r="3688" spans="28:28">
      <c r="AB3688" s="669"/>
    </row>
    <row r="3689" spans="28:28">
      <c r="AB3689" s="669"/>
    </row>
    <row r="3690" spans="28:28">
      <c r="AB3690" s="669"/>
    </row>
    <row r="3691" spans="28:28">
      <c r="AB3691" s="669"/>
    </row>
    <row r="3692" spans="28:28">
      <c r="AB3692" s="669"/>
    </row>
    <row r="3693" spans="28:28">
      <c r="AB3693" s="669"/>
    </row>
    <row r="3694" spans="28:28">
      <c r="AB3694" s="669"/>
    </row>
    <row r="3695" spans="28:28">
      <c r="AB3695" s="669"/>
    </row>
    <row r="3696" spans="28:28">
      <c r="AB3696" s="669"/>
    </row>
    <row r="3697" spans="28:28">
      <c r="AB3697" s="669"/>
    </row>
    <row r="3698" spans="28:28">
      <c r="AB3698" s="669"/>
    </row>
    <row r="3699" spans="28:28">
      <c r="AB3699" s="669"/>
    </row>
    <row r="3700" spans="28:28">
      <c r="AB3700" s="669"/>
    </row>
    <row r="3701" spans="28:28">
      <c r="AB3701" s="669"/>
    </row>
    <row r="3702" spans="28:28">
      <c r="AB3702" s="669"/>
    </row>
    <row r="3703" spans="28:28">
      <c r="AB3703" s="669"/>
    </row>
    <row r="3704" spans="28:28">
      <c r="AB3704" s="669"/>
    </row>
    <row r="3705" spans="28:28">
      <c r="AB3705" s="669"/>
    </row>
    <row r="3706" spans="28:28">
      <c r="AB3706" s="669"/>
    </row>
    <row r="3707" spans="28:28">
      <c r="AB3707" s="669"/>
    </row>
    <row r="3708" spans="28:28">
      <c r="AB3708" s="669"/>
    </row>
    <row r="3709" spans="28:28">
      <c r="AB3709" s="669"/>
    </row>
    <row r="3710" spans="28:28">
      <c r="AB3710" s="669"/>
    </row>
    <row r="3711" spans="28:28">
      <c r="AB3711" s="669"/>
    </row>
    <row r="3712" spans="28:28">
      <c r="AB3712" s="669"/>
    </row>
    <row r="3713" spans="28:28">
      <c r="AB3713" s="669"/>
    </row>
    <row r="3714" spans="28:28">
      <c r="AB3714" s="669"/>
    </row>
    <row r="3715" spans="28:28">
      <c r="AB3715" s="669"/>
    </row>
    <row r="3716" spans="28:28">
      <c r="AB3716" s="669"/>
    </row>
    <row r="3717" spans="28:28">
      <c r="AB3717" s="669"/>
    </row>
    <row r="3718" spans="28:28">
      <c r="AB3718" s="669"/>
    </row>
    <row r="3719" spans="28:28">
      <c r="AB3719" s="669"/>
    </row>
    <row r="3720" spans="28:28">
      <c r="AB3720" s="669"/>
    </row>
    <row r="3721" spans="28:28">
      <c r="AB3721" s="669"/>
    </row>
    <row r="3722" spans="28:28">
      <c r="AB3722" s="669"/>
    </row>
    <row r="3723" spans="28:28">
      <c r="AB3723" s="669"/>
    </row>
    <row r="3724" spans="28:28">
      <c r="AB3724" s="669"/>
    </row>
    <row r="3725" spans="28:28">
      <c r="AB3725" s="669"/>
    </row>
    <row r="3726" spans="28:28">
      <c r="AB3726" s="669"/>
    </row>
    <row r="3727" spans="28:28">
      <c r="AB3727" s="669"/>
    </row>
    <row r="3728" spans="28:28">
      <c r="AB3728" s="669"/>
    </row>
    <row r="3729" spans="28:28">
      <c r="AB3729" s="669"/>
    </row>
    <row r="3730" spans="28:28">
      <c r="AB3730" s="669"/>
    </row>
    <row r="3731" spans="28:28">
      <c r="AB3731" s="669"/>
    </row>
    <row r="3732" spans="28:28">
      <c r="AB3732" s="669"/>
    </row>
    <row r="3733" spans="28:28">
      <c r="AB3733" s="669"/>
    </row>
    <row r="3734" spans="28:28">
      <c r="AB3734" s="669"/>
    </row>
    <row r="3735" spans="28:28">
      <c r="AB3735" s="669"/>
    </row>
    <row r="3736" spans="28:28">
      <c r="AB3736" s="669"/>
    </row>
    <row r="3737" spans="28:28">
      <c r="AB3737" s="669"/>
    </row>
    <row r="3738" spans="28:28">
      <c r="AB3738" s="669"/>
    </row>
    <row r="3739" spans="28:28">
      <c r="AB3739" s="669"/>
    </row>
    <row r="3740" spans="28:28">
      <c r="AB3740" s="669"/>
    </row>
    <row r="3741" spans="28:28">
      <c r="AB3741" s="669"/>
    </row>
    <row r="3742" spans="28:28">
      <c r="AB3742" s="669"/>
    </row>
    <row r="3743" spans="28:28">
      <c r="AB3743" s="669"/>
    </row>
    <row r="3744" spans="28:28">
      <c r="AB3744" s="669"/>
    </row>
    <row r="3745" spans="28:28">
      <c r="AB3745" s="669"/>
    </row>
    <row r="3746" spans="28:28">
      <c r="AB3746" s="669"/>
    </row>
    <row r="3747" spans="28:28">
      <c r="AB3747" s="669"/>
    </row>
    <row r="3748" spans="28:28">
      <c r="AB3748" s="669"/>
    </row>
    <row r="3749" spans="28:28">
      <c r="AB3749" s="669"/>
    </row>
    <row r="3750" spans="28:28">
      <c r="AB3750" s="669"/>
    </row>
    <row r="3751" spans="28:28">
      <c r="AB3751" s="669"/>
    </row>
    <row r="3752" spans="28:28">
      <c r="AB3752" s="669"/>
    </row>
    <row r="3753" spans="28:28">
      <c r="AB3753" s="669"/>
    </row>
    <row r="3754" spans="28:28">
      <c r="AB3754" s="669"/>
    </row>
    <row r="3755" spans="28:28">
      <c r="AB3755" s="669"/>
    </row>
    <row r="3756" spans="28:28">
      <c r="AB3756" s="669"/>
    </row>
    <row r="3757" spans="28:28">
      <c r="AB3757" s="669"/>
    </row>
    <row r="3758" spans="28:28">
      <c r="AB3758" s="669"/>
    </row>
    <row r="3759" spans="28:28">
      <c r="AB3759" s="669"/>
    </row>
    <row r="3760" spans="28:28">
      <c r="AB3760" s="669"/>
    </row>
    <row r="3761" spans="28:28">
      <c r="AB3761" s="669"/>
    </row>
    <row r="3762" spans="28:28">
      <c r="AB3762" s="669"/>
    </row>
    <row r="3763" spans="28:28">
      <c r="AB3763" s="669"/>
    </row>
    <row r="3764" spans="28:28">
      <c r="AB3764" s="669"/>
    </row>
    <row r="3765" spans="28:28">
      <c r="AB3765" s="669"/>
    </row>
    <row r="3766" spans="28:28">
      <c r="AB3766" s="669"/>
    </row>
    <row r="3767" spans="28:28">
      <c r="AB3767" s="669"/>
    </row>
    <row r="3768" spans="28:28">
      <c r="AB3768" s="669"/>
    </row>
    <row r="3769" spans="28:28">
      <c r="AB3769" s="669"/>
    </row>
    <row r="3770" spans="28:28">
      <c r="AB3770" s="669"/>
    </row>
    <row r="3771" spans="28:28">
      <c r="AB3771" s="669"/>
    </row>
    <row r="3772" spans="28:28">
      <c r="AB3772" s="669"/>
    </row>
    <row r="3773" spans="28:28">
      <c r="AB3773" s="669"/>
    </row>
    <row r="3774" spans="28:28">
      <c r="AB3774" s="669"/>
    </row>
    <row r="3775" spans="28:28">
      <c r="AB3775" s="669"/>
    </row>
    <row r="3776" spans="28:28">
      <c r="AB3776" s="669"/>
    </row>
    <row r="3777" spans="28:28">
      <c r="AB3777" s="669"/>
    </row>
    <row r="3778" spans="28:28">
      <c r="AB3778" s="669"/>
    </row>
    <row r="3779" spans="28:28">
      <c r="AB3779" s="669"/>
    </row>
    <row r="3780" spans="28:28">
      <c r="AB3780" s="669"/>
    </row>
    <row r="3781" spans="28:28">
      <c r="AB3781" s="669"/>
    </row>
    <row r="3782" spans="28:28">
      <c r="AB3782" s="669"/>
    </row>
    <row r="3783" spans="28:28">
      <c r="AB3783" s="669"/>
    </row>
    <row r="3784" spans="28:28">
      <c r="AB3784" s="669"/>
    </row>
    <row r="3785" spans="28:28">
      <c r="AB3785" s="669"/>
    </row>
    <row r="3786" spans="28:28">
      <c r="AB3786" s="669"/>
    </row>
    <row r="3787" spans="28:28">
      <c r="AB3787" s="669"/>
    </row>
    <row r="3788" spans="28:28">
      <c r="AB3788" s="669"/>
    </row>
    <row r="3789" spans="28:28">
      <c r="AB3789" s="669"/>
    </row>
    <row r="3790" spans="28:28">
      <c r="AB3790" s="669"/>
    </row>
    <row r="3791" spans="28:28">
      <c r="AB3791" s="669"/>
    </row>
    <row r="3792" spans="28:28">
      <c r="AB3792" s="669"/>
    </row>
    <row r="3793" spans="28:28">
      <c r="AB3793" s="669"/>
    </row>
    <row r="3794" spans="28:28">
      <c r="AB3794" s="669"/>
    </row>
    <row r="3795" spans="28:28">
      <c r="AB3795" s="669"/>
    </row>
    <row r="3796" spans="28:28">
      <c r="AB3796" s="669"/>
    </row>
    <row r="3797" spans="28:28">
      <c r="AB3797" s="669"/>
    </row>
    <row r="3798" spans="28:28">
      <c r="AB3798" s="669"/>
    </row>
    <row r="3799" spans="28:28">
      <c r="AB3799" s="669"/>
    </row>
    <row r="3800" spans="28:28">
      <c r="AB3800" s="669"/>
    </row>
    <row r="3801" spans="28:28">
      <c r="AB3801" s="669"/>
    </row>
    <row r="3802" spans="28:28">
      <c r="AB3802" s="669"/>
    </row>
    <row r="3803" spans="28:28">
      <c r="AB3803" s="669"/>
    </row>
    <row r="3804" spans="28:28">
      <c r="AB3804" s="669"/>
    </row>
    <row r="3805" spans="28:28">
      <c r="AB3805" s="669"/>
    </row>
    <row r="3806" spans="28:28">
      <c r="AB3806" s="669"/>
    </row>
    <row r="3807" spans="28:28">
      <c r="AB3807" s="669"/>
    </row>
    <row r="3808" spans="28:28">
      <c r="AB3808" s="669"/>
    </row>
    <row r="3809" spans="28:28">
      <c r="AB3809" s="669"/>
    </row>
    <row r="3810" spans="28:28">
      <c r="AB3810" s="669"/>
    </row>
    <row r="3811" spans="28:28">
      <c r="AB3811" s="669"/>
    </row>
    <row r="3812" spans="28:28">
      <c r="AB3812" s="669"/>
    </row>
    <row r="3813" spans="28:28">
      <c r="AB3813" s="669"/>
    </row>
    <row r="3814" spans="28:28">
      <c r="AB3814" s="669"/>
    </row>
    <row r="3815" spans="28:28">
      <c r="AB3815" s="669"/>
    </row>
    <row r="3816" spans="28:28">
      <c r="AB3816" s="669"/>
    </row>
    <row r="3817" spans="28:28">
      <c r="AB3817" s="669"/>
    </row>
    <row r="3818" spans="28:28">
      <c r="AB3818" s="669"/>
    </row>
    <row r="3819" spans="28:28">
      <c r="AB3819" s="669"/>
    </row>
    <row r="3820" spans="28:28">
      <c r="AB3820" s="669"/>
    </row>
    <row r="3821" spans="28:28">
      <c r="AB3821" s="669"/>
    </row>
    <row r="3822" spans="28:28">
      <c r="AB3822" s="669"/>
    </row>
    <row r="3823" spans="28:28">
      <c r="AB3823" s="669"/>
    </row>
    <row r="3824" spans="28:28">
      <c r="AB3824" s="669"/>
    </row>
    <row r="3825" spans="28:28">
      <c r="AB3825" s="669"/>
    </row>
    <row r="3826" spans="28:28">
      <c r="AB3826" s="669"/>
    </row>
    <row r="3827" spans="28:28">
      <c r="AB3827" s="669"/>
    </row>
    <row r="3828" spans="28:28">
      <c r="AB3828" s="669"/>
    </row>
    <row r="3829" spans="28:28">
      <c r="AB3829" s="669"/>
    </row>
    <row r="3830" spans="28:28">
      <c r="AB3830" s="669"/>
    </row>
    <row r="3831" spans="28:28">
      <c r="AB3831" s="669"/>
    </row>
    <row r="3832" spans="28:28">
      <c r="AB3832" s="669"/>
    </row>
    <row r="3833" spans="28:28">
      <c r="AB3833" s="669"/>
    </row>
    <row r="3834" spans="28:28">
      <c r="AB3834" s="669"/>
    </row>
    <row r="3835" spans="28:28">
      <c r="AB3835" s="669"/>
    </row>
    <row r="3836" spans="28:28">
      <c r="AB3836" s="669"/>
    </row>
    <row r="3837" spans="28:28">
      <c r="AB3837" s="669"/>
    </row>
    <row r="3838" spans="28:28">
      <c r="AB3838" s="669"/>
    </row>
    <row r="3839" spans="28:28">
      <c r="AB3839" s="669"/>
    </row>
    <row r="3840" spans="28:28">
      <c r="AB3840" s="669"/>
    </row>
    <row r="3841" spans="28:28">
      <c r="AB3841" s="669"/>
    </row>
    <row r="3842" spans="28:28">
      <c r="AB3842" s="669"/>
    </row>
    <row r="3843" spans="28:28">
      <c r="AB3843" s="669"/>
    </row>
    <row r="3844" spans="28:28">
      <c r="AB3844" s="669"/>
    </row>
    <row r="3845" spans="28:28">
      <c r="AB3845" s="669"/>
    </row>
    <row r="3846" spans="28:28">
      <c r="AB3846" s="669"/>
    </row>
    <row r="3847" spans="28:28">
      <c r="AB3847" s="669"/>
    </row>
    <row r="3848" spans="28:28">
      <c r="AB3848" s="669"/>
    </row>
    <row r="3849" spans="28:28">
      <c r="AB3849" s="669"/>
    </row>
    <row r="3850" spans="28:28">
      <c r="AB3850" s="669"/>
    </row>
    <row r="3851" spans="28:28">
      <c r="AB3851" s="669"/>
    </row>
    <row r="3852" spans="28:28">
      <c r="AB3852" s="669"/>
    </row>
    <row r="3853" spans="28:28">
      <c r="AB3853" s="669"/>
    </row>
    <row r="3854" spans="28:28">
      <c r="AB3854" s="669"/>
    </row>
    <row r="3855" spans="28:28">
      <c r="AB3855" s="669"/>
    </row>
    <row r="3856" spans="28:28">
      <c r="AB3856" s="669"/>
    </row>
    <row r="3857" spans="28:28">
      <c r="AB3857" s="669"/>
    </row>
    <row r="3858" spans="28:28">
      <c r="AB3858" s="669"/>
    </row>
    <row r="3859" spans="28:28">
      <c r="AB3859" s="669"/>
    </row>
    <row r="3860" spans="28:28">
      <c r="AB3860" s="669"/>
    </row>
    <row r="3861" spans="28:28">
      <c r="AB3861" s="669"/>
    </row>
    <row r="3862" spans="28:28">
      <c r="AB3862" s="669"/>
    </row>
    <row r="3863" spans="28:28">
      <c r="AB3863" s="669"/>
    </row>
    <row r="3864" spans="28:28">
      <c r="AB3864" s="669"/>
    </row>
    <row r="3865" spans="28:28">
      <c r="AB3865" s="669"/>
    </row>
    <row r="3866" spans="28:28">
      <c r="AB3866" s="669"/>
    </row>
    <row r="3867" spans="28:28">
      <c r="AB3867" s="669"/>
    </row>
    <row r="3868" spans="28:28">
      <c r="AB3868" s="669"/>
    </row>
    <row r="3869" spans="28:28">
      <c r="AB3869" s="669"/>
    </row>
    <row r="3870" spans="28:28">
      <c r="AB3870" s="669"/>
    </row>
    <row r="3871" spans="28:28">
      <c r="AB3871" s="669"/>
    </row>
    <row r="3872" spans="28:28">
      <c r="AB3872" s="669"/>
    </row>
    <row r="3873" spans="28:28">
      <c r="AB3873" s="669"/>
    </row>
    <row r="3874" spans="28:28">
      <c r="AB3874" s="669"/>
    </row>
    <row r="3875" spans="28:28">
      <c r="AB3875" s="669"/>
    </row>
    <row r="3876" spans="28:28">
      <c r="AB3876" s="669"/>
    </row>
    <row r="3877" spans="28:28">
      <c r="AB3877" s="669"/>
    </row>
    <row r="3878" spans="28:28">
      <c r="AB3878" s="669"/>
    </row>
    <row r="3879" spans="28:28">
      <c r="AB3879" s="669"/>
    </row>
    <row r="3880" spans="28:28">
      <c r="AB3880" s="669"/>
    </row>
    <row r="3881" spans="28:28">
      <c r="AB3881" s="669"/>
    </row>
    <row r="3882" spans="28:28">
      <c r="AB3882" s="669"/>
    </row>
    <row r="3883" spans="28:28">
      <c r="AB3883" s="669"/>
    </row>
    <row r="3884" spans="28:28">
      <c r="AB3884" s="669"/>
    </row>
    <row r="3885" spans="28:28">
      <c r="AB3885" s="669"/>
    </row>
    <row r="3886" spans="28:28">
      <c r="AB3886" s="669"/>
    </row>
    <row r="3887" spans="28:28">
      <c r="AB3887" s="669"/>
    </row>
    <row r="3888" spans="28:28">
      <c r="AB3888" s="669"/>
    </row>
    <row r="3889" spans="28:28">
      <c r="AB3889" s="669"/>
    </row>
    <row r="3890" spans="28:28">
      <c r="AB3890" s="669"/>
    </row>
    <row r="3891" spans="28:28">
      <c r="AB3891" s="669"/>
    </row>
    <row r="3892" spans="28:28">
      <c r="AB3892" s="669"/>
    </row>
    <row r="3893" spans="28:28">
      <c r="AB3893" s="669"/>
    </row>
    <row r="3894" spans="28:28">
      <c r="AB3894" s="669"/>
    </row>
    <row r="3895" spans="28:28">
      <c r="AB3895" s="669"/>
    </row>
    <row r="3896" spans="28:28">
      <c r="AB3896" s="669"/>
    </row>
    <row r="3897" spans="28:28">
      <c r="AB3897" s="669"/>
    </row>
    <row r="3898" spans="28:28">
      <c r="AB3898" s="669"/>
    </row>
    <row r="3899" spans="28:28">
      <c r="AB3899" s="669"/>
    </row>
    <row r="3900" spans="28:28">
      <c r="AB3900" s="669"/>
    </row>
    <row r="3901" spans="28:28">
      <c r="AB3901" s="669"/>
    </row>
    <row r="3902" spans="28:28">
      <c r="AB3902" s="669"/>
    </row>
    <row r="3903" spans="28:28">
      <c r="AB3903" s="669"/>
    </row>
    <row r="3904" spans="28:28">
      <c r="AB3904" s="669"/>
    </row>
    <row r="3905" spans="28:28">
      <c r="AB3905" s="669"/>
    </row>
    <row r="3906" spans="28:28">
      <c r="AB3906" s="669"/>
    </row>
    <row r="3907" spans="28:28">
      <c r="AB3907" s="669"/>
    </row>
    <row r="3908" spans="28:28">
      <c r="AB3908" s="669"/>
    </row>
    <row r="3909" spans="28:28">
      <c r="AB3909" s="669"/>
    </row>
    <row r="3910" spans="28:28">
      <c r="AB3910" s="669"/>
    </row>
    <row r="3911" spans="28:28">
      <c r="AB3911" s="669"/>
    </row>
    <row r="3912" spans="28:28">
      <c r="AB3912" s="669"/>
    </row>
    <row r="3913" spans="28:28">
      <c r="AB3913" s="669"/>
    </row>
    <row r="3914" spans="28:28">
      <c r="AB3914" s="669"/>
    </row>
    <row r="3915" spans="28:28">
      <c r="AB3915" s="669"/>
    </row>
    <row r="3916" spans="28:28">
      <c r="AB3916" s="669"/>
    </row>
    <row r="3917" spans="28:28">
      <c r="AB3917" s="669"/>
    </row>
    <row r="3918" spans="28:28">
      <c r="AB3918" s="669"/>
    </row>
    <row r="3919" spans="28:28">
      <c r="AB3919" s="669"/>
    </row>
    <row r="3920" spans="28:28">
      <c r="AB3920" s="669"/>
    </row>
    <row r="3921" spans="28:28">
      <c r="AB3921" s="669"/>
    </row>
    <row r="3922" spans="28:28">
      <c r="AB3922" s="669"/>
    </row>
    <row r="3923" spans="28:28">
      <c r="AB3923" s="669"/>
    </row>
    <row r="3924" spans="28:28">
      <c r="AB3924" s="669"/>
    </row>
    <row r="3925" spans="28:28">
      <c r="AB3925" s="669"/>
    </row>
    <row r="3926" spans="28:28">
      <c r="AB3926" s="669"/>
    </row>
    <row r="3927" spans="28:28">
      <c r="AB3927" s="669"/>
    </row>
    <row r="3928" spans="28:28">
      <c r="AB3928" s="669"/>
    </row>
    <row r="3929" spans="28:28">
      <c r="AB3929" s="669"/>
    </row>
    <row r="3930" spans="28:28">
      <c r="AB3930" s="669"/>
    </row>
    <row r="3931" spans="28:28">
      <c r="AB3931" s="669"/>
    </row>
    <row r="3932" spans="28:28">
      <c r="AB3932" s="669"/>
    </row>
    <row r="3933" spans="28:28">
      <c r="AB3933" s="669"/>
    </row>
    <row r="3934" spans="28:28">
      <c r="AB3934" s="669"/>
    </row>
    <row r="3935" spans="28:28">
      <c r="AB3935" s="669"/>
    </row>
    <row r="3936" spans="28:28">
      <c r="AB3936" s="669"/>
    </row>
    <row r="3937" spans="28:28">
      <c r="AB3937" s="669"/>
    </row>
    <row r="3938" spans="28:28">
      <c r="AB3938" s="669"/>
    </row>
    <row r="3939" spans="28:28">
      <c r="AB3939" s="669"/>
    </row>
    <row r="3940" spans="28:28">
      <c r="AB3940" s="669"/>
    </row>
    <row r="3941" spans="28:28">
      <c r="AB3941" s="669"/>
    </row>
    <row r="3942" spans="28:28">
      <c r="AB3942" s="669"/>
    </row>
    <row r="3943" spans="28:28">
      <c r="AB3943" s="669"/>
    </row>
    <row r="3944" spans="28:28">
      <c r="AB3944" s="669"/>
    </row>
    <row r="3945" spans="28:28">
      <c r="AB3945" s="669"/>
    </row>
    <row r="3946" spans="28:28">
      <c r="AB3946" s="669"/>
    </row>
    <row r="3947" spans="28:28">
      <c r="AB3947" s="669"/>
    </row>
    <row r="3948" spans="28:28">
      <c r="AB3948" s="669"/>
    </row>
    <row r="3949" spans="28:28">
      <c r="AB3949" s="669"/>
    </row>
    <row r="3950" spans="28:28">
      <c r="AB3950" s="669"/>
    </row>
    <row r="3951" spans="28:28">
      <c r="AB3951" s="669"/>
    </row>
    <row r="3952" spans="28:28">
      <c r="AB3952" s="669"/>
    </row>
    <row r="3953" spans="28:28">
      <c r="AB3953" s="669"/>
    </row>
    <row r="3954" spans="28:28">
      <c r="AB3954" s="669"/>
    </row>
    <row r="3955" spans="28:28">
      <c r="AB3955" s="669"/>
    </row>
    <row r="3956" spans="28:28">
      <c r="AB3956" s="669"/>
    </row>
    <row r="3957" spans="28:28">
      <c r="AB3957" s="669"/>
    </row>
    <row r="3958" spans="28:28">
      <c r="AB3958" s="669"/>
    </row>
    <row r="3959" spans="28:28">
      <c r="AB3959" s="669"/>
    </row>
    <row r="3960" spans="28:28">
      <c r="AB3960" s="669"/>
    </row>
    <row r="3961" spans="28:28">
      <c r="AB3961" s="669"/>
    </row>
    <row r="3962" spans="28:28">
      <c r="AB3962" s="669"/>
    </row>
    <row r="3963" spans="28:28">
      <c r="AB3963" s="669"/>
    </row>
    <row r="3964" spans="28:28">
      <c r="AB3964" s="669"/>
    </row>
    <row r="3965" spans="28:28">
      <c r="AB3965" s="669"/>
    </row>
    <row r="3966" spans="28:28">
      <c r="AB3966" s="669"/>
    </row>
    <row r="3967" spans="28:28">
      <c r="AB3967" s="669"/>
    </row>
    <row r="3968" spans="28:28">
      <c r="AB3968" s="669"/>
    </row>
    <row r="3969" spans="28:28">
      <c r="AB3969" s="669"/>
    </row>
    <row r="3970" spans="28:28">
      <c r="AB3970" s="669"/>
    </row>
    <row r="3971" spans="28:28">
      <c r="AB3971" s="669"/>
    </row>
    <row r="3972" spans="28:28">
      <c r="AB3972" s="669"/>
    </row>
    <row r="3973" spans="28:28">
      <c r="AB3973" s="669"/>
    </row>
    <row r="3974" spans="28:28">
      <c r="AB3974" s="669"/>
    </row>
    <row r="3975" spans="28:28">
      <c r="AB3975" s="669"/>
    </row>
    <row r="3976" spans="28:28">
      <c r="AB3976" s="669"/>
    </row>
    <row r="3977" spans="28:28">
      <c r="AB3977" s="669"/>
    </row>
    <row r="3978" spans="28:28">
      <c r="AB3978" s="669"/>
    </row>
    <row r="3979" spans="28:28">
      <c r="AB3979" s="669"/>
    </row>
    <row r="3980" spans="28:28">
      <c r="AB3980" s="669"/>
    </row>
    <row r="3981" spans="28:28">
      <c r="AB3981" s="669"/>
    </row>
    <row r="3982" spans="28:28">
      <c r="AB3982" s="669"/>
    </row>
    <row r="3983" spans="28:28">
      <c r="AB3983" s="669"/>
    </row>
    <row r="3984" spans="28:28">
      <c r="AB3984" s="669"/>
    </row>
    <row r="3985" spans="28:28">
      <c r="AB3985" s="669"/>
    </row>
    <row r="3986" spans="28:28">
      <c r="AB3986" s="669"/>
    </row>
    <row r="3987" spans="28:28">
      <c r="AB3987" s="669"/>
    </row>
    <row r="3988" spans="28:28">
      <c r="AB3988" s="669"/>
    </row>
    <row r="3989" spans="28:28">
      <c r="AB3989" s="669"/>
    </row>
    <row r="3990" spans="28:28">
      <c r="AB3990" s="669"/>
    </row>
    <row r="3991" spans="28:28">
      <c r="AB3991" s="669"/>
    </row>
    <row r="3992" spans="28:28">
      <c r="AB3992" s="669"/>
    </row>
    <row r="3993" spans="28:28">
      <c r="AB3993" s="669"/>
    </row>
    <row r="3994" spans="28:28">
      <c r="AB3994" s="669"/>
    </row>
    <row r="3995" spans="28:28">
      <c r="AB3995" s="669"/>
    </row>
    <row r="3996" spans="28:28">
      <c r="AB3996" s="669"/>
    </row>
    <row r="3997" spans="28:28">
      <c r="AB3997" s="669"/>
    </row>
    <row r="3998" spans="28:28">
      <c r="AB3998" s="669"/>
    </row>
    <row r="3999" spans="28:28">
      <c r="AB3999" s="669"/>
    </row>
    <row r="4000" spans="28:28">
      <c r="AB4000" s="669"/>
    </row>
    <row r="4001" spans="28:28">
      <c r="AB4001" s="669"/>
    </row>
    <row r="4002" spans="28:28">
      <c r="AB4002" s="669"/>
    </row>
    <row r="4003" spans="28:28">
      <c r="AB4003" s="669"/>
    </row>
    <row r="4004" spans="28:28">
      <c r="AB4004" s="669"/>
    </row>
    <row r="4005" spans="28:28">
      <c r="AB4005" s="669"/>
    </row>
    <row r="4006" spans="28:28">
      <c r="AB4006" s="669"/>
    </row>
    <row r="4007" spans="28:28">
      <c r="AB4007" s="669"/>
    </row>
    <row r="4008" spans="28:28">
      <c r="AB4008" s="669"/>
    </row>
    <row r="4009" spans="28:28">
      <c r="AB4009" s="669"/>
    </row>
    <row r="4010" spans="28:28">
      <c r="AB4010" s="669"/>
    </row>
    <row r="4011" spans="28:28">
      <c r="AB4011" s="669"/>
    </row>
    <row r="4012" spans="28:28">
      <c r="AB4012" s="669"/>
    </row>
    <row r="4013" spans="28:28">
      <c r="AB4013" s="669"/>
    </row>
    <row r="4014" spans="28:28">
      <c r="AB4014" s="669"/>
    </row>
    <row r="4015" spans="28:28">
      <c r="AB4015" s="669"/>
    </row>
    <row r="4016" spans="28:28">
      <c r="AB4016" s="669"/>
    </row>
    <row r="4017" spans="28:28">
      <c r="AB4017" s="669"/>
    </row>
    <row r="4018" spans="28:28">
      <c r="AB4018" s="669"/>
    </row>
    <row r="4019" spans="28:28">
      <c r="AB4019" s="669"/>
    </row>
    <row r="4020" spans="28:28">
      <c r="AB4020" s="669"/>
    </row>
    <row r="4021" spans="28:28">
      <c r="AB4021" s="669"/>
    </row>
    <row r="4022" spans="28:28">
      <c r="AB4022" s="669"/>
    </row>
    <row r="4023" spans="28:28">
      <c r="AB4023" s="669"/>
    </row>
    <row r="4024" spans="28:28">
      <c r="AB4024" s="669"/>
    </row>
    <row r="4025" spans="28:28">
      <c r="AB4025" s="669"/>
    </row>
    <row r="4026" spans="28:28">
      <c r="AB4026" s="669"/>
    </row>
    <row r="4027" spans="28:28">
      <c r="AB4027" s="669"/>
    </row>
    <row r="4028" spans="28:28">
      <c r="AB4028" s="669"/>
    </row>
    <row r="4029" spans="28:28">
      <c r="AB4029" s="669"/>
    </row>
    <row r="4030" spans="28:28">
      <c r="AB4030" s="669"/>
    </row>
    <row r="4031" spans="28:28">
      <c r="AB4031" s="669"/>
    </row>
    <row r="4032" spans="28:28">
      <c r="AB4032" s="669"/>
    </row>
    <row r="4033" spans="28:28">
      <c r="AB4033" s="669"/>
    </row>
    <row r="4034" spans="28:28">
      <c r="AB4034" s="669"/>
    </row>
    <row r="4035" spans="28:28">
      <c r="AB4035" s="669"/>
    </row>
    <row r="4036" spans="28:28">
      <c r="AB4036" s="669"/>
    </row>
    <row r="4037" spans="28:28">
      <c r="AB4037" s="669"/>
    </row>
    <row r="4038" spans="28:28">
      <c r="AB4038" s="669"/>
    </row>
    <row r="4039" spans="28:28">
      <c r="AB4039" s="669"/>
    </row>
    <row r="4040" spans="28:28">
      <c r="AB4040" s="669"/>
    </row>
    <row r="4041" spans="28:28">
      <c r="AB4041" s="669"/>
    </row>
    <row r="4042" spans="28:28">
      <c r="AB4042" s="669"/>
    </row>
    <row r="4043" spans="28:28">
      <c r="AB4043" s="669"/>
    </row>
    <row r="4044" spans="28:28">
      <c r="AB4044" s="669"/>
    </row>
    <row r="4045" spans="28:28">
      <c r="AB4045" s="669"/>
    </row>
    <row r="4046" spans="28:28">
      <c r="AB4046" s="669"/>
    </row>
    <row r="4047" spans="28:28">
      <c r="AB4047" s="669"/>
    </row>
    <row r="4048" spans="28:28">
      <c r="AB4048" s="669"/>
    </row>
    <row r="4049" spans="28:28">
      <c r="AB4049" s="669"/>
    </row>
    <row r="4050" spans="28:28">
      <c r="AB4050" s="669"/>
    </row>
    <row r="4051" spans="28:28">
      <c r="AB4051" s="669"/>
    </row>
    <row r="4052" spans="28:28">
      <c r="AB4052" s="669"/>
    </row>
    <row r="4053" spans="28:28">
      <c r="AB4053" s="669"/>
    </row>
    <row r="4054" spans="28:28">
      <c r="AB4054" s="669"/>
    </row>
    <row r="4055" spans="28:28">
      <c r="AB4055" s="669"/>
    </row>
    <row r="4056" spans="28:28">
      <c r="AB4056" s="669"/>
    </row>
    <row r="4057" spans="28:28">
      <c r="AB4057" s="669"/>
    </row>
    <row r="4058" spans="28:28">
      <c r="AB4058" s="669"/>
    </row>
    <row r="4059" spans="28:28">
      <c r="AB4059" s="669"/>
    </row>
    <row r="4060" spans="28:28">
      <c r="AB4060" s="669"/>
    </row>
    <row r="4061" spans="28:28">
      <c r="AB4061" s="669"/>
    </row>
    <row r="4062" spans="28:28">
      <c r="AB4062" s="669"/>
    </row>
    <row r="4063" spans="28:28">
      <c r="AB4063" s="669"/>
    </row>
    <row r="4064" spans="28:28">
      <c r="AB4064" s="669"/>
    </row>
    <row r="4065" spans="28:28">
      <c r="AB4065" s="669"/>
    </row>
    <row r="4066" spans="28:28">
      <c r="AB4066" s="669"/>
    </row>
    <row r="4067" spans="28:28">
      <c r="AB4067" s="669"/>
    </row>
    <row r="4068" spans="28:28">
      <c r="AB4068" s="669"/>
    </row>
    <row r="4069" spans="28:28">
      <c r="AB4069" s="669"/>
    </row>
    <row r="4070" spans="28:28">
      <c r="AB4070" s="669"/>
    </row>
    <row r="4071" spans="28:28">
      <c r="AB4071" s="669"/>
    </row>
    <row r="4072" spans="28:28">
      <c r="AB4072" s="669"/>
    </row>
    <row r="4073" spans="28:28">
      <c r="AB4073" s="669"/>
    </row>
    <row r="4074" spans="28:28">
      <c r="AB4074" s="669"/>
    </row>
    <row r="4075" spans="28:28">
      <c r="AB4075" s="669"/>
    </row>
    <row r="4076" spans="28:28">
      <c r="AB4076" s="669"/>
    </row>
    <row r="4077" spans="28:28">
      <c r="AB4077" s="669"/>
    </row>
    <row r="4078" spans="28:28">
      <c r="AB4078" s="669"/>
    </row>
    <row r="4079" spans="28:28">
      <c r="AB4079" s="669"/>
    </row>
    <row r="4080" spans="28:28">
      <c r="AB4080" s="669"/>
    </row>
    <row r="4081" spans="28:28">
      <c r="AB4081" s="669"/>
    </row>
    <row r="4082" spans="28:28">
      <c r="AB4082" s="669"/>
    </row>
    <row r="4083" spans="28:28">
      <c r="AB4083" s="669"/>
    </row>
    <row r="4084" spans="28:28">
      <c r="AB4084" s="669"/>
    </row>
    <row r="4085" spans="28:28">
      <c r="AB4085" s="669"/>
    </row>
    <row r="4086" spans="28:28">
      <c r="AB4086" s="669"/>
    </row>
    <row r="4087" spans="28:28">
      <c r="AB4087" s="669"/>
    </row>
    <row r="4088" spans="28:28">
      <c r="AB4088" s="669"/>
    </row>
    <row r="4089" spans="28:28">
      <c r="AB4089" s="669"/>
    </row>
    <row r="4090" spans="28:28">
      <c r="AB4090" s="669"/>
    </row>
    <row r="4091" spans="28:28">
      <c r="AB4091" s="669"/>
    </row>
    <row r="4092" spans="28:28">
      <c r="AB4092" s="669"/>
    </row>
    <row r="4093" spans="28:28">
      <c r="AB4093" s="669"/>
    </row>
    <row r="4094" spans="28:28">
      <c r="AB4094" s="669"/>
    </row>
    <row r="4095" spans="28:28">
      <c r="AB4095" s="669"/>
    </row>
    <row r="4096" spans="28:28">
      <c r="AB4096" s="669"/>
    </row>
    <row r="4097" spans="28:28">
      <c r="AB4097" s="669"/>
    </row>
    <row r="4098" spans="28:28">
      <c r="AB4098" s="669"/>
    </row>
    <row r="4099" spans="28:28">
      <c r="AB4099" s="669"/>
    </row>
    <row r="4100" spans="28:28">
      <c r="AB4100" s="669"/>
    </row>
    <row r="4101" spans="28:28">
      <c r="AB4101" s="669"/>
    </row>
    <row r="4102" spans="28:28">
      <c r="AB4102" s="669"/>
    </row>
    <row r="4103" spans="28:28">
      <c r="AB4103" s="669"/>
    </row>
    <row r="4104" spans="28:28">
      <c r="AB4104" s="669"/>
    </row>
    <row r="4105" spans="28:28">
      <c r="AB4105" s="669"/>
    </row>
    <row r="4106" spans="28:28">
      <c r="AB4106" s="669"/>
    </row>
    <row r="4107" spans="28:28">
      <c r="AB4107" s="669"/>
    </row>
    <row r="4108" spans="28:28">
      <c r="AB4108" s="669"/>
    </row>
    <row r="4109" spans="28:28">
      <c r="AB4109" s="669"/>
    </row>
    <row r="4110" spans="28:28">
      <c r="AB4110" s="669"/>
    </row>
    <row r="4111" spans="28:28">
      <c r="AB4111" s="669"/>
    </row>
    <row r="4112" spans="28:28">
      <c r="AB4112" s="669"/>
    </row>
    <row r="4113" spans="28:28">
      <c r="AB4113" s="669"/>
    </row>
    <row r="4114" spans="28:28">
      <c r="AB4114" s="669"/>
    </row>
    <row r="4115" spans="28:28">
      <c r="AB4115" s="669"/>
    </row>
    <row r="4116" spans="28:28">
      <c r="AB4116" s="669"/>
    </row>
    <row r="4117" spans="28:28">
      <c r="AB4117" s="669"/>
    </row>
    <row r="4118" spans="28:28">
      <c r="AB4118" s="669"/>
    </row>
    <row r="4119" spans="28:28">
      <c r="AB4119" s="669"/>
    </row>
    <row r="4120" spans="28:28">
      <c r="AB4120" s="669"/>
    </row>
    <row r="4121" spans="28:28">
      <c r="AB4121" s="669"/>
    </row>
    <row r="4122" spans="28:28">
      <c r="AB4122" s="669"/>
    </row>
    <row r="4123" spans="28:28">
      <c r="AB4123" s="669"/>
    </row>
    <row r="4124" spans="28:28">
      <c r="AB4124" s="669"/>
    </row>
    <row r="4125" spans="28:28">
      <c r="AB4125" s="669"/>
    </row>
    <row r="4126" spans="28:28">
      <c r="AB4126" s="669"/>
    </row>
    <row r="4127" spans="28:28">
      <c r="AB4127" s="669"/>
    </row>
    <row r="4128" spans="28:28">
      <c r="AB4128" s="669"/>
    </row>
    <row r="4129" spans="28:28">
      <c r="AB4129" s="669"/>
    </row>
    <row r="4130" spans="28:28">
      <c r="AB4130" s="669"/>
    </row>
    <row r="4131" spans="28:28">
      <c r="AB4131" s="669"/>
    </row>
    <row r="4132" spans="28:28">
      <c r="AB4132" s="669"/>
    </row>
    <row r="4133" spans="28:28">
      <c r="AB4133" s="669"/>
    </row>
    <row r="4134" spans="28:28">
      <c r="AB4134" s="669"/>
    </row>
    <row r="4135" spans="28:28">
      <c r="AB4135" s="669"/>
    </row>
    <row r="4136" spans="28:28">
      <c r="AB4136" s="669"/>
    </row>
    <row r="4137" spans="28:28">
      <c r="AB4137" s="669"/>
    </row>
    <row r="4138" spans="28:28">
      <c r="AB4138" s="669"/>
    </row>
    <row r="4139" spans="28:28">
      <c r="AB4139" s="669"/>
    </row>
    <row r="4140" spans="28:28">
      <c r="AB4140" s="669"/>
    </row>
    <row r="4141" spans="28:28">
      <c r="AB4141" s="669"/>
    </row>
    <row r="4142" spans="28:28">
      <c r="AB4142" s="669"/>
    </row>
    <row r="4143" spans="28:28">
      <c r="AB4143" s="669"/>
    </row>
    <row r="4144" spans="28:28">
      <c r="AB4144" s="669"/>
    </row>
    <row r="4145" spans="28:28">
      <c r="AB4145" s="669"/>
    </row>
    <row r="4146" spans="28:28">
      <c r="AB4146" s="669"/>
    </row>
    <row r="4147" spans="28:28">
      <c r="AB4147" s="669"/>
    </row>
    <row r="4148" spans="28:28">
      <c r="AB4148" s="669"/>
    </row>
    <row r="4149" spans="28:28">
      <c r="AB4149" s="669"/>
    </row>
    <row r="4150" spans="28:28">
      <c r="AB4150" s="669"/>
    </row>
    <row r="4151" spans="28:28">
      <c r="AB4151" s="669"/>
    </row>
    <row r="4152" spans="28:28">
      <c r="AB4152" s="669"/>
    </row>
    <row r="4153" spans="28:28">
      <c r="AB4153" s="669"/>
    </row>
    <row r="4154" spans="28:28">
      <c r="AB4154" s="669"/>
    </row>
    <row r="4155" spans="28:28">
      <c r="AB4155" s="669"/>
    </row>
    <row r="4156" spans="28:28">
      <c r="AB4156" s="669"/>
    </row>
    <row r="4157" spans="28:28">
      <c r="AB4157" s="669"/>
    </row>
    <row r="4158" spans="28:28">
      <c r="AB4158" s="669"/>
    </row>
    <row r="4159" spans="28:28">
      <c r="AB4159" s="669"/>
    </row>
    <row r="4160" spans="28:28">
      <c r="AB4160" s="669"/>
    </row>
    <row r="4161" spans="28:28">
      <c r="AB4161" s="669"/>
    </row>
    <row r="4162" spans="28:28">
      <c r="AB4162" s="669"/>
    </row>
    <row r="4163" spans="28:28">
      <c r="AB4163" s="669"/>
    </row>
    <row r="4164" spans="28:28">
      <c r="AB4164" s="669"/>
    </row>
    <row r="4165" spans="28:28">
      <c r="AB4165" s="669"/>
    </row>
    <row r="4166" spans="28:28">
      <c r="AB4166" s="669"/>
    </row>
    <row r="4167" spans="28:28">
      <c r="AB4167" s="669"/>
    </row>
    <row r="4168" spans="28:28">
      <c r="AB4168" s="669"/>
    </row>
    <row r="4169" spans="28:28">
      <c r="AB4169" s="669"/>
    </row>
    <row r="4170" spans="28:28">
      <c r="AB4170" s="669"/>
    </row>
    <row r="4171" spans="28:28">
      <c r="AB4171" s="669"/>
    </row>
    <row r="4172" spans="28:28">
      <c r="AB4172" s="669"/>
    </row>
    <row r="4173" spans="28:28">
      <c r="AB4173" s="669"/>
    </row>
    <row r="4174" spans="28:28">
      <c r="AB4174" s="669"/>
    </row>
    <row r="4175" spans="28:28">
      <c r="AB4175" s="669"/>
    </row>
    <row r="4176" spans="28:28">
      <c r="AB4176" s="669"/>
    </row>
    <row r="4177" spans="28:28">
      <c r="AB4177" s="669"/>
    </row>
    <row r="4178" spans="28:28">
      <c r="AB4178" s="669"/>
    </row>
    <row r="4179" spans="28:28">
      <c r="AB4179" s="669"/>
    </row>
    <row r="4180" spans="28:28">
      <c r="AB4180" s="669"/>
    </row>
    <row r="4181" spans="28:28">
      <c r="AB4181" s="669"/>
    </row>
    <row r="4182" spans="28:28">
      <c r="AB4182" s="669"/>
    </row>
    <row r="4183" spans="28:28">
      <c r="AB4183" s="669"/>
    </row>
    <row r="4184" spans="28:28">
      <c r="AB4184" s="669"/>
    </row>
    <row r="4185" spans="28:28">
      <c r="AB4185" s="669"/>
    </row>
    <row r="4186" spans="28:28">
      <c r="AB4186" s="669"/>
    </row>
    <row r="4187" spans="28:28">
      <c r="AB4187" s="669"/>
    </row>
    <row r="4188" spans="28:28">
      <c r="AB4188" s="669"/>
    </row>
    <row r="4189" spans="28:28">
      <c r="AB4189" s="669"/>
    </row>
    <row r="4190" spans="28:28">
      <c r="AB4190" s="669"/>
    </row>
    <row r="4191" spans="28:28">
      <c r="AB4191" s="669"/>
    </row>
    <row r="4192" spans="28:28">
      <c r="AB4192" s="669"/>
    </row>
    <row r="4193" spans="28:28">
      <c r="AB4193" s="669"/>
    </row>
    <row r="4194" spans="28:28">
      <c r="AB4194" s="669"/>
    </row>
    <row r="4195" spans="28:28">
      <c r="AB4195" s="669"/>
    </row>
    <row r="4196" spans="28:28">
      <c r="AB4196" s="669"/>
    </row>
    <row r="4197" spans="28:28">
      <c r="AB4197" s="669"/>
    </row>
    <row r="4198" spans="28:28">
      <c r="AB4198" s="669"/>
    </row>
    <row r="4199" spans="28:28">
      <c r="AB4199" s="669"/>
    </row>
    <row r="4200" spans="28:28">
      <c r="AB4200" s="669"/>
    </row>
    <row r="4201" spans="28:28">
      <c r="AB4201" s="669"/>
    </row>
    <row r="4202" spans="28:28">
      <c r="AB4202" s="669"/>
    </row>
    <row r="4203" spans="28:28">
      <c r="AB4203" s="669"/>
    </row>
    <row r="4204" spans="28:28">
      <c r="AB4204" s="669"/>
    </row>
    <row r="4205" spans="28:28">
      <c r="AB4205" s="669"/>
    </row>
    <row r="4206" spans="28:28">
      <c r="AB4206" s="669"/>
    </row>
    <row r="4207" spans="28:28">
      <c r="AB4207" s="669"/>
    </row>
    <row r="4208" spans="28:28">
      <c r="AB4208" s="669"/>
    </row>
    <row r="4209" spans="28:28">
      <c r="AB4209" s="669"/>
    </row>
    <row r="4210" spans="28:28">
      <c r="AB4210" s="669"/>
    </row>
    <row r="4211" spans="28:28">
      <c r="AB4211" s="669"/>
    </row>
    <row r="4212" spans="28:28">
      <c r="AB4212" s="669"/>
    </row>
    <row r="4213" spans="28:28">
      <c r="AB4213" s="669"/>
    </row>
    <row r="4214" spans="28:28">
      <c r="AB4214" s="669"/>
    </row>
    <row r="4215" spans="28:28">
      <c r="AB4215" s="669"/>
    </row>
    <row r="4216" spans="28:28">
      <c r="AB4216" s="669"/>
    </row>
    <row r="4217" spans="28:28">
      <c r="AB4217" s="669"/>
    </row>
    <row r="4218" spans="28:28">
      <c r="AB4218" s="669"/>
    </row>
    <row r="4219" spans="28:28">
      <c r="AB4219" s="669"/>
    </row>
    <row r="4220" spans="28:28">
      <c r="AB4220" s="669"/>
    </row>
    <row r="4221" spans="28:28">
      <c r="AB4221" s="669"/>
    </row>
    <row r="4222" spans="28:28">
      <c r="AB4222" s="669"/>
    </row>
    <row r="4223" spans="28:28">
      <c r="AB4223" s="669"/>
    </row>
    <row r="4224" spans="28:28">
      <c r="AB4224" s="669"/>
    </row>
    <row r="4225" spans="28:28">
      <c r="AB4225" s="669"/>
    </row>
    <row r="4226" spans="28:28">
      <c r="AB4226" s="669"/>
    </row>
    <row r="4227" spans="28:28">
      <c r="AB4227" s="669"/>
    </row>
    <row r="4228" spans="28:28">
      <c r="AB4228" s="669"/>
    </row>
    <row r="4229" spans="28:28">
      <c r="AB4229" s="669"/>
    </row>
    <row r="4230" spans="28:28">
      <c r="AB4230" s="669"/>
    </row>
    <row r="4231" spans="28:28">
      <c r="AB4231" s="669"/>
    </row>
    <row r="4232" spans="28:28">
      <c r="AB4232" s="669"/>
    </row>
    <row r="4233" spans="28:28">
      <c r="AB4233" s="669"/>
    </row>
    <row r="4234" spans="28:28">
      <c r="AB4234" s="669"/>
    </row>
    <row r="4235" spans="28:28">
      <c r="AB4235" s="669"/>
    </row>
    <row r="4236" spans="28:28">
      <c r="AB4236" s="669"/>
    </row>
    <row r="4237" spans="28:28">
      <c r="AB4237" s="669"/>
    </row>
    <row r="4238" spans="28:28">
      <c r="AB4238" s="669"/>
    </row>
    <row r="4239" spans="28:28">
      <c r="AB4239" s="669"/>
    </row>
    <row r="4240" spans="28:28">
      <c r="AB4240" s="669"/>
    </row>
    <row r="4241" spans="28:28">
      <c r="AB4241" s="669"/>
    </row>
    <row r="4242" spans="28:28">
      <c r="AB4242" s="669"/>
    </row>
    <row r="4243" spans="28:28">
      <c r="AB4243" s="669"/>
    </row>
    <row r="4244" spans="28:28">
      <c r="AB4244" s="669"/>
    </row>
    <row r="4245" spans="28:28">
      <c r="AB4245" s="669"/>
    </row>
    <row r="4246" spans="28:28">
      <c r="AB4246" s="669"/>
    </row>
    <row r="4247" spans="28:28">
      <c r="AB4247" s="669"/>
    </row>
    <row r="4248" spans="28:28">
      <c r="AB4248" s="669"/>
    </row>
    <row r="4249" spans="28:28">
      <c r="AB4249" s="669"/>
    </row>
    <row r="4250" spans="28:28">
      <c r="AB4250" s="669"/>
    </row>
    <row r="4251" spans="28:28">
      <c r="AB4251" s="669"/>
    </row>
    <row r="4252" spans="28:28">
      <c r="AB4252" s="669"/>
    </row>
    <row r="4253" spans="28:28">
      <c r="AB4253" s="669"/>
    </row>
    <row r="4254" spans="28:28">
      <c r="AB4254" s="669"/>
    </row>
    <row r="4255" spans="28:28">
      <c r="AB4255" s="669"/>
    </row>
    <row r="4256" spans="28:28">
      <c r="AB4256" s="669"/>
    </row>
    <row r="4257" spans="28:28">
      <c r="AB4257" s="669"/>
    </row>
    <row r="4258" spans="28:28">
      <c r="AB4258" s="669"/>
    </row>
    <row r="4259" spans="28:28">
      <c r="AB4259" s="669"/>
    </row>
    <row r="4260" spans="28:28">
      <c r="AB4260" s="669"/>
    </row>
    <row r="4261" spans="28:28">
      <c r="AB4261" s="669"/>
    </row>
    <row r="4262" spans="28:28">
      <c r="AB4262" s="669"/>
    </row>
    <row r="4263" spans="28:28">
      <c r="AB4263" s="669"/>
    </row>
    <row r="4264" spans="28:28">
      <c r="AB4264" s="669"/>
    </row>
    <row r="4265" spans="28:28">
      <c r="AB4265" s="669"/>
    </row>
    <row r="4266" spans="28:28">
      <c r="AB4266" s="669"/>
    </row>
    <row r="4267" spans="28:28">
      <c r="AB4267" s="669"/>
    </row>
    <row r="4268" spans="28:28">
      <c r="AB4268" s="669"/>
    </row>
    <row r="4269" spans="28:28">
      <c r="AB4269" s="669"/>
    </row>
    <row r="4270" spans="28:28">
      <c r="AB4270" s="669"/>
    </row>
    <row r="4271" spans="28:28">
      <c r="AB4271" s="669"/>
    </row>
    <row r="4272" spans="28:28">
      <c r="AB4272" s="669"/>
    </row>
    <row r="4273" spans="28:28">
      <c r="AB4273" s="669"/>
    </row>
    <row r="4274" spans="28:28">
      <c r="AB4274" s="669"/>
    </row>
    <row r="4275" spans="28:28">
      <c r="AB4275" s="669"/>
    </row>
    <row r="4276" spans="28:28">
      <c r="AB4276" s="669"/>
    </row>
    <row r="4277" spans="28:28">
      <c r="AB4277" s="669"/>
    </row>
    <row r="4278" spans="28:28">
      <c r="AB4278" s="669"/>
    </row>
    <row r="4279" spans="28:28">
      <c r="AB4279" s="669"/>
    </row>
    <row r="4280" spans="28:28">
      <c r="AB4280" s="669"/>
    </row>
    <row r="4281" spans="28:28">
      <c r="AB4281" s="669"/>
    </row>
    <row r="4282" spans="28:28">
      <c r="AB4282" s="669"/>
    </row>
    <row r="4283" spans="28:28">
      <c r="AB4283" s="669"/>
    </row>
    <row r="4284" spans="28:28">
      <c r="AB4284" s="669"/>
    </row>
    <row r="4285" spans="28:28">
      <c r="AB4285" s="669"/>
    </row>
    <row r="4286" spans="28:28">
      <c r="AB4286" s="669"/>
    </row>
    <row r="4287" spans="28:28">
      <c r="AB4287" s="669"/>
    </row>
    <row r="4288" spans="28:28">
      <c r="AB4288" s="669"/>
    </row>
    <row r="4289" spans="28:28">
      <c r="AB4289" s="669"/>
    </row>
    <row r="4290" spans="28:28">
      <c r="AB4290" s="669"/>
    </row>
    <row r="4291" spans="28:28">
      <c r="AB4291" s="669"/>
    </row>
    <row r="4292" spans="28:28">
      <c r="AB4292" s="669"/>
    </row>
    <row r="4293" spans="28:28">
      <c r="AB4293" s="669"/>
    </row>
    <row r="4294" spans="28:28">
      <c r="AB4294" s="669"/>
    </row>
    <row r="4295" spans="28:28">
      <c r="AB4295" s="669"/>
    </row>
    <row r="4296" spans="28:28">
      <c r="AB4296" s="669"/>
    </row>
    <row r="4297" spans="28:28">
      <c r="AB4297" s="669"/>
    </row>
    <row r="4298" spans="28:28">
      <c r="AB4298" s="669"/>
    </row>
    <row r="4299" spans="28:28">
      <c r="AB4299" s="669"/>
    </row>
    <row r="4300" spans="28:28">
      <c r="AB4300" s="669"/>
    </row>
    <row r="4301" spans="28:28">
      <c r="AB4301" s="669"/>
    </row>
    <row r="4302" spans="28:28">
      <c r="AB4302" s="669"/>
    </row>
    <row r="4303" spans="28:28">
      <c r="AB4303" s="669"/>
    </row>
    <row r="4304" spans="28:28">
      <c r="AB4304" s="669"/>
    </row>
    <row r="4305" spans="28:28">
      <c r="AB4305" s="669"/>
    </row>
    <row r="4306" spans="28:28">
      <c r="AB4306" s="669"/>
    </row>
    <row r="4307" spans="28:28">
      <c r="AB4307" s="669"/>
    </row>
    <row r="4308" spans="28:28">
      <c r="AB4308" s="669"/>
    </row>
    <row r="4309" spans="28:28">
      <c r="AB4309" s="669"/>
    </row>
    <row r="4310" spans="28:28">
      <c r="AB4310" s="669"/>
    </row>
    <row r="4311" spans="28:28">
      <c r="AB4311" s="669"/>
    </row>
    <row r="4312" spans="28:28">
      <c r="AB4312" s="669"/>
    </row>
    <row r="4313" spans="28:28">
      <c r="AB4313" s="669"/>
    </row>
    <row r="4314" spans="28:28">
      <c r="AB4314" s="669"/>
    </row>
    <row r="4315" spans="28:28">
      <c r="AB4315" s="669"/>
    </row>
    <row r="4316" spans="28:28">
      <c r="AB4316" s="669"/>
    </row>
    <row r="4317" spans="28:28">
      <c r="AB4317" s="669"/>
    </row>
    <row r="4318" spans="28:28">
      <c r="AB4318" s="669"/>
    </row>
    <row r="4319" spans="28:28">
      <c r="AB4319" s="669"/>
    </row>
    <row r="4320" spans="28:28">
      <c r="AB4320" s="669"/>
    </row>
    <row r="4321" spans="28:28">
      <c r="AB4321" s="669"/>
    </row>
    <row r="4322" spans="28:28">
      <c r="AB4322" s="669"/>
    </row>
    <row r="4323" spans="28:28">
      <c r="AB4323" s="669"/>
    </row>
    <row r="4324" spans="28:28">
      <c r="AB4324" s="669"/>
    </row>
    <row r="4325" spans="28:28">
      <c r="AB4325" s="669"/>
    </row>
    <row r="4326" spans="28:28">
      <c r="AB4326" s="669"/>
    </row>
    <row r="4327" spans="28:28">
      <c r="AB4327" s="669"/>
    </row>
    <row r="4328" spans="28:28">
      <c r="AB4328" s="669"/>
    </row>
    <row r="4329" spans="28:28">
      <c r="AB4329" s="669"/>
    </row>
    <row r="4330" spans="28:28">
      <c r="AB4330" s="669"/>
    </row>
    <row r="4331" spans="28:28">
      <c r="AB4331" s="669"/>
    </row>
    <row r="4332" spans="28:28">
      <c r="AB4332" s="669"/>
    </row>
    <row r="4333" spans="28:28">
      <c r="AB4333" s="669"/>
    </row>
    <row r="4334" spans="28:28">
      <c r="AB4334" s="669"/>
    </row>
    <row r="4335" spans="28:28">
      <c r="AB4335" s="669"/>
    </row>
    <row r="4336" spans="28:28">
      <c r="AB4336" s="669"/>
    </row>
    <row r="4337" spans="28:28">
      <c r="AB4337" s="669"/>
    </row>
    <row r="4338" spans="28:28">
      <c r="AB4338" s="669"/>
    </row>
    <row r="4339" spans="28:28">
      <c r="AB4339" s="669"/>
    </row>
    <row r="4340" spans="28:28">
      <c r="AB4340" s="669"/>
    </row>
    <row r="4341" spans="28:28">
      <c r="AB4341" s="669"/>
    </row>
    <row r="4342" spans="28:28">
      <c r="AB4342" s="669"/>
    </row>
    <row r="4343" spans="28:28">
      <c r="AB4343" s="669"/>
    </row>
    <row r="4344" spans="28:28">
      <c r="AB4344" s="669"/>
    </row>
    <row r="4345" spans="28:28">
      <c r="AB4345" s="669"/>
    </row>
    <row r="4346" spans="28:28">
      <c r="AB4346" s="669"/>
    </row>
    <row r="4347" spans="28:28">
      <c r="AB4347" s="669"/>
    </row>
    <row r="4348" spans="28:28">
      <c r="AB4348" s="669"/>
    </row>
    <row r="4349" spans="28:28">
      <c r="AB4349" s="669"/>
    </row>
    <row r="4350" spans="28:28">
      <c r="AB4350" s="669"/>
    </row>
    <row r="4351" spans="28:28">
      <c r="AB4351" s="669"/>
    </row>
    <row r="4352" spans="28:28">
      <c r="AB4352" s="669"/>
    </row>
    <row r="4353" spans="28:28">
      <c r="AB4353" s="669"/>
    </row>
    <row r="4354" spans="28:28">
      <c r="AB4354" s="669"/>
    </row>
    <row r="4355" spans="28:28">
      <c r="AB4355" s="669"/>
    </row>
    <row r="4356" spans="28:28">
      <c r="AB4356" s="669"/>
    </row>
    <row r="4357" spans="28:28">
      <c r="AB4357" s="669"/>
    </row>
    <row r="4358" spans="28:28">
      <c r="AB4358" s="669"/>
    </row>
    <row r="4359" spans="28:28">
      <c r="AB4359" s="669"/>
    </row>
    <row r="4360" spans="28:28">
      <c r="AB4360" s="669"/>
    </row>
    <row r="4361" spans="28:28">
      <c r="AB4361" s="669"/>
    </row>
    <row r="4362" spans="28:28">
      <c r="AB4362" s="669"/>
    </row>
    <row r="4363" spans="28:28">
      <c r="AB4363" s="669"/>
    </row>
    <row r="4364" spans="28:28">
      <c r="AB4364" s="669"/>
    </row>
    <row r="4365" spans="28:28">
      <c r="AB4365" s="669"/>
    </row>
    <row r="4366" spans="28:28">
      <c r="AB4366" s="669"/>
    </row>
    <row r="4367" spans="28:28">
      <c r="AB4367" s="669"/>
    </row>
    <row r="4368" spans="28:28">
      <c r="AB4368" s="669"/>
    </row>
    <row r="4369" spans="28:28">
      <c r="AB4369" s="669"/>
    </row>
    <row r="4370" spans="28:28">
      <c r="AB4370" s="669"/>
    </row>
    <row r="4371" spans="28:28">
      <c r="AB4371" s="669"/>
    </row>
    <row r="4372" spans="28:28">
      <c r="AB4372" s="669"/>
    </row>
    <row r="4373" spans="28:28">
      <c r="AB4373" s="669"/>
    </row>
    <row r="4374" spans="28:28">
      <c r="AB4374" s="669"/>
    </row>
    <row r="4375" spans="28:28">
      <c r="AB4375" s="669"/>
    </row>
    <row r="4376" spans="28:28">
      <c r="AB4376" s="669"/>
    </row>
    <row r="4377" spans="28:28">
      <c r="AB4377" s="669"/>
    </row>
    <row r="4378" spans="28:28">
      <c r="AB4378" s="669"/>
    </row>
    <row r="4379" spans="28:28">
      <c r="AB4379" s="669"/>
    </row>
    <row r="4380" spans="28:28">
      <c r="AB4380" s="669"/>
    </row>
    <row r="4381" spans="28:28">
      <c r="AB4381" s="669"/>
    </row>
    <row r="4382" spans="28:28">
      <c r="AB4382" s="669"/>
    </row>
    <row r="4383" spans="28:28">
      <c r="AB4383" s="669"/>
    </row>
    <row r="4384" spans="28:28">
      <c r="AB4384" s="669"/>
    </row>
    <row r="4385" spans="28:28">
      <c r="AB4385" s="669"/>
    </row>
    <row r="4386" spans="28:28">
      <c r="AB4386" s="669"/>
    </row>
    <row r="4387" spans="28:28">
      <c r="AB4387" s="669"/>
    </row>
    <row r="4388" spans="28:28">
      <c r="AB4388" s="669"/>
    </row>
    <row r="4389" spans="28:28">
      <c r="AB4389" s="669"/>
    </row>
    <row r="4390" spans="28:28">
      <c r="AB4390" s="669"/>
    </row>
    <row r="4391" spans="28:28">
      <c r="AB4391" s="669"/>
    </row>
    <row r="4392" spans="28:28">
      <c r="AB4392" s="669"/>
    </row>
    <row r="4393" spans="28:28">
      <c r="AB4393" s="669"/>
    </row>
    <row r="4394" spans="28:28">
      <c r="AB4394" s="669"/>
    </row>
    <row r="4395" spans="28:28">
      <c r="AB4395" s="669"/>
    </row>
    <row r="4396" spans="28:28">
      <c r="AB4396" s="669"/>
    </row>
    <row r="4397" spans="28:28">
      <c r="AB4397" s="669"/>
    </row>
    <row r="4398" spans="28:28">
      <c r="AB4398" s="669"/>
    </row>
    <row r="4399" spans="28:28">
      <c r="AB4399" s="669"/>
    </row>
    <row r="4400" spans="28:28">
      <c r="AB4400" s="669"/>
    </row>
    <row r="4401" spans="28:28">
      <c r="AB4401" s="669"/>
    </row>
    <row r="4402" spans="28:28">
      <c r="AB4402" s="669"/>
    </row>
    <row r="4403" spans="28:28">
      <c r="AB4403" s="669"/>
    </row>
    <row r="4404" spans="28:28">
      <c r="AB4404" s="669"/>
    </row>
    <row r="4405" spans="28:28">
      <c r="AB4405" s="669"/>
    </row>
    <row r="4406" spans="28:28">
      <c r="AB4406" s="669"/>
    </row>
    <row r="4407" spans="28:28">
      <c r="AB4407" s="669"/>
    </row>
    <row r="4408" spans="28:28">
      <c r="AB4408" s="669"/>
    </row>
    <row r="4409" spans="28:28">
      <c r="AB4409" s="669"/>
    </row>
    <row r="4410" spans="28:28">
      <c r="AB4410" s="669"/>
    </row>
    <row r="4411" spans="28:28">
      <c r="AB4411" s="669"/>
    </row>
    <row r="4412" spans="28:28">
      <c r="AB4412" s="669"/>
    </row>
    <row r="4413" spans="28:28">
      <c r="AB4413" s="669"/>
    </row>
    <row r="4414" spans="28:28">
      <c r="AB4414" s="669"/>
    </row>
    <row r="4415" spans="28:28">
      <c r="AB4415" s="669"/>
    </row>
    <row r="4416" spans="28:28">
      <c r="AB4416" s="669"/>
    </row>
    <row r="4417" spans="28:28">
      <c r="AB4417" s="669"/>
    </row>
    <row r="4418" spans="28:28">
      <c r="AB4418" s="669"/>
    </row>
    <row r="4419" spans="28:28">
      <c r="AB4419" s="669"/>
    </row>
    <row r="4420" spans="28:28">
      <c r="AB4420" s="669"/>
    </row>
    <row r="4421" spans="28:28">
      <c r="AB4421" s="669"/>
    </row>
    <row r="4422" spans="28:28">
      <c r="AB4422" s="669"/>
    </row>
    <row r="4423" spans="28:28">
      <c r="AB4423" s="669"/>
    </row>
    <row r="4424" spans="28:28">
      <c r="AB4424" s="669"/>
    </row>
    <row r="4425" spans="28:28">
      <c r="AB4425" s="669"/>
    </row>
    <row r="4426" spans="28:28">
      <c r="AB4426" s="669"/>
    </row>
    <row r="4427" spans="28:28">
      <c r="AB4427" s="669"/>
    </row>
    <row r="4428" spans="28:28">
      <c r="AB4428" s="669"/>
    </row>
    <row r="4429" spans="28:28">
      <c r="AB4429" s="669"/>
    </row>
    <row r="4430" spans="28:28">
      <c r="AB4430" s="669"/>
    </row>
    <row r="4431" spans="28:28">
      <c r="AB4431" s="669"/>
    </row>
    <row r="4432" spans="28:28">
      <c r="AB4432" s="669"/>
    </row>
    <row r="4433" spans="28:28">
      <c r="AB4433" s="669"/>
    </row>
    <row r="4434" spans="28:28">
      <c r="AB4434" s="669"/>
    </row>
    <row r="4435" spans="28:28">
      <c r="AB4435" s="669"/>
    </row>
    <row r="4436" spans="28:28">
      <c r="AB4436" s="669"/>
    </row>
    <row r="4437" spans="28:28">
      <c r="AB4437" s="669"/>
    </row>
    <row r="4438" spans="28:28">
      <c r="AB4438" s="669"/>
    </row>
    <row r="4439" spans="28:28">
      <c r="AB4439" s="669"/>
    </row>
    <row r="4440" spans="28:28">
      <c r="AB4440" s="669"/>
    </row>
    <row r="4441" spans="28:28">
      <c r="AB4441" s="669"/>
    </row>
    <row r="4442" spans="28:28">
      <c r="AB4442" s="669"/>
    </row>
    <row r="4443" spans="28:28">
      <c r="AB4443" s="669"/>
    </row>
    <row r="4444" spans="28:28">
      <c r="AB4444" s="669"/>
    </row>
    <row r="4445" spans="28:28">
      <c r="AB4445" s="669"/>
    </row>
    <row r="4446" spans="28:28">
      <c r="AB4446" s="669"/>
    </row>
    <row r="4447" spans="28:28">
      <c r="AB4447" s="669"/>
    </row>
    <row r="4448" spans="28:28">
      <c r="AB4448" s="669"/>
    </row>
    <row r="4449" spans="28:28">
      <c r="AB4449" s="669"/>
    </row>
    <row r="4450" spans="28:28">
      <c r="AB4450" s="669"/>
    </row>
    <row r="4451" spans="28:28">
      <c r="AB4451" s="669"/>
    </row>
    <row r="4452" spans="28:28">
      <c r="AB4452" s="669"/>
    </row>
    <row r="4453" spans="28:28">
      <c r="AB4453" s="669"/>
    </row>
    <row r="4454" spans="28:28">
      <c r="AB4454" s="669"/>
    </row>
    <row r="4455" spans="28:28">
      <c r="AB4455" s="669"/>
    </row>
    <row r="4456" spans="28:28">
      <c r="AB4456" s="669"/>
    </row>
    <row r="4457" spans="28:28">
      <c r="AB4457" s="669"/>
    </row>
    <row r="4458" spans="28:28">
      <c r="AB4458" s="669"/>
    </row>
    <row r="4459" spans="28:28">
      <c r="AB4459" s="669"/>
    </row>
    <row r="4460" spans="28:28">
      <c r="AB4460" s="669"/>
    </row>
    <row r="4461" spans="28:28">
      <c r="AB4461" s="669"/>
    </row>
    <row r="4462" spans="28:28">
      <c r="AB4462" s="669"/>
    </row>
    <row r="4463" spans="28:28">
      <c r="AB4463" s="669"/>
    </row>
    <row r="4464" spans="28:28">
      <c r="AB4464" s="669"/>
    </row>
    <row r="4465" spans="28:28">
      <c r="AB4465" s="669"/>
    </row>
    <row r="4466" spans="28:28">
      <c r="AB4466" s="669"/>
    </row>
    <row r="4467" spans="28:28">
      <c r="AB4467" s="669"/>
    </row>
    <row r="4468" spans="28:28">
      <c r="AB4468" s="669"/>
    </row>
    <row r="4469" spans="28:28">
      <c r="AB4469" s="669"/>
    </row>
    <row r="4470" spans="28:28">
      <c r="AB4470" s="669"/>
    </row>
    <row r="4471" spans="28:28">
      <c r="AB4471" s="669"/>
    </row>
    <row r="4472" spans="28:28">
      <c r="AB4472" s="669"/>
    </row>
    <row r="4473" spans="28:28">
      <c r="AB4473" s="669"/>
    </row>
    <row r="4474" spans="28:28">
      <c r="AB4474" s="669"/>
    </row>
    <row r="4475" spans="28:28">
      <c r="AB4475" s="669"/>
    </row>
    <row r="4476" spans="28:28">
      <c r="AB4476" s="669"/>
    </row>
    <row r="4477" spans="28:28">
      <c r="AB4477" s="669"/>
    </row>
    <row r="4478" spans="28:28">
      <c r="AB4478" s="669"/>
    </row>
    <row r="4479" spans="28:28">
      <c r="AB4479" s="669"/>
    </row>
    <row r="4480" spans="28:28">
      <c r="AB4480" s="669"/>
    </row>
    <row r="4481" spans="28:28">
      <c r="AB4481" s="669"/>
    </row>
    <row r="4482" spans="28:28">
      <c r="AB4482" s="669"/>
    </row>
    <row r="4483" spans="28:28">
      <c r="AB4483" s="669"/>
    </row>
    <row r="4484" spans="28:28">
      <c r="AB4484" s="669"/>
    </row>
    <row r="4485" spans="28:28">
      <c r="AB4485" s="669"/>
    </row>
    <row r="4486" spans="28:28">
      <c r="AB4486" s="669"/>
    </row>
    <row r="4487" spans="28:28">
      <c r="AB4487" s="669"/>
    </row>
    <row r="4488" spans="28:28">
      <c r="AB4488" s="669"/>
    </row>
    <row r="4489" spans="28:28">
      <c r="AB4489" s="669"/>
    </row>
    <row r="4490" spans="28:28">
      <c r="AB4490" s="669"/>
    </row>
    <row r="4491" spans="28:28">
      <c r="AB4491" s="669"/>
    </row>
    <row r="4492" spans="28:28">
      <c r="AB4492" s="669"/>
    </row>
    <row r="4493" spans="28:28">
      <c r="AB4493" s="669"/>
    </row>
    <row r="4494" spans="28:28">
      <c r="AB4494" s="669"/>
    </row>
    <row r="4495" spans="28:28">
      <c r="AB4495" s="669"/>
    </row>
    <row r="4496" spans="28:28">
      <c r="AB4496" s="669"/>
    </row>
    <row r="4497" spans="28:28">
      <c r="AB4497" s="669"/>
    </row>
    <row r="4498" spans="28:28">
      <c r="AB4498" s="669"/>
    </row>
    <row r="4499" spans="28:28">
      <c r="AB4499" s="669"/>
    </row>
    <row r="4500" spans="28:28">
      <c r="AB4500" s="669"/>
    </row>
    <row r="4501" spans="28:28">
      <c r="AB4501" s="669"/>
    </row>
    <row r="4502" spans="28:28">
      <c r="AB4502" s="669"/>
    </row>
    <row r="4503" spans="28:28">
      <c r="AB4503" s="669"/>
    </row>
    <row r="4504" spans="28:28">
      <c r="AB4504" s="669"/>
    </row>
    <row r="4505" spans="28:28">
      <c r="AB4505" s="669"/>
    </row>
    <row r="4506" spans="28:28">
      <c r="AB4506" s="669"/>
    </row>
    <row r="4507" spans="28:28">
      <c r="AB4507" s="669"/>
    </row>
    <row r="4508" spans="28:28">
      <c r="AB4508" s="669"/>
    </row>
    <row r="4509" spans="28:28">
      <c r="AB4509" s="669"/>
    </row>
    <row r="4510" spans="28:28">
      <c r="AB4510" s="669"/>
    </row>
    <row r="4511" spans="28:28">
      <c r="AB4511" s="669"/>
    </row>
    <row r="4512" spans="28:28">
      <c r="AB4512" s="669"/>
    </row>
    <row r="4513" spans="28:28">
      <c r="AB4513" s="669"/>
    </row>
    <row r="4514" spans="28:28">
      <c r="AB4514" s="669"/>
    </row>
    <row r="4515" spans="28:28">
      <c r="AB4515" s="669"/>
    </row>
    <row r="4516" spans="28:28">
      <c r="AB4516" s="669"/>
    </row>
    <row r="4517" spans="28:28">
      <c r="AB4517" s="669"/>
    </row>
    <row r="4518" spans="28:28">
      <c r="AB4518" s="669"/>
    </row>
    <row r="4519" spans="28:28">
      <c r="AB4519" s="669"/>
    </row>
    <row r="4520" spans="28:28">
      <c r="AB4520" s="669"/>
    </row>
    <row r="4521" spans="28:28">
      <c r="AB4521" s="669"/>
    </row>
    <row r="4522" spans="28:28">
      <c r="AB4522" s="669"/>
    </row>
    <row r="4523" spans="28:28">
      <c r="AB4523" s="669"/>
    </row>
    <row r="4524" spans="28:28">
      <c r="AB4524" s="669"/>
    </row>
    <row r="4525" spans="28:28">
      <c r="AB4525" s="669"/>
    </row>
    <row r="4526" spans="28:28">
      <c r="AB4526" s="669"/>
    </row>
    <row r="4527" spans="28:28">
      <c r="AB4527" s="669"/>
    </row>
    <row r="4528" spans="28:28">
      <c r="AB4528" s="669"/>
    </row>
    <row r="4529" spans="28:28">
      <c r="AB4529" s="669"/>
    </row>
    <row r="4530" spans="28:28">
      <c r="AB4530" s="669"/>
    </row>
    <row r="4531" spans="28:28">
      <c r="AB4531" s="669"/>
    </row>
    <row r="4532" spans="28:28">
      <c r="AB4532" s="669"/>
    </row>
    <row r="4533" spans="28:28">
      <c r="AB4533" s="669"/>
    </row>
    <row r="4534" spans="28:28">
      <c r="AB4534" s="669"/>
    </row>
    <row r="4535" spans="28:28">
      <c r="AB4535" s="669"/>
    </row>
    <row r="4536" spans="28:28">
      <c r="AB4536" s="669"/>
    </row>
    <row r="4537" spans="28:28">
      <c r="AB4537" s="669"/>
    </row>
    <row r="4538" spans="28:28">
      <c r="AB4538" s="669"/>
    </row>
    <row r="4539" spans="28:28">
      <c r="AB4539" s="669"/>
    </row>
    <row r="4540" spans="28:28">
      <c r="AB4540" s="669"/>
    </row>
    <row r="4541" spans="28:28">
      <c r="AB4541" s="669"/>
    </row>
    <row r="4542" spans="28:28">
      <c r="AB4542" s="669"/>
    </row>
    <row r="4543" spans="28:28">
      <c r="AB4543" s="669"/>
    </row>
    <row r="4544" spans="28:28">
      <c r="AB4544" s="669"/>
    </row>
    <row r="4545" spans="28:28">
      <c r="AB4545" s="669"/>
    </row>
    <row r="4546" spans="28:28">
      <c r="AB4546" s="669"/>
    </row>
    <row r="4547" spans="28:28">
      <c r="AB4547" s="669"/>
    </row>
    <row r="4548" spans="28:28">
      <c r="AB4548" s="669"/>
    </row>
    <row r="4549" spans="28:28">
      <c r="AB4549" s="669"/>
    </row>
    <row r="4550" spans="28:28">
      <c r="AB4550" s="669"/>
    </row>
    <row r="4551" spans="28:28">
      <c r="AB4551" s="669"/>
    </row>
    <row r="4552" spans="28:28">
      <c r="AB4552" s="669"/>
    </row>
    <row r="4553" spans="28:28">
      <c r="AB4553" s="669"/>
    </row>
    <row r="4554" spans="28:28">
      <c r="AB4554" s="669"/>
    </row>
    <row r="4555" spans="28:28">
      <c r="AB4555" s="669"/>
    </row>
    <row r="4556" spans="28:28">
      <c r="AB4556" s="669"/>
    </row>
    <row r="4557" spans="28:28">
      <c r="AB4557" s="669"/>
    </row>
    <row r="4558" spans="28:28">
      <c r="AB4558" s="669"/>
    </row>
    <row r="4559" spans="28:28">
      <c r="AB4559" s="669"/>
    </row>
    <row r="4560" spans="28:28">
      <c r="AB4560" s="669"/>
    </row>
    <row r="4561" spans="28:28">
      <c r="AB4561" s="669"/>
    </row>
    <row r="4562" spans="28:28">
      <c r="AB4562" s="669"/>
    </row>
    <row r="4563" spans="28:28">
      <c r="AB4563" s="669"/>
    </row>
    <row r="4564" spans="28:28">
      <c r="AB4564" s="669"/>
    </row>
    <row r="4565" spans="28:28">
      <c r="AB4565" s="669"/>
    </row>
    <row r="4566" spans="28:28">
      <c r="AB4566" s="669"/>
    </row>
    <row r="4567" spans="28:28">
      <c r="AB4567" s="669"/>
    </row>
    <row r="4568" spans="28:28">
      <c r="AB4568" s="669"/>
    </row>
    <row r="4569" spans="28:28">
      <c r="AB4569" s="669"/>
    </row>
    <row r="4570" spans="28:28">
      <c r="AB4570" s="669"/>
    </row>
    <row r="4571" spans="28:28">
      <c r="AB4571" s="669"/>
    </row>
    <row r="4572" spans="28:28">
      <c r="AB4572" s="669"/>
    </row>
    <row r="4573" spans="28:28">
      <c r="AB4573" s="669"/>
    </row>
    <row r="4574" spans="28:28">
      <c r="AB4574" s="669"/>
    </row>
    <row r="4575" spans="28:28">
      <c r="AB4575" s="669"/>
    </row>
    <row r="4576" spans="28:28">
      <c r="AB4576" s="669"/>
    </row>
    <row r="4577" spans="28:28">
      <c r="AB4577" s="669"/>
    </row>
    <row r="4578" spans="28:28">
      <c r="AB4578" s="669"/>
    </row>
    <row r="4579" spans="28:28">
      <c r="AB4579" s="669"/>
    </row>
    <row r="4580" spans="28:28">
      <c r="AB4580" s="669"/>
    </row>
    <row r="4581" spans="28:28">
      <c r="AB4581" s="669"/>
    </row>
    <row r="4582" spans="28:28">
      <c r="AB4582" s="669"/>
    </row>
    <row r="4583" spans="28:28">
      <c r="AB4583" s="669"/>
    </row>
    <row r="4584" spans="28:28">
      <c r="AB4584" s="669"/>
    </row>
    <row r="4585" spans="28:28">
      <c r="AB4585" s="669"/>
    </row>
    <row r="4586" spans="28:28">
      <c r="AB4586" s="669"/>
    </row>
    <row r="4587" spans="28:28">
      <c r="AB4587" s="669"/>
    </row>
    <row r="4588" spans="28:28">
      <c r="AB4588" s="669"/>
    </row>
    <row r="4589" spans="28:28">
      <c r="AB4589" s="669"/>
    </row>
    <row r="4590" spans="28:28">
      <c r="AB4590" s="669"/>
    </row>
    <row r="4591" spans="28:28">
      <c r="AB4591" s="669"/>
    </row>
    <row r="4592" spans="28:28">
      <c r="AB4592" s="669"/>
    </row>
    <row r="4593" spans="28:28">
      <c r="AB4593" s="669"/>
    </row>
    <row r="4594" spans="28:28">
      <c r="AB4594" s="669"/>
    </row>
    <row r="4595" spans="28:28">
      <c r="AB4595" s="669"/>
    </row>
    <row r="4596" spans="28:28">
      <c r="AB4596" s="669"/>
    </row>
    <row r="4597" spans="28:28">
      <c r="AB4597" s="669"/>
    </row>
    <row r="4598" spans="28:28">
      <c r="AB4598" s="669"/>
    </row>
    <row r="4599" spans="28:28">
      <c r="AB4599" s="669"/>
    </row>
    <row r="4600" spans="28:28">
      <c r="AB4600" s="669"/>
    </row>
    <row r="4601" spans="28:28">
      <c r="AB4601" s="669"/>
    </row>
    <row r="4602" spans="28:28">
      <c r="AB4602" s="669"/>
    </row>
    <row r="4603" spans="28:28">
      <c r="AB4603" s="669"/>
    </row>
    <row r="4604" spans="28:28">
      <c r="AB4604" s="669"/>
    </row>
    <row r="4605" spans="28:28">
      <c r="AB4605" s="669"/>
    </row>
    <row r="4606" spans="28:28">
      <c r="AB4606" s="669"/>
    </row>
    <row r="4607" spans="28:28">
      <c r="AB4607" s="669"/>
    </row>
    <row r="4608" spans="28:28">
      <c r="AB4608" s="669"/>
    </row>
    <row r="4609" spans="28:28">
      <c r="AB4609" s="669"/>
    </row>
    <row r="4610" spans="28:28">
      <c r="AB4610" s="669"/>
    </row>
    <row r="4611" spans="28:28">
      <c r="AB4611" s="669"/>
    </row>
    <row r="4612" spans="28:28">
      <c r="AB4612" s="669"/>
    </row>
    <row r="4613" spans="28:28">
      <c r="AB4613" s="669"/>
    </row>
    <row r="4614" spans="28:28">
      <c r="AB4614" s="669"/>
    </row>
    <row r="4615" spans="28:28">
      <c r="AB4615" s="669"/>
    </row>
    <row r="4616" spans="28:28">
      <c r="AB4616" s="669"/>
    </row>
    <row r="4617" spans="28:28">
      <c r="AB4617" s="669"/>
    </row>
    <row r="4618" spans="28:28">
      <c r="AB4618" s="669"/>
    </row>
    <row r="4619" spans="28:28">
      <c r="AB4619" s="669"/>
    </row>
    <row r="4620" spans="28:28">
      <c r="AB4620" s="669"/>
    </row>
    <row r="4621" spans="28:28">
      <c r="AB4621" s="669"/>
    </row>
    <row r="4622" spans="28:28">
      <c r="AB4622" s="669"/>
    </row>
    <row r="4623" spans="28:28">
      <c r="AB4623" s="669"/>
    </row>
    <row r="4624" spans="28:28">
      <c r="AB4624" s="669"/>
    </row>
    <row r="4625" spans="28:28">
      <c r="AB4625" s="669"/>
    </row>
    <row r="4626" spans="28:28">
      <c r="AB4626" s="669"/>
    </row>
    <row r="4627" spans="28:28">
      <c r="AB4627" s="669"/>
    </row>
    <row r="4628" spans="28:28">
      <c r="AB4628" s="669"/>
    </row>
    <row r="4629" spans="28:28">
      <c r="AB4629" s="669"/>
    </row>
    <row r="4630" spans="28:28">
      <c r="AB4630" s="669"/>
    </row>
    <row r="4631" spans="28:28">
      <c r="AB4631" s="669"/>
    </row>
    <row r="4632" spans="28:28">
      <c r="AB4632" s="669"/>
    </row>
    <row r="4633" spans="28:28">
      <c r="AB4633" s="669"/>
    </row>
    <row r="4634" spans="28:28">
      <c r="AB4634" s="669"/>
    </row>
    <row r="4635" spans="28:28">
      <c r="AB4635" s="669"/>
    </row>
    <row r="4636" spans="28:28">
      <c r="AB4636" s="669"/>
    </row>
    <row r="4637" spans="28:28">
      <c r="AB4637" s="669"/>
    </row>
    <row r="4638" spans="28:28">
      <c r="AB4638" s="669"/>
    </row>
    <row r="4639" spans="28:28">
      <c r="AB4639" s="669"/>
    </row>
    <row r="4640" spans="28:28">
      <c r="AB4640" s="669"/>
    </row>
    <row r="4641" spans="28:28">
      <c r="AB4641" s="669"/>
    </row>
    <row r="4642" spans="28:28">
      <c r="AB4642" s="669"/>
    </row>
    <row r="4643" spans="28:28">
      <c r="AB4643" s="669"/>
    </row>
    <row r="4644" spans="28:28">
      <c r="AB4644" s="669"/>
    </row>
    <row r="4645" spans="28:28">
      <c r="AB4645" s="669"/>
    </row>
    <row r="4646" spans="28:28">
      <c r="AB4646" s="669"/>
    </row>
    <row r="4647" spans="28:28">
      <c r="AB4647" s="669"/>
    </row>
    <row r="4648" spans="28:28">
      <c r="AB4648" s="669"/>
    </row>
    <row r="4649" spans="28:28">
      <c r="AB4649" s="669"/>
    </row>
    <row r="4650" spans="28:28">
      <c r="AB4650" s="669"/>
    </row>
    <row r="4651" spans="28:28">
      <c r="AB4651" s="669"/>
    </row>
    <row r="4652" spans="28:28">
      <c r="AB4652" s="669"/>
    </row>
    <row r="4653" spans="28:28">
      <c r="AB4653" s="669"/>
    </row>
    <row r="4654" spans="28:28">
      <c r="AB4654" s="669"/>
    </row>
    <row r="4655" spans="28:28">
      <c r="AB4655" s="669"/>
    </row>
    <row r="4656" spans="28:28">
      <c r="AB4656" s="669"/>
    </row>
    <row r="4657" spans="28:28">
      <c r="AB4657" s="669"/>
    </row>
    <row r="4658" spans="28:28">
      <c r="AB4658" s="669"/>
    </row>
    <row r="4659" spans="28:28">
      <c r="AB4659" s="669"/>
    </row>
    <row r="4660" spans="28:28">
      <c r="AB4660" s="669"/>
    </row>
    <row r="4661" spans="28:28">
      <c r="AB4661" s="669"/>
    </row>
    <row r="4662" spans="28:28">
      <c r="AB4662" s="669"/>
    </row>
    <row r="4663" spans="28:28">
      <c r="AB4663" s="669"/>
    </row>
    <row r="4664" spans="28:28">
      <c r="AB4664" s="669"/>
    </row>
    <row r="4665" spans="28:28">
      <c r="AB4665" s="669"/>
    </row>
    <row r="4666" spans="28:28">
      <c r="AB4666" s="669"/>
    </row>
    <row r="4667" spans="28:28">
      <c r="AB4667" s="669"/>
    </row>
    <row r="4668" spans="28:28">
      <c r="AB4668" s="669"/>
    </row>
    <row r="4669" spans="28:28">
      <c r="AB4669" s="669"/>
    </row>
    <row r="4670" spans="28:28">
      <c r="AB4670" s="669"/>
    </row>
    <row r="4671" spans="28:28">
      <c r="AB4671" s="669"/>
    </row>
    <row r="4672" spans="28:28">
      <c r="AB4672" s="669"/>
    </row>
    <row r="4673" spans="28:28">
      <c r="AB4673" s="669"/>
    </row>
    <row r="4674" spans="28:28">
      <c r="AB4674" s="669"/>
    </row>
    <row r="4675" spans="28:28">
      <c r="AB4675" s="669"/>
    </row>
    <row r="4676" spans="28:28">
      <c r="AB4676" s="669"/>
    </row>
    <row r="4677" spans="28:28">
      <c r="AB4677" s="669"/>
    </row>
    <row r="4678" spans="28:28">
      <c r="AB4678" s="669"/>
    </row>
    <row r="4679" spans="28:28">
      <c r="AB4679" s="669"/>
    </row>
    <row r="4680" spans="28:28">
      <c r="AB4680" s="669"/>
    </row>
    <row r="4681" spans="28:28">
      <c r="AB4681" s="669"/>
    </row>
    <row r="4682" spans="28:28">
      <c r="AB4682" s="669"/>
    </row>
    <row r="4683" spans="28:28">
      <c r="AB4683" s="669"/>
    </row>
    <row r="4684" spans="28:28">
      <c r="AB4684" s="669"/>
    </row>
    <row r="4685" spans="28:28">
      <c r="AB4685" s="669"/>
    </row>
    <row r="4686" spans="28:28">
      <c r="AB4686" s="669"/>
    </row>
    <row r="4687" spans="28:28">
      <c r="AB4687" s="669"/>
    </row>
    <row r="4688" spans="28:28">
      <c r="AB4688" s="669"/>
    </row>
    <row r="4689" spans="28:28">
      <c r="AB4689" s="669"/>
    </row>
    <row r="4690" spans="28:28">
      <c r="AB4690" s="669"/>
    </row>
    <row r="4691" spans="28:28">
      <c r="AB4691" s="669"/>
    </row>
    <row r="4692" spans="28:28">
      <c r="AB4692" s="669"/>
    </row>
    <row r="4693" spans="28:28">
      <c r="AB4693" s="669"/>
    </row>
    <row r="4694" spans="28:28">
      <c r="AB4694" s="669"/>
    </row>
    <row r="4695" spans="28:28">
      <c r="AB4695" s="669"/>
    </row>
    <row r="4696" spans="28:28">
      <c r="AB4696" s="669"/>
    </row>
    <row r="4697" spans="28:28">
      <c r="AB4697" s="669"/>
    </row>
    <row r="4698" spans="28:28">
      <c r="AB4698" s="669"/>
    </row>
    <row r="4699" spans="28:28">
      <c r="AB4699" s="669"/>
    </row>
    <row r="4700" spans="28:28">
      <c r="AB4700" s="669"/>
    </row>
    <row r="4701" spans="28:28">
      <c r="AB4701" s="669"/>
    </row>
    <row r="4702" spans="28:28">
      <c r="AB4702" s="669"/>
    </row>
    <row r="4703" spans="28:28">
      <c r="AB4703" s="669"/>
    </row>
    <row r="4704" spans="28:28">
      <c r="AB4704" s="669"/>
    </row>
    <row r="4705" spans="28:28">
      <c r="AB4705" s="669"/>
    </row>
    <row r="4706" spans="28:28">
      <c r="AB4706" s="669"/>
    </row>
    <row r="4707" spans="28:28">
      <c r="AB4707" s="669"/>
    </row>
    <row r="4708" spans="28:28">
      <c r="AB4708" s="669"/>
    </row>
    <row r="4709" spans="28:28">
      <c r="AB4709" s="669"/>
    </row>
    <row r="4710" spans="28:28">
      <c r="AB4710" s="669"/>
    </row>
    <row r="4711" spans="28:28">
      <c r="AB4711" s="669"/>
    </row>
    <row r="4712" spans="28:28">
      <c r="AB4712" s="669"/>
    </row>
    <row r="4713" spans="28:28">
      <c r="AB4713" s="669"/>
    </row>
    <row r="4714" spans="28:28">
      <c r="AB4714" s="669"/>
    </row>
    <row r="4715" spans="28:28">
      <c r="AB4715" s="669"/>
    </row>
    <row r="4716" spans="28:28">
      <c r="AB4716" s="669"/>
    </row>
    <row r="4717" spans="28:28">
      <c r="AB4717" s="669"/>
    </row>
    <row r="4718" spans="28:28">
      <c r="AB4718" s="669"/>
    </row>
    <row r="4719" spans="28:28">
      <c r="AB4719" s="669"/>
    </row>
    <row r="4720" spans="28:28">
      <c r="AB4720" s="669"/>
    </row>
    <row r="4721" spans="28:28">
      <c r="AB4721" s="669"/>
    </row>
    <row r="4722" spans="28:28">
      <c r="AB4722" s="669"/>
    </row>
    <row r="4723" spans="28:28">
      <c r="AB4723" s="669"/>
    </row>
    <row r="4724" spans="28:28">
      <c r="AB4724" s="669"/>
    </row>
    <row r="4725" spans="28:28">
      <c r="AB4725" s="669"/>
    </row>
    <row r="4726" spans="28:28">
      <c r="AB4726" s="669"/>
    </row>
    <row r="4727" spans="28:28">
      <c r="AB4727" s="669"/>
    </row>
    <row r="4728" spans="28:28">
      <c r="AB4728" s="669"/>
    </row>
    <row r="4729" spans="28:28">
      <c r="AB4729" s="669"/>
    </row>
    <row r="4730" spans="28:28">
      <c r="AB4730" s="669"/>
    </row>
    <row r="4731" spans="28:28">
      <c r="AB4731" s="669"/>
    </row>
    <row r="4732" spans="28:28">
      <c r="AB4732" s="669"/>
    </row>
    <row r="4733" spans="28:28">
      <c r="AB4733" s="669"/>
    </row>
    <row r="4734" spans="28:28">
      <c r="AB4734" s="669"/>
    </row>
    <row r="4735" spans="28:28">
      <c r="AB4735" s="669"/>
    </row>
    <row r="4736" spans="28:28">
      <c r="AB4736" s="669"/>
    </row>
    <row r="4737" spans="28:28">
      <c r="AB4737" s="669"/>
    </row>
    <row r="4738" spans="28:28">
      <c r="AB4738" s="669"/>
    </row>
    <row r="4739" spans="28:28">
      <c r="AB4739" s="669"/>
    </row>
    <row r="4740" spans="28:28">
      <c r="AB4740" s="669"/>
    </row>
    <row r="4741" spans="28:28">
      <c r="AB4741" s="669"/>
    </row>
    <row r="4742" spans="28:28">
      <c r="AB4742" s="669"/>
    </row>
    <row r="4743" spans="28:28">
      <c r="AB4743" s="669"/>
    </row>
    <row r="4744" spans="28:28">
      <c r="AB4744" s="669"/>
    </row>
    <row r="4745" spans="28:28">
      <c r="AB4745" s="669"/>
    </row>
    <row r="4746" spans="28:28">
      <c r="AB4746" s="669"/>
    </row>
    <row r="4747" spans="28:28">
      <c r="AB4747" s="669"/>
    </row>
    <row r="4748" spans="28:28">
      <c r="AB4748" s="669"/>
    </row>
    <row r="4749" spans="28:28">
      <c r="AB4749" s="669"/>
    </row>
    <row r="4750" spans="28:28">
      <c r="AB4750" s="669"/>
    </row>
    <row r="4751" spans="28:28">
      <c r="AB4751" s="669"/>
    </row>
    <row r="4752" spans="28:28">
      <c r="AB4752" s="669"/>
    </row>
    <row r="4753" spans="28:28">
      <c r="AB4753" s="669"/>
    </row>
    <row r="4754" spans="28:28">
      <c r="AB4754" s="669"/>
    </row>
    <row r="4755" spans="28:28">
      <c r="AB4755" s="669"/>
    </row>
    <row r="4756" spans="28:28">
      <c r="AB4756" s="669"/>
    </row>
    <row r="4757" spans="28:28">
      <c r="AB4757" s="669"/>
    </row>
    <row r="4758" spans="28:28">
      <c r="AB4758" s="669"/>
    </row>
    <row r="4759" spans="28:28">
      <c r="AB4759" s="669"/>
    </row>
    <row r="4760" spans="28:28">
      <c r="AB4760" s="669"/>
    </row>
    <row r="4761" spans="28:28">
      <c r="AB4761" s="669"/>
    </row>
    <row r="4762" spans="28:28">
      <c r="AB4762" s="669"/>
    </row>
    <row r="4763" spans="28:28">
      <c r="AB4763" s="669"/>
    </row>
    <row r="4764" spans="28:28">
      <c r="AB4764" s="669"/>
    </row>
    <row r="4765" spans="28:28">
      <c r="AB4765" s="669"/>
    </row>
    <row r="4766" spans="28:28">
      <c r="AB4766" s="669"/>
    </row>
    <row r="4767" spans="28:28">
      <c r="AB4767" s="669"/>
    </row>
    <row r="4768" spans="28:28">
      <c r="AB4768" s="669"/>
    </row>
    <row r="4769" spans="28:28">
      <c r="AB4769" s="669"/>
    </row>
    <row r="4770" spans="28:28">
      <c r="AB4770" s="669"/>
    </row>
    <row r="4771" spans="28:28">
      <c r="AB4771" s="669"/>
    </row>
    <row r="4772" spans="28:28">
      <c r="AB4772" s="669"/>
    </row>
    <row r="4773" spans="28:28">
      <c r="AB4773" s="669"/>
    </row>
    <row r="4774" spans="28:28">
      <c r="AB4774" s="669"/>
    </row>
    <row r="4775" spans="28:28">
      <c r="AB4775" s="669"/>
    </row>
    <row r="4776" spans="28:28">
      <c r="AB4776" s="669"/>
    </row>
    <row r="4777" spans="28:28">
      <c r="AB4777" s="669"/>
    </row>
    <row r="4778" spans="28:28">
      <c r="AB4778" s="669"/>
    </row>
    <row r="4779" spans="28:28">
      <c r="AB4779" s="669"/>
    </row>
    <row r="4780" spans="28:28">
      <c r="AB4780" s="669"/>
    </row>
    <row r="4781" spans="28:28">
      <c r="AB4781" s="669"/>
    </row>
    <row r="4782" spans="28:28">
      <c r="AB4782" s="669"/>
    </row>
    <row r="4783" spans="28:28">
      <c r="AB4783" s="669"/>
    </row>
    <row r="4784" spans="28:28">
      <c r="AB4784" s="669"/>
    </row>
    <row r="4785" spans="28:28">
      <c r="AB4785" s="669"/>
    </row>
    <row r="4786" spans="28:28">
      <c r="AB4786" s="669"/>
    </row>
    <row r="4787" spans="28:28">
      <c r="AB4787" s="669"/>
    </row>
    <row r="4788" spans="28:28">
      <c r="AB4788" s="669"/>
    </row>
    <row r="4789" spans="28:28">
      <c r="AB4789" s="669"/>
    </row>
    <row r="4790" spans="28:28">
      <c r="AB4790" s="669"/>
    </row>
    <row r="4791" spans="28:28">
      <c r="AB4791" s="669"/>
    </row>
    <row r="4792" spans="28:28">
      <c r="AB4792" s="669"/>
    </row>
    <row r="4793" spans="28:28">
      <c r="AB4793" s="669"/>
    </row>
    <row r="4794" spans="28:28">
      <c r="AB4794" s="669"/>
    </row>
    <row r="4795" spans="28:28">
      <c r="AB4795" s="669"/>
    </row>
    <row r="4796" spans="28:28">
      <c r="AB4796" s="669"/>
    </row>
    <row r="4797" spans="28:28">
      <c r="AB4797" s="669"/>
    </row>
    <row r="4798" spans="28:28">
      <c r="AB4798" s="669"/>
    </row>
    <row r="4799" spans="28:28">
      <c r="AB4799" s="669"/>
    </row>
    <row r="4800" spans="28:28">
      <c r="AB4800" s="669"/>
    </row>
    <row r="4801" spans="28:28">
      <c r="AB4801" s="669"/>
    </row>
    <row r="4802" spans="28:28">
      <c r="AB4802" s="669"/>
    </row>
    <row r="4803" spans="28:28">
      <c r="AB4803" s="669"/>
    </row>
    <row r="4804" spans="28:28">
      <c r="AB4804" s="669"/>
    </row>
    <row r="4805" spans="28:28">
      <c r="AB4805" s="669"/>
    </row>
    <row r="4806" spans="28:28">
      <c r="AB4806" s="669"/>
    </row>
    <row r="4807" spans="28:28">
      <c r="AB4807" s="669"/>
    </row>
    <row r="4808" spans="28:28">
      <c r="AB4808" s="669"/>
    </row>
    <row r="4809" spans="28:28">
      <c r="AB4809" s="669"/>
    </row>
    <row r="4810" spans="28:28">
      <c r="AB4810" s="669"/>
    </row>
    <row r="4811" spans="28:28">
      <c r="AB4811" s="669"/>
    </row>
    <row r="4812" spans="28:28">
      <c r="AB4812" s="669"/>
    </row>
    <row r="4813" spans="28:28">
      <c r="AB4813" s="669"/>
    </row>
    <row r="4814" spans="28:28">
      <c r="AB4814" s="669"/>
    </row>
    <row r="4815" spans="28:28">
      <c r="AB4815" s="669"/>
    </row>
    <row r="4816" spans="28:28">
      <c r="AB4816" s="669"/>
    </row>
    <row r="4817" spans="28:28">
      <c r="AB4817" s="669"/>
    </row>
    <row r="4818" spans="28:28">
      <c r="AB4818" s="669"/>
    </row>
    <row r="4819" spans="28:28">
      <c r="AB4819" s="669"/>
    </row>
    <row r="4820" spans="28:28">
      <c r="AB4820" s="669"/>
    </row>
    <row r="4821" spans="28:28">
      <c r="AB4821" s="669"/>
    </row>
    <row r="4822" spans="28:28">
      <c r="AB4822" s="669"/>
    </row>
    <row r="4823" spans="28:28">
      <c r="AB4823" s="669"/>
    </row>
    <row r="4824" spans="28:28">
      <c r="AB4824" s="669"/>
    </row>
    <row r="4825" spans="28:28">
      <c r="AB4825" s="669"/>
    </row>
    <row r="4826" spans="28:28">
      <c r="AB4826" s="669"/>
    </row>
    <row r="4827" spans="28:28">
      <c r="AB4827" s="669"/>
    </row>
    <row r="4828" spans="28:28">
      <c r="AB4828" s="669"/>
    </row>
    <row r="4829" spans="28:28">
      <c r="AB4829" s="669"/>
    </row>
    <row r="4830" spans="28:28">
      <c r="AB4830" s="669"/>
    </row>
    <row r="4831" spans="28:28">
      <c r="AB4831" s="669"/>
    </row>
    <row r="4832" spans="28:28">
      <c r="AB4832" s="669"/>
    </row>
    <row r="4833" spans="28:28">
      <c r="AB4833" s="669"/>
    </row>
    <row r="4834" spans="28:28">
      <c r="AB4834" s="669"/>
    </row>
    <row r="4835" spans="28:28">
      <c r="AB4835" s="669"/>
    </row>
    <row r="4836" spans="28:28">
      <c r="AB4836" s="669"/>
    </row>
    <row r="4837" spans="28:28">
      <c r="AB4837" s="669"/>
    </row>
    <row r="4838" spans="28:28">
      <c r="AB4838" s="669"/>
    </row>
    <row r="4839" spans="28:28">
      <c r="AB4839" s="669"/>
    </row>
    <row r="4840" spans="28:28">
      <c r="AB4840" s="669"/>
    </row>
    <row r="4841" spans="28:28">
      <c r="AB4841" s="669"/>
    </row>
    <row r="4842" spans="28:28">
      <c r="AB4842" s="669"/>
    </row>
    <row r="4843" spans="28:28">
      <c r="AB4843" s="669"/>
    </row>
    <row r="4844" spans="28:28">
      <c r="AB4844" s="669"/>
    </row>
    <row r="4845" spans="28:28">
      <c r="AB4845" s="669"/>
    </row>
    <row r="4846" spans="28:28">
      <c r="AB4846" s="669"/>
    </row>
    <row r="4847" spans="28:28">
      <c r="AB4847" s="669"/>
    </row>
    <row r="4848" spans="28:28">
      <c r="AB4848" s="669"/>
    </row>
    <row r="4849" spans="28:28">
      <c r="AB4849" s="669"/>
    </row>
    <row r="4850" spans="28:28">
      <c r="AB4850" s="669"/>
    </row>
    <row r="4851" spans="28:28">
      <c r="AB4851" s="669"/>
    </row>
    <row r="4852" spans="28:28">
      <c r="AB4852" s="669"/>
    </row>
    <row r="4853" spans="28:28">
      <c r="AB4853" s="669"/>
    </row>
    <row r="4854" spans="28:28">
      <c r="AB4854" s="669"/>
    </row>
    <row r="4855" spans="28:28">
      <c r="AB4855" s="669"/>
    </row>
    <row r="4856" spans="28:28">
      <c r="AB4856" s="669"/>
    </row>
    <row r="4857" spans="28:28">
      <c r="AB4857" s="669"/>
    </row>
    <row r="4858" spans="28:28">
      <c r="AB4858" s="669"/>
    </row>
    <row r="4859" spans="28:28">
      <c r="AB4859" s="669"/>
    </row>
    <row r="4860" spans="28:28">
      <c r="AB4860" s="669"/>
    </row>
    <row r="4861" spans="28:28">
      <c r="AB4861" s="669"/>
    </row>
    <row r="4862" spans="28:28">
      <c r="AB4862" s="669"/>
    </row>
    <row r="4863" spans="28:28">
      <c r="AB4863" s="669"/>
    </row>
    <row r="4864" spans="28:28">
      <c r="AB4864" s="669"/>
    </row>
    <row r="4865" spans="28:28">
      <c r="AB4865" s="669"/>
    </row>
    <row r="4866" spans="28:28">
      <c r="AB4866" s="669"/>
    </row>
    <row r="4867" spans="28:28">
      <c r="AB4867" s="669"/>
    </row>
    <row r="4868" spans="28:28">
      <c r="AB4868" s="669"/>
    </row>
    <row r="4869" spans="28:28">
      <c r="AB4869" s="669"/>
    </row>
    <row r="4870" spans="28:28">
      <c r="AB4870" s="669"/>
    </row>
    <row r="4871" spans="28:28">
      <c r="AB4871" s="669"/>
    </row>
    <row r="4872" spans="28:28">
      <c r="AB4872" s="669"/>
    </row>
    <row r="4873" spans="28:28">
      <c r="AB4873" s="669"/>
    </row>
    <row r="4874" spans="28:28">
      <c r="AB4874" s="669"/>
    </row>
    <row r="4875" spans="28:28">
      <c r="AB4875" s="669"/>
    </row>
    <row r="4876" spans="28:28">
      <c r="AB4876" s="669"/>
    </row>
    <row r="4877" spans="28:28">
      <c r="AB4877" s="669"/>
    </row>
    <row r="4878" spans="28:28">
      <c r="AB4878" s="669"/>
    </row>
    <row r="4879" spans="28:28">
      <c r="AB4879" s="669"/>
    </row>
    <row r="4880" spans="28:28">
      <c r="AB4880" s="669"/>
    </row>
    <row r="4881" spans="28:28">
      <c r="AB4881" s="669"/>
    </row>
    <row r="4882" spans="28:28">
      <c r="AB4882" s="669"/>
    </row>
    <row r="4883" spans="28:28">
      <c r="AB4883" s="669"/>
    </row>
    <row r="4884" spans="28:28">
      <c r="AB4884" s="669"/>
    </row>
    <row r="4885" spans="28:28">
      <c r="AB4885" s="669"/>
    </row>
    <row r="4886" spans="28:28">
      <c r="AB4886" s="669"/>
    </row>
    <row r="4887" spans="28:28">
      <c r="AB4887" s="669"/>
    </row>
    <row r="4888" spans="28:28">
      <c r="AB4888" s="669"/>
    </row>
    <row r="4889" spans="28:28">
      <c r="AB4889" s="669"/>
    </row>
    <row r="4890" spans="28:28">
      <c r="AB4890" s="669"/>
    </row>
    <row r="4891" spans="28:28">
      <c r="AB4891" s="669"/>
    </row>
    <row r="4892" spans="28:28">
      <c r="AB4892" s="669"/>
    </row>
    <row r="4893" spans="28:28">
      <c r="AB4893" s="669"/>
    </row>
    <row r="4894" spans="28:28">
      <c r="AB4894" s="669"/>
    </row>
    <row r="4895" spans="28:28">
      <c r="AB4895" s="669"/>
    </row>
    <row r="4896" spans="28:28">
      <c r="AB4896" s="669"/>
    </row>
    <row r="4897" spans="28:28">
      <c r="AB4897" s="669"/>
    </row>
    <row r="4898" spans="28:28">
      <c r="AB4898" s="669"/>
    </row>
    <row r="4899" spans="28:28">
      <c r="AB4899" s="669"/>
    </row>
    <row r="4900" spans="28:28">
      <c r="AB4900" s="669"/>
    </row>
    <row r="4901" spans="28:28">
      <c r="AB4901" s="669"/>
    </row>
    <row r="4902" spans="28:28">
      <c r="AB4902" s="669"/>
    </row>
    <row r="4903" spans="28:28">
      <c r="AB4903" s="669"/>
    </row>
    <row r="4904" spans="28:28">
      <c r="AB4904" s="669"/>
    </row>
    <row r="4905" spans="28:28">
      <c r="AB4905" s="669"/>
    </row>
    <row r="4906" spans="28:28">
      <c r="AB4906" s="669"/>
    </row>
    <row r="4907" spans="28:28">
      <c r="AB4907" s="669"/>
    </row>
    <row r="4908" spans="28:28">
      <c r="AB4908" s="669"/>
    </row>
    <row r="4909" spans="28:28">
      <c r="AB4909" s="669"/>
    </row>
    <row r="4910" spans="28:28">
      <c r="AB4910" s="669"/>
    </row>
    <row r="4911" spans="28:28">
      <c r="AB4911" s="669"/>
    </row>
    <row r="4912" spans="28:28">
      <c r="AB4912" s="669"/>
    </row>
    <row r="4913" spans="28:28">
      <c r="AB4913" s="669"/>
    </row>
    <row r="4914" spans="28:28">
      <c r="AB4914" s="669"/>
    </row>
    <row r="4915" spans="28:28">
      <c r="AB4915" s="669"/>
    </row>
    <row r="4916" spans="28:28">
      <c r="AB4916" s="669"/>
    </row>
    <row r="4917" spans="28:28">
      <c r="AB4917" s="669"/>
    </row>
    <row r="4918" spans="28:28">
      <c r="AB4918" s="669"/>
    </row>
    <row r="4919" spans="28:28">
      <c r="AB4919" s="669"/>
    </row>
    <row r="4920" spans="28:28">
      <c r="AB4920" s="669"/>
    </row>
    <row r="4921" spans="28:28">
      <c r="AB4921" s="669"/>
    </row>
    <row r="4922" spans="28:28">
      <c r="AB4922" s="669"/>
    </row>
    <row r="4923" spans="28:28">
      <c r="AB4923" s="669"/>
    </row>
    <row r="4924" spans="28:28">
      <c r="AB4924" s="669"/>
    </row>
    <row r="4925" spans="28:28">
      <c r="AB4925" s="669"/>
    </row>
    <row r="4926" spans="28:28">
      <c r="AB4926" s="669"/>
    </row>
    <row r="4927" spans="28:28">
      <c r="AB4927" s="669"/>
    </row>
    <row r="4928" spans="28:28">
      <c r="AB4928" s="669"/>
    </row>
    <row r="4929" spans="28:28">
      <c r="AB4929" s="669"/>
    </row>
    <row r="4930" spans="28:28">
      <c r="AB4930" s="669"/>
    </row>
    <row r="4931" spans="28:28">
      <c r="AB4931" s="669"/>
    </row>
    <row r="4932" spans="28:28">
      <c r="AB4932" s="669"/>
    </row>
    <row r="4933" spans="28:28">
      <c r="AB4933" s="669"/>
    </row>
    <row r="4934" spans="28:28">
      <c r="AB4934" s="669"/>
    </row>
    <row r="4935" spans="28:28">
      <c r="AB4935" s="669"/>
    </row>
    <row r="4936" spans="28:28">
      <c r="AB4936" s="669"/>
    </row>
    <row r="4937" spans="28:28">
      <c r="AB4937" s="669"/>
    </row>
    <row r="4938" spans="28:28">
      <c r="AB4938" s="669"/>
    </row>
    <row r="4939" spans="28:28">
      <c r="AB4939" s="669"/>
    </row>
    <row r="4940" spans="28:28">
      <c r="AB4940" s="669"/>
    </row>
    <row r="4941" spans="28:28">
      <c r="AB4941" s="669"/>
    </row>
    <row r="4942" spans="28:28">
      <c r="AB4942" s="669"/>
    </row>
    <row r="4943" spans="28:28">
      <c r="AB4943" s="669"/>
    </row>
    <row r="4944" spans="28:28">
      <c r="AB4944" s="669"/>
    </row>
    <row r="4945" spans="28:28">
      <c r="AB4945" s="669"/>
    </row>
    <row r="4946" spans="28:28">
      <c r="AB4946" s="669"/>
    </row>
    <row r="4947" spans="28:28">
      <c r="AB4947" s="669"/>
    </row>
    <row r="4948" spans="28:28">
      <c r="AB4948" s="669"/>
    </row>
    <row r="4949" spans="28:28">
      <c r="AB4949" s="669"/>
    </row>
    <row r="4950" spans="28:28">
      <c r="AB4950" s="669"/>
    </row>
    <row r="4951" spans="28:28">
      <c r="AB4951" s="669"/>
    </row>
    <row r="4952" spans="28:28">
      <c r="AB4952" s="669"/>
    </row>
    <row r="4953" spans="28:28">
      <c r="AB4953" s="669"/>
    </row>
    <row r="4954" spans="28:28">
      <c r="AB4954" s="669"/>
    </row>
    <row r="4955" spans="28:28">
      <c r="AB4955" s="669"/>
    </row>
    <row r="4956" spans="28:28">
      <c r="AB4956" s="669"/>
    </row>
    <row r="4957" spans="28:28">
      <c r="AB4957" s="669"/>
    </row>
    <row r="4958" spans="28:28">
      <c r="AB4958" s="669"/>
    </row>
    <row r="4959" spans="28:28">
      <c r="AB4959" s="669"/>
    </row>
    <row r="4960" spans="28:28">
      <c r="AB4960" s="669"/>
    </row>
    <row r="4961" spans="28:28">
      <c r="AB4961" s="669"/>
    </row>
    <row r="4962" spans="28:28">
      <c r="AB4962" s="669"/>
    </row>
    <row r="4963" spans="28:28">
      <c r="AB4963" s="669"/>
    </row>
    <row r="4964" spans="28:28">
      <c r="AB4964" s="669"/>
    </row>
    <row r="4965" spans="28:28">
      <c r="AB4965" s="669"/>
    </row>
    <row r="4966" spans="28:28">
      <c r="AB4966" s="669"/>
    </row>
    <row r="4967" spans="28:28">
      <c r="AB4967" s="669"/>
    </row>
    <row r="4968" spans="28:28">
      <c r="AB4968" s="669"/>
    </row>
    <row r="4969" spans="28:28">
      <c r="AB4969" s="669"/>
    </row>
    <row r="4970" spans="28:28">
      <c r="AB4970" s="669"/>
    </row>
    <row r="4971" spans="28:28">
      <c r="AB4971" s="669"/>
    </row>
    <row r="4972" spans="28:28">
      <c r="AB4972" s="669"/>
    </row>
    <row r="4973" spans="28:28">
      <c r="AB4973" s="669"/>
    </row>
    <row r="4974" spans="28:28">
      <c r="AB4974" s="669"/>
    </row>
    <row r="4975" spans="28:28">
      <c r="AB4975" s="669"/>
    </row>
    <row r="4976" spans="28:28">
      <c r="AB4976" s="669"/>
    </row>
    <row r="4977" spans="28:28">
      <c r="AB4977" s="669"/>
    </row>
    <row r="4978" spans="28:28">
      <c r="AB4978" s="669"/>
    </row>
    <row r="4979" spans="28:28">
      <c r="AB4979" s="669"/>
    </row>
    <row r="4980" spans="28:28">
      <c r="AB4980" s="669"/>
    </row>
    <row r="4981" spans="28:28">
      <c r="AB4981" s="669"/>
    </row>
    <row r="4982" spans="28:28">
      <c r="AB4982" s="669"/>
    </row>
    <row r="4983" spans="28:28">
      <c r="AB4983" s="669"/>
    </row>
    <row r="4984" spans="28:28">
      <c r="AB4984" s="669"/>
    </row>
    <row r="4985" spans="28:28">
      <c r="AB4985" s="669"/>
    </row>
    <row r="4986" spans="28:28">
      <c r="AB4986" s="669"/>
    </row>
    <row r="4987" spans="28:28">
      <c r="AB4987" s="669"/>
    </row>
    <row r="4988" spans="28:28">
      <c r="AB4988" s="669"/>
    </row>
    <row r="4989" spans="28:28">
      <c r="AB4989" s="669"/>
    </row>
    <row r="4990" spans="28:28">
      <c r="AB4990" s="669"/>
    </row>
    <row r="4991" spans="28:28">
      <c r="AB4991" s="669"/>
    </row>
    <row r="4992" spans="28:28">
      <c r="AB4992" s="669"/>
    </row>
    <row r="4993" spans="28:28">
      <c r="AB4993" s="669"/>
    </row>
    <row r="4994" spans="28:28">
      <c r="AB4994" s="669"/>
    </row>
    <row r="4995" spans="28:28">
      <c r="AB4995" s="669"/>
    </row>
    <row r="4996" spans="28:28">
      <c r="AB4996" s="669"/>
    </row>
    <row r="4997" spans="28:28">
      <c r="AB4997" s="669"/>
    </row>
    <row r="4998" spans="28:28">
      <c r="AB4998" s="669"/>
    </row>
    <row r="4999" spans="28:28">
      <c r="AB4999" s="669"/>
    </row>
    <row r="5000" spans="28:28">
      <c r="AB5000" s="669"/>
    </row>
    <row r="5001" spans="28:28">
      <c r="AB5001" s="669"/>
    </row>
    <row r="5002" spans="28:28">
      <c r="AB5002" s="669"/>
    </row>
    <row r="5003" spans="28:28">
      <c r="AB5003" s="669"/>
    </row>
    <row r="5004" spans="28:28">
      <c r="AB5004" s="669"/>
    </row>
    <row r="5005" spans="28:28">
      <c r="AB5005" s="669"/>
    </row>
    <row r="5006" spans="28:28">
      <c r="AB5006" s="669"/>
    </row>
    <row r="5007" spans="28:28">
      <c r="AB5007" s="669"/>
    </row>
    <row r="5008" spans="28:28">
      <c r="AB5008" s="669"/>
    </row>
    <row r="5009" spans="28:28">
      <c r="AB5009" s="669"/>
    </row>
    <row r="5010" spans="28:28">
      <c r="AB5010" s="669"/>
    </row>
    <row r="5011" spans="28:28">
      <c r="AB5011" s="669"/>
    </row>
    <row r="5012" spans="28:28">
      <c r="AB5012" s="669"/>
    </row>
    <row r="5013" spans="28:28">
      <c r="AB5013" s="669"/>
    </row>
    <row r="5014" spans="28:28">
      <c r="AB5014" s="669"/>
    </row>
    <row r="5015" spans="28:28">
      <c r="AB5015" s="669"/>
    </row>
    <row r="5016" spans="28:28">
      <c r="AB5016" s="669"/>
    </row>
    <row r="5017" spans="28:28">
      <c r="AB5017" s="669"/>
    </row>
    <row r="5018" spans="28:28">
      <c r="AB5018" s="669"/>
    </row>
    <row r="5019" spans="28:28">
      <c r="AB5019" s="669"/>
    </row>
    <row r="5020" spans="28:28">
      <c r="AB5020" s="669"/>
    </row>
    <row r="5021" spans="28:28">
      <c r="AB5021" s="669"/>
    </row>
    <row r="5022" spans="28:28">
      <c r="AB5022" s="669"/>
    </row>
    <row r="5023" spans="28:28">
      <c r="AB5023" s="669"/>
    </row>
    <row r="5024" spans="28:28">
      <c r="AB5024" s="669"/>
    </row>
    <row r="5025" spans="28:28">
      <c r="AB5025" s="669"/>
    </row>
    <row r="5026" spans="28:28">
      <c r="AB5026" s="669"/>
    </row>
    <row r="5027" spans="28:28">
      <c r="AB5027" s="669"/>
    </row>
    <row r="5028" spans="28:28">
      <c r="AB5028" s="669"/>
    </row>
    <row r="5029" spans="28:28">
      <c r="AB5029" s="669"/>
    </row>
    <row r="5030" spans="28:28">
      <c r="AB5030" s="669"/>
    </row>
    <row r="5031" spans="28:28">
      <c r="AB5031" s="669"/>
    </row>
    <row r="5032" spans="28:28">
      <c r="AB5032" s="669"/>
    </row>
    <row r="5033" spans="28:28">
      <c r="AB5033" s="669"/>
    </row>
    <row r="5034" spans="28:28">
      <c r="AB5034" s="669"/>
    </row>
    <row r="5035" spans="28:28">
      <c r="AB5035" s="669"/>
    </row>
    <row r="5036" spans="28:28">
      <c r="AB5036" s="669"/>
    </row>
    <row r="5037" spans="28:28">
      <c r="AB5037" s="669"/>
    </row>
    <row r="5038" spans="28:28">
      <c r="AB5038" s="669"/>
    </row>
    <row r="5039" spans="28:28">
      <c r="AB5039" s="669"/>
    </row>
    <row r="5040" spans="28:28">
      <c r="AB5040" s="669"/>
    </row>
    <row r="5041" spans="28:28">
      <c r="AB5041" s="669"/>
    </row>
    <row r="5042" spans="28:28">
      <c r="AB5042" s="669"/>
    </row>
    <row r="5043" spans="28:28">
      <c r="AB5043" s="669"/>
    </row>
    <row r="5044" spans="28:28">
      <c r="AB5044" s="669"/>
    </row>
    <row r="5045" spans="28:28">
      <c r="AB5045" s="669"/>
    </row>
    <row r="5046" spans="28:28">
      <c r="AB5046" s="669"/>
    </row>
    <row r="5047" spans="28:28">
      <c r="AB5047" s="669"/>
    </row>
    <row r="5048" spans="28:28">
      <c r="AB5048" s="669"/>
    </row>
    <row r="5049" spans="28:28">
      <c r="AB5049" s="669"/>
    </row>
    <row r="5050" spans="28:28">
      <c r="AB5050" s="669"/>
    </row>
    <row r="5051" spans="28:28">
      <c r="AB5051" s="669"/>
    </row>
    <row r="5052" spans="28:28">
      <c r="AB5052" s="669"/>
    </row>
    <row r="5053" spans="28:28">
      <c r="AB5053" s="669"/>
    </row>
    <row r="5054" spans="28:28">
      <c r="AB5054" s="669"/>
    </row>
    <row r="5055" spans="28:28">
      <c r="AB5055" s="669"/>
    </row>
    <row r="5056" spans="28:28">
      <c r="AB5056" s="669"/>
    </row>
    <row r="5057" spans="28:28">
      <c r="AB5057" s="669"/>
    </row>
    <row r="5058" spans="28:28">
      <c r="AB5058" s="669"/>
    </row>
    <row r="5059" spans="28:28">
      <c r="AB5059" s="669"/>
    </row>
    <row r="5060" spans="28:28">
      <c r="AB5060" s="669"/>
    </row>
    <row r="5061" spans="28:28">
      <c r="AB5061" s="669"/>
    </row>
    <row r="5062" spans="28:28">
      <c r="AB5062" s="669"/>
    </row>
    <row r="5063" spans="28:28">
      <c r="AB5063" s="669"/>
    </row>
    <row r="5064" spans="28:28">
      <c r="AB5064" s="669"/>
    </row>
    <row r="5065" spans="28:28">
      <c r="AB5065" s="669"/>
    </row>
    <row r="5066" spans="28:28">
      <c r="AB5066" s="669"/>
    </row>
    <row r="5067" spans="28:28">
      <c r="AB5067" s="669"/>
    </row>
    <row r="5068" spans="28:28">
      <c r="AB5068" s="669"/>
    </row>
    <row r="5069" spans="28:28">
      <c r="AB5069" s="669"/>
    </row>
    <row r="5070" spans="28:28">
      <c r="AB5070" s="669"/>
    </row>
    <row r="5071" spans="28:28">
      <c r="AB5071" s="669"/>
    </row>
    <row r="5072" spans="28:28">
      <c r="AB5072" s="669"/>
    </row>
    <row r="5073" spans="28:28">
      <c r="AB5073" s="669"/>
    </row>
    <row r="5074" spans="28:28">
      <c r="AB5074" s="669"/>
    </row>
    <row r="5075" spans="28:28">
      <c r="AB5075" s="669"/>
    </row>
    <row r="5076" spans="28:28">
      <c r="AB5076" s="669"/>
    </row>
    <row r="5077" spans="28:28">
      <c r="AB5077" s="669"/>
    </row>
    <row r="5078" spans="28:28">
      <c r="AB5078" s="669"/>
    </row>
    <row r="5079" spans="28:28">
      <c r="AB5079" s="669"/>
    </row>
    <row r="5080" spans="28:28">
      <c r="AB5080" s="669"/>
    </row>
    <row r="5081" spans="28:28">
      <c r="AB5081" s="669"/>
    </row>
    <row r="5082" spans="28:28">
      <c r="AB5082" s="669"/>
    </row>
    <row r="5083" spans="28:28">
      <c r="AB5083" s="669"/>
    </row>
    <row r="5084" spans="28:28">
      <c r="AB5084" s="669"/>
    </row>
    <row r="5085" spans="28:28">
      <c r="AB5085" s="669"/>
    </row>
    <row r="5086" spans="28:28">
      <c r="AB5086" s="669"/>
    </row>
    <row r="5087" spans="28:28">
      <c r="AB5087" s="669"/>
    </row>
    <row r="5088" spans="28:28">
      <c r="AB5088" s="669"/>
    </row>
    <row r="5089" spans="28:28">
      <c r="AB5089" s="669"/>
    </row>
    <row r="5090" spans="28:28">
      <c r="AB5090" s="669"/>
    </row>
    <row r="5091" spans="28:28">
      <c r="AB5091" s="669"/>
    </row>
    <row r="5092" spans="28:28">
      <c r="AB5092" s="669"/>
    </row>
    <row r="5093" spans="28:28">
      <c r="AB5093" s="669"/>
    </row>
    <row r="5094" spans="28:28">
      <c r="AB5094" s="669"/>
    </row>
    <row r="5095" spans="28:28">
      <c r="AB5095" s="669"/>
    </row>
    <row r="5096" spans="28:28">
      <c r="AB5096" s="669"/>
    </row>
    <row r="5097" spans="28:28">
      <c r="AB5097" s="669"/>
    </row>
    <row r="5098" spans="28:28">
      <c r="AB5098" s="669"/>
    </row>
    <row r="5099" spans="28:28">
      <c r="AB5099" s="669"/>
    </row>
    <row r="5100" spans="28:28">
      <c r="AB5100" s="669"/>
    </row>
    <row r="5101" spans="28:28">
      <c r="AB5101" s="669"/>
    </row>
    <row r="5102" spans="28:28">
      <c r="AB5102" s="669"/>
    </row>
    <row r="5103" spans="28:28">
      <c r="AB5103" s="669"/>
    </row>
    <row r="5104" spans="28:28">
      <c r="AB5104" s="669"/>
    </row>
    <row r="5105" spans="28:28">
      <c r="AB5105" s="669"/>
    </row>
    <row r="5106" spans="28:28">
      <c r="AB5106" s="669"/>
    </row>
    <row r="5107" spans="28:28">
      <c r="AB5107" s="669"/>
    </row>
    <row r="5108" spans="28:28">
      <c r="AB5108" s="669"/>
    </row>
    <row r="5109" spans="28:28">
      <c r="AB5109" s="669"/>
    </row>
    <row r="5110" spans="28:28">
      <c r="AB5110" s="669"/>
    </row>
    <row r="5111" spans="28:28">
      <c r="AB5111" s="669"/>
    </row>
    <row r="5112" spans="28:28">
      <c r="AB5112" s="669"/>
    </row>
    <row r="5113" spans="28:28">
      <c r="AB5113" s="669"/>
    </row>
    <row r="5114" spans="28:28">
      <c r="AB5114" s="669"/>
    </row>
    <row r="5115" spans="28:28">
      <c r="AB5115" s="669"/>
    </row>
    <row r="5116" spans="28:28">
      <c r="AB5116" s="669"/>
    </row>
    <row r="5117" spans="28:28">
      <c r="AB5117" s="669"/>
    </row>
    <row r="5118" spans="28:28">
      <c r="AB5118" s="669"/>
    </row>
    <row r="5119" spans="28:28">
      <c r="AB5119" s="669"/>
    </row>
    <row r="5120" spans="28:28">
      <c r="AB5120" s="669"/>
    </row>
    <row r="5121" spans="28:28">
      <c r="AB5121" s="669"/>
    </row>
    <row r="5122" spans="28:28">
      <c r="AB5122" s="669"/>
    </row>
    <row r="5123" spans="28:28">
      <c r="AB5123" s="669"/>
    </row>
    <row r="5124" spans="28:28">
      <c r="AB5124" s="669"/>
    </row>
    <row r="5125" spans="28:28">
      <c r="AB5125" s="669"/>
    </row>
    <row r="5126" spans="28:28">
      <c r="AB5126" s="669"/>
    </row>
    <row r="5127" spans="28:28">
      <c r="AB5127" s="669"/>
    </row>
    <row r="5128" spans="28:28">
      <c r="AB5128" s="669"/>
    </row>
    <row r="5129" spans="28:28">
      <c r="AB5129" s="669"/>
    </row>
    <row r="5130" spans="28:28">
      <c r="AB5130" s="669"/>
    </row>
    <row r="5131" spans="28:28">
      <c r="AB5131" s="669"/>
    </row>
    <row r="5132" spans="28:28">
      <c r="AB5132" s="669"/>
    </row>
    <row r="5133" spans="28:28">
      <c r="AB5133" s="669"/>
    </row>
    <row r="5134" spans="28:28">
      <c r="AB5134" s="669"/>
    </row>
    <row r="5135" spans="28:28">
      <c r="AB5135" s="669"/>
    </row>
    <row r="5136" spans="28:28">
      <c r="AB5136" s="669"/>
    </row>
    <row r="5137" spans="28:28">
      <c r="AB5137" s="669"/>
    </row>
    <row r="5138" spans="28:28">
      <c r="AB5138" s="669"/>
    </row>
    <row r="5139" spans="28:28">
      <c r="AB5139" s="669"/>
    </row>
    <row r="5140" spans="28:28">
      <c r="AB5140" s="669"/>
    </row>
    <row r="5141" spans="28:28">
      <c r="AB5141" s="669"/>
    </row>
    <row r="5142" spans="28:28">
      <c r="AB5142" s="669"/>
    </row>
    <row r="5143" spans="28:28">
      <c r="AB5143" s="669"/>
    </row>
    <row r="5144" spans="28:28">
      <c r="AB5144" s="669"/>
    </row>
    <row r="5145" spans="28:28">
      <c r="AB5145" s="669"/>
    </row>
    <row r="5146" spans="28:28">
      <c r="AB5146" s="669"/>
    </row>
    <row r="5147" spans="28:28">
      <c r="AB5147" s="669"/>
    </row>
    <row r="5148" spans="28:28">
      <c r="AB5148" s="669"/>
    </row>
    <row r="5149" spans="28:28">
      <c r="AB5149" s="669"/>
    </row>
    <row r="5150" spans="28:28">
      <c r="AB5150" s="669"/>
    </row>
    <row r="5151" spans="28:28">
      <c r="AB5151" s="669"/>
    </row>
    <row r="5152" spans="28:28">
      <c r="AB5152" s="669"/>
    </row>
    <row r="5153" spans="28:28">
      <c r="AB5153" s="669"/>
    </row>
    <row r="5154" spans="28:28">
      <c r="AB5154" s="669"/>
    </row>
    <row r="5155" spans="28:28">
      <c r="AB5155" s="669"/>
    </row>
    <row r="5156" spans="28:28">
      <c r="AB5156" s="669"/>
    </row>
    <row r="5157" spans="28:28">
      <c r="AB5157" s="669"/>
    </row>
    <row r="5158" spans="28:28">
      <c r="AB5158" s="669"/>
    </row>
    <row r="5159" spans="28:28">
      <c r="AB5159" s="669"/>
    </row>
    <row r="5160" spans="28:28">
      <c r="AB5160" s="669"/>
    </row>
    <row r="5161" spans="28:28">
      <c r="AB5161" s="669"/>
    </row>
    <row r="5162" spans="28:28">
      <c r="AB5162" s="669"/>
    </row>
    <row r="5163" spans="28:28">
      <c r="AB5163" s="669"/>
    </row>
    <row r="5164" spans="28:28">
      <c r="AB5164" s="669"/>
    </row>
    <row r="5165" spans="28:28">
      <c r="AB5165" s="669"/>
    </row>
    <row r="5166" spans="28:28">
      <c r="AB5166" s="669"/>
    </row>
    <row r="5167" spans="28:28">
      <c r="AB5167" s="669"/>
    </row>
    <row r="5168" spans="28:28">
      <c r="AB5168" s="669"/>
    </row>
    <row r="5169" spans="28:28">
      <c r="AB5169" s="669"/>
    </row>
    <row r="5170" spans="28:28">
      <c r="AB5170" s="669"/>
    </row>
    <row r="5171" spans="28:28">
      <c r="AB5171" s="669"/>
    </row>
    <row r="5172" spans="28:28">
      <c r="AB5172" s="669"/>
    </row>
    <row r="5173" spans="28:28">
      <c r="AB5173" s="669"/>
    </row>
    <row r="5174" spans="28:28">
      <c r="AB5174" s="669"/>
    </row>
    <row r="5175" spans="28:28">
      <c r="AB5175" s="669"/>
    </row>
    <row r="5176" spans="28:28">
      <c r="AB5176" s="669"/>
    </row>
    <row r="5177" spans="28:28">
      <c r="AB5177" s="669"/>
    </row>
    <row r="5178" spans="28:28">
      <c r="AB5178" s="669"/>
    </row>
    <row r="5179" spans="28:28">
      <c r="AB5179" s="669"/>
    </row>
    <row r="5180" spans="28:28">
      <c r="AB5180" s="669"/>
    </row>
    <row r="5181" spans="28:28">
      <c r="AB5181" s="669"/>
    </row>
    <row r="5182" spans="28:28">
      <c r="AB5182" s="669"/>
    </row>
    <row r="5183" spans="28:28">
      <c r="AB5183" s="669"/>
    </row>
    <row r="5184" spans="28:28">
      <c r="AB5184" s="669"/>
    </row>
    <row r="5185" spans="28:28">
      <c r="AB5185" s="669"/>
    </row>
    <row r="5186" spans="28:28">
      <c r="AB5186" s="669"/>
    </row>
    <row r="5187" spans="28:28">
      <c r="AB5187" s="669"/>
    </row>
    <row r="5188" spans="28:28">
      <c r="AB5188" s="669"/>
    </row>
    <row r="5189" spans="28:28">
      <c r="AB5189" s="669"/>
    </row>
    <row r="5190" spans="28:28">
      <c r="AB5190" s="669"/>
    </row>
    <row r="5191" spans="28:28">
      <c r="AB5191" s="669"/>
    </row>
    <row r="5192" spans="28:28">
      <c r="AB5192" s="669"/>
    </row>
    <row r="5193" spans="28:28">
      <c r="AB5193" s="669"/>
    </row>
    <row r="5194" spans="28:28">
      <c r="AB5194" s="669"/>
    </row>
    <row r="5195" spans="28:28">
      <c r="AB5195" s="669"/>
    </row>
    <row r="5196" spans="28:28">
      <c r="AB5196" s="669"/>
    </row>
    <row r="5197" spans="28:28">
      <c r="AB5197" s="669"/>
    </row>
    <row r="5198" spans="28:28">
      <c r="AB5198" s="669"/>
    </row>
    <row r="5199" spans="28:28">
      <c r="AB5199" s="669"/>
    </row>
    <row r="5200" spans="28:28">
      <c r="AB5200" s="669"/>
    </row>
    <row r="5201" spans="28:28">
      <c r="AB5201" s="669"/>
    </row>
    <row r="5202" spans="28:28">
      <c r="AB5202" s="669"/>
    </row>
    <row r="5203" spans="28:28">
      <c r="AB5203" s="669"/>
    </row>
    <row r="5204" spans="28:28">
      <c r="AB5204" s="669"/>
    </row>
    <row r="5205" spans="28:28">
      <c r="AB5205" s="669"/>
    </row>
    <row r="5206" spans="28:28">
      <c r="AB5206" s="669"/>
    </row>
    <row r="5207" spans="28:28">
      <c r="AB5207" s="669"/>
    </row>
    <row r="5208" spans="28:28">
      <c r="AB5208" s="669"/>
    </row>
    <row r="5209" spans="28:28">
      <c r="AB5209" s="669"/>
    </row>
    <row r="5210" spans="28:28">
      <c r="AB5210" s="669"/>
    </row>
    <row r="5211" spans="28:28">
      <c r="AB5211" s="669"/>
    </row>
    <row r="5212" spans="28:28">
      <c r="AB5212" s="669"/>
    </row>
    <row r="5213" spans="28:28">
      <c r="AB5213" s="669"/>
    </row>
    <row r="5214" spans="28:28">
      <c r="AB5214" s="669"/>
    </row>
    <row r="5215" spans="28:28">
      <c r="AB5215" s="669"/>
    </row>
    <row r="5216" spans="28:28">
      <c r="AB5216" s="669"/>
    </row>
    <row r="5217" spans="28:28">
      <c r="AB5217" s="669"/>
    </row>
    <row r="5218" spans="28:28">
      <c r="AB5218" s="669"/>
    </row>
    <row r="5219" spans="28:28">
      <c r="AB5219" s="669"/>
    </row>
    <row r="5220" spans="28:28">
      <c r="AB5220" s="669"/>
    </row>
    <row r="5221" spans="28:28">
      <c r="AB5221" s="669"/>
    </row>
    <row r="5222" spans="28:28">
      <c r="AB5222" s="669"/>
    </row>
    <row r="5223" spans="28:28">
      <c r="AB5223" s="669"/>
    </row>
    <row r="5224" spans="28:28">
      <c r="AB5224" s="669"/>
    </row>
    <row r="5225" spans="28:28">
      <c r="AB5225" s="669"/>
    </row>
    <row r="5226" spans="28:28">
      <c r="AB5226" s="669"/>
    </row>
    <row r="5227" spans="28:28">
      <c r="AB5227" s="669"/>
    </row>
    <row r="5228" spans="28:28">
      <c r="AB5228" s="669"/>
    </row>
    <row r="5229" spans="28:28">
      <c r="AB5229" s="669"/>
    </row>
    <row r="5230" spans="28:28">
      <c r="AB5230" s="669"/>
    </row>
    <row r="5231" spans="28:28">
      <c r="AB5231" s="669"/>
    </row>
    <row r="5232" spans="28:28">
      <c r="AB5232" s="669"/>
    </row>
    <row r="5233" spans="28:28">
      <c r="AB5233" s="669"/>
    </row>
    <row r="5234" spans="28:28">
      <c r="AB5234" s="669"/>
    </row>
    <row r="5235" spans="28:28">
      <c r="AB5235" s="669"/>
    </row>
    <row r="5236" spans="28:28">
      <c r="AB5236" s="669"/>
    </row>
    <row r="5237" spans="28:28">
      <c r="AB5237" s="669"/>
    </row>
    <row r="5238" spans="28:28">
      <c r="AB5238" s="669"/>
    </row>
    <row r="5239" spans="28:28">
      <c r="AB5239" s="669"/>
    </row>
    <row r="5240" spans="28:28">
      <c r="AB5240" s="669"/>
    </row>
    <row r="5241" spans="28:28">
      <c r="AB5241" s="669"/>
    </row>
    <row r="5242" spans="28:28">
      <c r="AB5242" s="669"/>
    </row>
    <row r="5243" spans="28:28">
      <c r="AB5243" s="669"/>
    </row>
    <row r="5244" spans="28:28">
      <c r="AB5244" s="669"/>
    </row>
    <row r="5245" spans="28:28">
      <c r="AB5245" s="669"/>
    </row>
    <row r="5246" spans="28:28">
      <c r="AB5246" s="669"/>
    </row>
    <row r="5247" spans="28:28">
      <c r="AB5247" s="669"/>
    </row>
    <row r="5248" spans="28:28">
      <c r="AB5248" s="669"/>
    </row>
    <row r="5249" spans="28:28">
      <c r="AB5249" s="669"/>
    </row>
    <row r="5250" spans="28:28">
      <c r="AB5250" s="669"/>
    </row>
    <row r="5251" spans="28:28">
      <c r="AB5251" s="669"/>
    </row>
    <row r="5252" spans="28:28">
      <c r="AB5252" s="669"/>
    </row>
    <row r="5253" spans="28:28">
      <c r="AB5253" s="669"/>
    </row>
    <row r="5254" spans="28:28">
      <c r="AB5254" s="669"/>
    </row>
    <row r="5255" spans="28:28">
      <c r="AB5255" s="669"/>
    </row>
    <row r="5256" spans="28:28">
      <c r="AB5256" s="669"/>
    </row>
    <row r="5257" spans="28:28">
      <c r="AB5257" s="669"/>
    </row>
    <row r="5258" spans="28:28">
      <c r="AB5258" s="669"/>
    </row>
    <row r="5259" spans="28:28">
      <c r="AB5259" s="669"/>
    </row>
    <row r="5260" spans="28:28">
      <c r="AB5260" s="669"/>
    </row>
    <row r="5261" spans="28:28">
      <c r="AB5261" s="669"/>
    </row>
    <row r="5262" spans="28:28">
      <c r="AB5262" s="669"/>
    </row>
    <row r="5263" spans="28:28">
      <c r="AB5263" s="669"/>
    </row>
    <row r="5264" spans="28:28">
      <c r="AB5264" s="669"/>
    </row>
    <row r="5265" spans="28:28">
      <c r="AB5265" s="669"/>
    </row>
    <row r="5266" spans="28:28">
      <c r="AB5266" s="669"/>
    </row>
    <row r="5267" spans="28:28">
      <c r="AB5267" s="669"/>
    </row>
    <row r="5268" spans="28:28">
      <c r="AB5268" s="669"/>
    </row>
    <row r="5269" spans="28:28">
      <c r="AB5269" s="669"/>
    </row>
    <row r="5270" spans="28:28">
      <c r="AB5270" s="669"/>
    </row>
    <row r="5271" spans="28:28">
      <c r="AB5271" s="669"/>
    </row>
    <row r="5272" spans="28:28">
      <c r="AB5272" s="669"/>
    </row>
    <row r="5273" spans="28:28">
      <c r="AB5273" s="669"/>
    </row>
    <row r="5274" spans="28:28">
      <c r="AB5274" s="669"/>
    </row>
    <row r="5275" spans="28:28">
      <c r="AB5275" s="669"/>
    </row>
    <row r="5276" spans="28:28">
      <c r="AB5276" s="669"/>
    </row>
    <row r="5277" spans="28:28">
      <c r="AB5277" s="669"/>
    </row>
    <row r="5278" spans="28:28">
      <c r="AB5278" s="669"/>
    </row>
    <row r="5279" spans="28:28">
      <c r="AB5279" s="669"/>
    </row>
    <row r="5280" spans="28:28">
      <c r="AB5280" s="669"/>
    </row>
    <row r="5281" spans="28:28">
      <c r="AB5281" s="669"/>
    </row>
    <row r="5282" spans="28:28">
      <c r="AB5282" s="669"/>
    </row>
    <row r="5283" spans="28:28">
      <c r="AB5283" s="669"/>
    </row>
    <row r="5284" spans="28:28">
      <c r="AB5284" s="669"/>
    </row>
    <row r="5285" spans="28:28">
      <c r="AB5285" s="669"/>
    </row>
    <row r="5286" spans="28:28">
      <c r="AB5286" s="669"/>
    </row>
    <row r="5287" spans="28:28">
      <c r="AB5287" s="669"/>
    </row>
    <row r="5288" spans="28:28">
      <c r="AB5288" s="669"/>
    </row>
    <row r="5289" spans="28:28">
      <c r="AB5289" s="669"/>
    </row>
    <row r="5290" spans="28:28">
      <c r="AB5290" s="669"/>
    </row>
    <row r="5291" spans="28:28">
      <c r="AB5291" s="669"/>
    </row>
    <row r="5292" spans="28:28">
      <c r="AB5292" s="669"/>
    </row>
    <row r="5293" spans="28:28">
      <c r="AB5293" s="669"/>
    </row>
    <row r="5294" spans="28:28">
      <c r="AB5294" s="669"/>
    </row>
    <row r="5295" spans="28:28">
      <c r="AB5295" s="669"/>
    </row>
    <row r="5296" spans="28:28">
      <c r="AB5296" s="669"/>
    </row>
    <row r="5297" spans="28:28">
      <c r="AB5297" s="669"/>
    </row>
    <row r="5298" spans="28:28">
      <c r="AB5298" s="669"/>
    </row>
    <row r="5299" spans="28:28">
      <c r="AB5299" s="669"/>
    </row>
    <row r="5300" spans="28:28">
      <c r="AB5300" s="669"/>
    </row>
    <row r="5301" spans="28:28">
      <c r="AB5301" s="669"/>
    </row>
    <row r="5302" spans="28:28">
      <c r="AB5302" s="669"/>
    </row>
    <row r="5303" spans="28:28">
      <c r="AB5303" s="669"/>
    </row>
    <row r="5304" spans="28:28">
      <c r="AB5304" s="669"/>
    </row>
    <row r="5305" spans="28:28">
      <c r="AB5305" s="669"/>
    </row>
    <row r="5306" spans="28:28">
      <c r="AB5306" s="669"/>
    </row>
    <row r="5307" spans="28:28">
      <c r="AB5307" s="669"/>
    </row>
    <row r="5308" spans="28:28">
      <c r="AB5308" s="669"/>
    </row>
    <row r="5309" spans="28:28">
      <c r="AB5309" s="669"/>
    </row>
    <row r="5310" spans="28:28">
      <c r="AB5310" s="669"/>
    </row>
    <row r="5311" spans="28:28">
      <c r="AB5311" s="669"/>
    </row>
    <row r="5312" spans="28:28">
      <c r="AB5312" s="669"/>
    </row>
    <row r="5313" spans="28:28">
      <c r="AB5313" s="669"/>
    </row>
    <row r="5314" spans="28:28">
      <c r="AB5314" s="669"/>
    </row>
    <row r="5315" spans="28:28">
      <c r="AB5315" s="669"/>
    </row>
    <row r="5316" spans="28:28">
      <c r="AB5316" s="669"/>
    </row>
    <row r="5317" spans="28:28">
      <c r="AB5317" s="669"/>
    </row>
    <row r="5318" spans="28:28">
      <c r="AB5318" s="669"/>
    </row>
    <row r="5319" spans="28:28">
      <c r="AB5319" s="669"/>
    </row>
    <row r="5320" spans="28:28">
      <c r="AB5320" s="669"/>
    </row>
    <row r="5321" spans="28:28">
      <c r="AB5321" s="669"/>
    </row>
    <row r="5322" spans="28:28">
      <c r="AB5322" s="669"/>
    </row>
    <row r="5323" spans="28:28">
      <c r="AB5323" s="669"/>
    </row>
    <row r="5324" spans="28:28">
      <c r="AB5324" s="669"/>
    </row>
    <row r="5325" spans="28:28">
      <c r="AB5325" s="669"/>
    </row>
    <row r="5326" spans="28:28">
      <c r="AB5326" s="669"/>
    </row>
    <row r="5327" spans="28:28">
      <c r="AB5327" s="669"/>
    </row>
    <row r="5328" spans="28:28">
      <c r="AB5328" s="669"/>
    </row>
    <row r="5329" spans="28:28">
      <c r="AB5329" s="669"/>
    </row>
    <row r="5330" spans="28:28">
      <c r="AB5330" s="669"/>
    </row>
    <row r="5331" spans="28:28">
      <c r="AB5331" s="669"/>
    </row>
    <row r="5332" spans="28:28">
      <c r="AB5332" s="669"/>
    </row>
    <row r="5333" spans="28:28">
      <c r="AB5333" s="669"/>
    </row>
    <row r="5334" spans="28:28">
      <c r="AB5334" s="669"/>
    </row>
    <row r="5335" spans="28:28">
      <c r="AB5335" s="669"/>
    </row>
    <row r="5336" spans="28:28">
      <c r="AB5336" s="669"/>
    </row>
    <row r="5337" spans="28:28">
      <c r="AB5337" s="669"/>
    </row>
    <row r="5338" spans="28:28">
      <c r="AB5338" s="669"/>
    </row>
    <row r="5339" spans="28:28">
      <c r="AB5339" s="669"/>
    </row>
    <row r="5340" spans="28:28">
      <c r="AB5340" s="669"/>
    </row>
    <row r="5341" spans="28:28">
      <c r="AB5341" s="669"/>
    </row>
    <row r="5342" spans="28:28">
      <c r="AB5342" s="669"/>
    </row>
    <row r="5343" spans="28:28">
      <c r="AB5343" s="669"/>
    </row>
    <row r="5344" spans="28:28">
      <c r="AB5344" s="669"/>
    </row>
    <row r="5345" spans="28:28">
      <c r="AB5345" s="669"/>
    </row>
    <row r="5346" spans="28:28">
      <c r="AB5346" s="669"/>
    </row>
    <row r="5347" spans="28:28">
      <c r="AB5347" s="669"/>
    </row>
    <row r="5348" spans="28:28">
      <c r="AB5348" s="669"/>
    </row>
    <row r="5349" spans="28:28">
      <c r="AB5349" s="669"/>
    </row>
    <row r="5350" spans="28:28">
      <c r="AB5350" s="669"/>
    </row>
    <row r="5351" spans="28:28">
      <c r="AB5351" s="669"/>
    </row>
    <row r="5352" spans="28:28">
      <c r="AB5352" s="669"/>
    </row>
    <row r="5353" spans="28:28">
      <c r="AB5353" s="669"/>
    </row>
    <row r="5354" spans="28:28">
      <c r="AB5354" s="669"/>
    </row>
    <row r="5355" spans="28:28">
      <c r="AB5355" s="669"/>
    </row>
    <row r="5356" spans="28:28">
      <c r="AB5356" s="669"/>
    </row>
    <row r="5357" spans="28:28">
      <c r="AB5357" s="669"/>
    </row>
    <row r="5358" spans="28:28">
      <c r="AB5358" s="669"/>
    </row>
    <row r="5359" spans="28:28">
      <c r="AB5359" s="669"/>
    </row>
    <row r="5360" spans="28:28">
      <c r="AB5360" s="669"/>
    </row>
    <row r="5361" spans="28:28">
      <c r="AB5361" s="669"/>
    </row>
    <row r="5362" spans="28:28">
      <c r="AB5362" s="669"/>
    </row>
    <row r="5363" spans="28:28">
      <c r="AB5363" s="669"/>
    </row>
    <row r="5364" spans="28:28">
      <c r="AB5364" s="669"/>
    </row>
    <row r="5365" spans="28:28">
      <c r="AB5365" s="669"/>
    </row>
    <row r="5366" spans="28:28">
      <c r="AB5366" s="669"/>
    </row>
    <row r="5367" spans="28:28">
      <c r="AB5367" s="669"/>
    </row>
    <row r="5368" spans="28:28">
      <c r="AB5368" s="669"/>
    </row>
    <row r="5369" spans="28:28">
      <c r="AB5369" s="669"/>
    </row>
    <row r="5370" spans="28:28">
      <c r="AB5370" s="669"/>
    </row>
    <row r="5371" spans="28:28">
      <c r="AB5371" s="669"/>
    </row>
    <row r="5372" spans="28:28">
      <c r="AB5372" s="669"/>
    </row>
    <row r="5373" spans="28:28">
      <c r="AB5373" s="669"/>
    </row>
    <row r="5374" spans="28:28">
      <c r="AB5374" s="669"/>
    </row>
    <row r="5375" spans="28:28">
      <c r="AB5375" s="669"/>
    </row>
    <row r="5376" spans="28:28">
      <c r="AB5376" s="669"/>
    </row>
    <row r="5377" spans="28:28">
      <c r="AB5377" s="669"/>
    </row>
    <row r="5378" spans="28:28">
      <c r="AB5378" s="669"/>
    </row>
    <row r="5379" spans="28:28">
      <c r="AB5379" s="669"/>
    </row>
    <row r="5380" spans="28:28">
      <c r="AB5380" s="669"/>
    </row>
    <row r="5381" spans="28:28">
      <c r="AB5381" s="669"/>
    </row>
    <row r="5382" spans="28:28">
      <c r="AB5382" s="669"/>
    </row>
    <row r="5383" spans="28:28">
      <c r="AB5383" s="669"/>
    </row>
    <row r="5384" spans="28:28">
      <c r="AB5384" s="669"/>
    </row>
    <row r="5385" spans="28:28">
      <c r="AB5385" s="669"/>
    </row>
    <row r="5386" spans="28:28">
      <c r="AB5386" s="669"/>
    </row>
    <row r="5387" spans="28:28">
      <c r="AB5387" s="669"/>
    </row>
    <row r="5388" spans="28:28">
      <c r="AB5388" s="669"/>
    </row>
    <row r="5389" spans="28:28">
      <c r="AB5389" s="669"/>
    </row>
    <row r="5390" spans="28:28">
      <c r="AB5390" s="669"/>
    </row>
    <row r="5391" spans="28:28">
      <c r="AB5391" s="669"/>
    </row>
    <row r="5392" spans="28:28">
      <c r="AB5392" s="669"/>
    </row>
    <row r="5393" spans="28:28">
      <c r="AB5393" s="669"/>
    </row>
    <row r="5394" spans="28:28">
      <c r="AB5394" s="669"/>
    </row>
    <row r="5395" spans="28:28">
      <c r="AB5395" s="669"/>
    </row>
    <row r="5396" spans="28:28">
      <c r="AB5396" s="669"/>
    </row>
    <row r="5397" spans="28:28">
      <c r="AB5397" s="669"/>
    </row>
    <row r="5398" spans="28:28">
      <c r="AB5398" s="669"/>
    </row>
    <row r="5399" spans="28:28">
      <c r="AB5399" s="669"/>
    </row>
    <row r="5400" spans="28:28">
      <c r="AB5400" s="669"/>
    </row>
    <row r="5401" spans="28:28">
      <c r="AB5401" s="669"/>
    </row>
    <row r="5402" spans="28:28">
      <c r="AB5402" s="669"/>
    </row>
    <row r="5403" spans="28:28">
      <c r="AB5403" s="669"/>
    </row>
    <row r="5404" spans="28:28">
      <c r="AB5404" s="669"/>
    </row>
    <row r="5405" spans="28:28">
      <c r="AB5405" s="669"/>
    </row>
    <row r="5406" spans="28:28">
      <c r="AB5406" s="669"/>
    </row>
    <row r="5407" spans="28:28">
      <c r="AB5407" s="669"/>
    </row>
    <row r="5408" spans="28:28">
      <c r="AB5408" s="669"/>
    </row>
    <row r="5409" spans="28:28">
      <c r="AB5409" s="669"/>
    </row>
    <row r="5410" spans="28:28">
      <c r="AB5410" s="669"/>
    </row>
    <row r="5411" spans="28:28">
      <c r="AB5411" s="669"/>
    </row>
    <row r="5412" spans="28:28">
      <c r="AB5412" s="669"/>
    </row>
    <row r="5413" spans="28:28">
      <c r="AB5413" s="669"/>
    </row>
    <row r="5414" spans="28:28">
      <c r="AB5414" s="669"/>
    </row>
    <row r="5415" spans="28:28">
      <c r="AB5415" s="669"/>
    </row>
    <row r="5416" spans="28:28">
      <c r="AB5416" s="669"/>
    </row>
    <row r="5417" spans="28:28">
      <c r="AB5417" s="669"/>
    </row>
    <row r="5418" spans="28:28">
      <c r="AB5418" s="669"/>
    </row>
    <row r="5419" spans="28:28">
      <c r="AB5419" s="669"/>
    </row>
    <row r="5420" spans="28:28">
      <c r="AB5420" s="669"/>
    </row>
    <row r="5421" spans="28:28">
      <c r="AB5421" s="669"/>
    </row>
    <row r="5422" spans="28:28">
      <c r="AB5422" s="669"/>
    </row>
    <row r="5423" spans="28:28">
      <c r="AB5423" s="669"/>
    </row>
    <row r="5424" spans="28:28">
      <c r="AB5424" s="669"/>
    </row>
    <row r="5425" spans="28:28">
      <c r="AB5425" s="669"/>
    </row>
    <row r="5426" spans="28:28">
      <c r="AB5426" s="669"/>
    </row>
    <row r="5427" spans="28:28">
      <c r="AB5427" s="669"/>
    </row>
    <row r="5428" spans="28:28">
      <c r="AB5428" s="669"/>
    </row>
    <row r="5429" spans="28:28">
      <c r="AB5429" s="669"/>
    </row>
    <row r="5430" spans="28:28">
      <c r="AB5430" s="669"/>
    </row>
    <row r="5431" spans="28:28">
      <c r="AB5431" s="669"/>
    </row>
    <row r="5432" spans="28:28">
      <c r="AB5432" s="669"/>
    </row>
    <row r="5433" spans="28:28">
      <c r="AB5433" s="669"/>
    </row>
    <row r="5434" spans="28:28">
      <c r="AB5434" s="669"/>
    </row>
    <row r="5435" spans="28:28">
      <c r="AB5435" s="669"/>
    </row>
    <row r="5436" spans="28:28">
      <c r="AB5436" s="669"/>
    </row>
    <row r="5437" spans="28:28">
      <c r="AB5437" s="669"/>
    </row>
    <row r="5438" spans="28:28">
      <c r="AB5438" s="669"/>
    </row>
    <row r="5439" spans="28:28">
      <c r="AB5439" s="669"/>
    </row>
    <row r="5440" spans="28:28">
      <c r="AB5440" s="669"/>
    </row>
    <row r="5441" spans="28:28">
      <c r="AB5441" s="669"/>
    </row>
    <row r="5442" spans="28:28">
      <c r="AB5442" s="669"/>
    </row>
    <row r="5443" spans="28:28">
      <c r="AB5443" s="669"/>
    </row>
    <row r="5444" spans="28:28">
      <c r="AB5444" s="669"/>
    </row>
    <row r="5445" spans="28:28">
      <c r="AB5445" s="669"/>
    </row>
    <row r="5446" spans="28:28">
      <c r="AB5446" s="669"/>
    </row>
    <row r="5447" spans="28:28">
      <c r="AB5447" s="669"/>
    </row>
    <row r="5448" spans="28:28">
      <c r="AB5448" s="669"/>
    </row>
    <row r="5449" spans="28:28">
      <c r="AB5449" s="669"/>
    </row>
    <row r="5450" spans="28:28">
      <c r="AB5450" s="669"/>
    </row>
    <row r="5451" spans="28:28">
      <c r="AB5451" s="669"/>
    </row>
    <row r="5452" spans="28:28">
      <c r="AB5452" s="669"/>
    </row>
    <row r="5453" spans="28:28">
      <c r="AB5453" s="669"/>
    </row>
    <row r="5454" spans="28:28">
      <c r="AB5454" s="669"/>
    </row>
    <row r="5455" spans="28:28">
      <c r="AB5455" s="669"/>
    </row>
    <row r="5456" spans="28:28">
      <c r="AB5456" s="669"/>
    </row>
    <row r="5457" spans="28:28">
      <c r="AB5457" s="669"/>
    </row>
    <row r="5458" spans="28:28">
      <c r="AB5458" s="669"/>
    </row>
    <row r="5459" spans="28:28">
      <c r="AB5459" s="669"/>
    </row>
    <row r="5460" spans="28:28">
      <c r="AB5460" s="669"/>
    </row>
    <row r="5461" spans="28:28">
      <c r="AB5461" s="669"/>
    </row>
    <row r="5462" spans="28:28">
      <c r="AB5462" s="669"/>
    </row>
    <row r="5463" spans="28:28">
      <c r="AB5463" s="669"/>
    </row>
    <row r="5464" spans="28:28">
      <c r="AB5464" s="669"/>
    </row>
    <row r="5465" spans="28:28">
      <c r="AB5465" s="669"/>
    </row>
    <row r="5466" spans="28:28">
      <c r="AB5466" s="669"/>
    </row>
    <row r="5467" spans="28:28">
      <c r="AB5467" s="669"/>
    </row>
    <row r="5468" spans="28:28">
      <c r="AB5468" s="669"/>
    </row>
    <row r="5469" spans="28:28">
      <c r="AB5469" s="669"/>
    </row>
    <row r="5470" spans="28:28">
      <c r="AB5470" s="669"/>
    </row>
    <row r="5471" spans="28:28">
      <c r="AB5471" s="669"/>
    </row>
    <row r="5472" spans="28:28">
      <c r="AB5472" s="669"/>
    </row>
    <row r="5473" spans="28:28">
      <c r="AB5473" s="669"/>
    </row>
    <row r="5474" spans="28:28">
      <c r="AB5474" s="669"/>
    </row>
    <row r="5475" spans="28:28">
      <c r="AB5475" s="669"/>
    </row>
    <row r="5476" spans="28:28">
      <c r="AB5476" s="669"/>
    </row>
    <row r="5477" spans="28:28">
      <c r="AB5477" s="669"/>
    </row>
    <row r="5478" spans="28:28">
      <c r="AB5478" s="669"/>
    </row>
    <row r="5479" spans="28:28">
      <c r="AB5479" s="669"/>
    </row>
    <row r="5480" spans="28:28">
      <c r="AB5480" s="669"/>
    </row>
    <row r="5481" spans="28:28">
      <c r="AB5481" s="669"/>
    </row>
    <row r="5482" spans="28:28">
      <c r="AB5482" s="669"/>
    </row>
    <row r="5483" spans="28:28">
      <c r="AB5483" s="669"/>
    </row>
    <row r="5484" spans="28:28">
      <c r="AB5484" s="669"/>
    </row>
    <row r="5485" spans="28:28">
      <c r="AB5485" s="669"/>
    </row>
    <row r="5486" spans="28:28">
      <c r="AB5486" s="669"/>
    </row>
    <row r="5487" spans="28:28">
      <c r="AB5487" s="669"/>
    </row>
    <row r="5488" spans="28:28">
      <c r="AB5488" s="669"/>
    </row>
    <row r="5489" spans="28:28">
      <c r="AB5489" s="669"/>
    </row>
    <row r="5490" spans="28:28">
      <c r="AB5490" s="669"/>
    </row>
    <row r="5491" spans="28:28">
      <c r="AB5491" s="669"/>
    </row>
    <row r="5492" spans="28:28">
      <c r="AB5492" s="669"/>
    </row>
    <row r="5493" spans="28:28">
      <c r="AB5493" s="669"/>
    </row>
    <row r="5494" spans="28:28">
      <c r="AB5494" s="669"/>
    </row>
    <row r="5495" spans="28:28">
      <c r="AB5495" s="669"/>
    </row>
    <row r="5496" spans="28:28">
      <c r="AB5496" s="669"/>
    </row>
    <row r="5497" spans="28:28">
      <c r="AB5497" s="669"/>
    </row>
    <row r="5498" spans="28:28">
      <c r="AB5498" s="669"/>
    </row>
    <row r="5499" spans="28:28">
      <c r="AB5499" s="669"/>
    </row>
    <row r="5500" spans="28:28">
      <c r="AB5500" s="669"/>
    </row>
    <row r="5501" spans="28:28">
      <c r="AB5501" s="669"/>
    </row>
    <row r="5502" spans="28:28">
      <c r="AB5502" s="669"/>
    </row>
    <row r="5503" spans="28:28">
      <c r="AB5503" s="669"/>
    </row>
    <row r="5504" spans="28:28">
      <c r="AB5504" s="669"/>
    </row>
    <row r="5505" spans="28:28">
      <c r="AB5505" s="669"/>
    </row>
    <row r="5506" spans="28:28">
      <c r="AB5506" s="669"/>
    </row>
    <row r="5507" spans="28:28">
      <c r="AB5507" s="669"/>
    </row>
    <row r="5508" spans="28:28">
      <c r="AB5508" s="669"/>
    </row>
    <row r="5509" spans="28:28">
      <c r="AB5509" s="669"/>
    </row>
    <row r="5510" spans="28:28">
      <c r="AB5510" s="669"/>
    </row>
    <row r="5511" spans="28:28">
      <c r="AB5511" s="669"/>
    </row>
    <row r="5512" spans="28:28">
      <c r="AB5512" s="669"/>
    </row>
    <row r="5513" spans="28:28">
      <c r="AB5513" s="669"/>
    </row>
    <row r="5514" spans="28:28">
      <c r="AB5514" s="669"/>
    </row>
    <row r="5515" spans="28:28">
      <c r="AB5515" s="669"/>
    </row>
    <row r="5516" spans="28:28">
      <c r="AB5516" s="669"/>
    </row>
    <row r="5517" spans="28:28">
      <c r="AB5517" s="669"/>
    </row>
    <row r="5518" spans="28:28">
      <c r="AB5518" s="669"/>
    </row>
    <row r="5519" spans="28:28">
      <c r="AB5519" s="669"/>
    </row>
    <row r="5520" spans="28:28">
      <c r="AB5520" s="669"/>
    </row>
    <row r="5521" spans="28:28">
      <c r="AB5521" s="669"/>
    </row>
    <row r="5522" spans="28:28">
      <c r="AB5522" s="669"/>
    </row>
    <row r="5523" spans="28:28">
      <c r="AB5523" s="669"/>
    </row>
    <row r="5524" spans="28:28">
      <c r="AB5524" s="669"/>
    </row>
    <row r="5525" spans="28:28">
      <c r="AB5525" s="669"/>
    </row>
    <row r="5526" spans="28:28">
      <c r="AB5526" s="669"/>
    </row>
    <row r="5527" spans="28:28">
      <c r="AB5527" s="669"/>
    </row>
    <row r="5528" spans="28:28">
      <c r="AB5528" s="669"/>
    </row>
    <row r="5529" spans="28:28">
      <c r="AB5529" s="669"/>
    </row>
    <row r="5530" spans="28:28">
      <c r="AB5530" s="669"/>
    </row>
    <row r="5531" spans="28:28">
      <c r="AB5531" s="669"/>
    </row>
    <row r="5532" spans="28:28">
      <c r="AB5532" s="669"/>
    </row>
    <row r="5533" spans="28:28">
      <c r="AB5533" s="669"/>
    </row>
    <row r="5534" spans="28:28">
      <c r="AB5534" s="669"/>
    </row>
    <row r="5535" spans="28:28">
      <c r="AB5535" s="669"/>
    </row>
    <row r="5536" spans="28:28">
      <c r="AB5536" s="669"/>
    </row>
    <row r="5537" spans="28:28">
      <c r="AB5537" s="669"/>
    </row>
    <row r="5538" spans="28:28">
      <c r="AB5538" s="669"/>
    </row>
    <row r="5539" spans="28:28">
      <c r="AB5539" s="669"/>
    </row>
    <row r="5540" spans="28:28">
      <c r="AB5540" s="669"/>
    </row>
    <row r="5541" spans="28:28">
      <c r="AB5541" s="669"/>
    </row>
    <row r="5542" spans="28:28">
      <c r="AB5542" s="669"/>
    </row>
    <row r="5543" spans="28:28">
      <c r="AB5543" s="669"/>
    </row>
    <row r="5544" spans="28:28">
      <c r="AB5544" s="669"/>
    </row>
    <row r="5545" spans="28:28">
      <c r="AB5545" s="669"/>
    </row>
    <row r="5546" spans="28:28">
      <c r="AB5546" s="669"/>
    </row>
    <row r="5547" spans="28:28">
      <c r="AB5547" s="669"/>
    </row>
    <row r="5548" spans="28:28">
      <c r="AB5548" s="669"/>
    </row>
    <row r="5549" spans="28:28">
      <c r="AB5549" s="669"/>
    </row>
    <row r="5550" spans="28:28">
      <c r="AB5550" s="669"/>
    </row>
    <row r="5551" spans="28:28">
      <c r="AB5551" s="669"/>
    </row>
    <row r="5552" spans="28:28">
      <c r="AB5552" s="669"/>
    </row>
    <row r="5553" spans="28:28">
      <c r="AB5553" s="669"/>
    </row>
    <row r="5554" spans="28:28">
      <c r="AB5554" s="669"/>
    </row>
    <row r="5555" spans="28:28">
      <c r="AB5555" s="669"/>
    </row>
    <row r="5556" spans="28:28">
      <c r="AB5556" s="669"/>
    </row>
    <row r="5557" spans="28:28">
      <c r="AB5557" s="669"/>
    </row>
    <row r="5558" spans="28:28">
      <c r="AB5558" s="669"/>
    </row>
    <row r="5559" spans="28:28">
      <c r="AB5559" s="669"/>
    </row>
    <row r="5560" spans="28:28">
      <c r="AB5560" s="669"/>
    </row>
    <row r="5561" spans="28:28">
      <c r="AB5561" s="669"/>
    </row>
    <row r="5562" spans="28:28">
      <c r="AB5562" s="669"/>
    </row>
    <row r="5563" spans="28:28">
      <c r="AB5563" s="669"/>
    </row>
    <row r="5564" spans="28:28">
      <c r="AB5564" s="669"/>
    </row>
    <row r="5565" spans="28:28">
      <c r="AB5565" s="669"/>
    </row>
    <row r="5566" spans="28:28">
      <c r="AB5566" s="669"/>
    </row>
    <row r="5567" spans="28:28">
      <c r="AB5567" s="669"/>
    </row>
    <row r="5568" spans="28:28">
      <c r="AB5568" s="669"/>
    </row>
    <row r="5569" spans="28:28">
      <c r="AB5569" s="669"/>
    </row>
    <row r="5570" spans="28:28">
      <c r="AB5570" s="669"/>
    </row>
    <row r="5571" spans="28:28">
      <c r="AB5571" s="669"/>
    </row>
    <row r="5572" spans="28:28">
      <c r="AB5572" s="669"/>
    </row>
    <row r="5573" spans="28:28">
      <c r="AB5573" s="669"/>
    </row>
    <row r="5574" spans="28:28">
      <c r="AB5574" s="669"/>
    </row>
    <row r="5575" spans="28:28">
      <c r="AB5575" s="669"/>
    </row>
    <row r="5576" spans="28:28">
      <c r="AB5576" s="669"/>
    </row>
    <row r="5577" spans="28:28">
      <c r="AB5577" s="669"/>
    </row>
    <row r="5578" spans="28:28">
      <c r="AB5578" s="669"/>
    </row>
    <row r="5579" spans="28:28">
      <c r="AB5579" s="669"/>
    </row>
    <row r="5580" spans="28:28">
      <c r="AB5580" s="669"/>
    </row>
    <row r="5581" spans="28:28">
      <c r="AB5581" s="669"/>
    </row>
    <row r="5582" spans="28:28">
      <c r="AB5582" s="669"/>
    </row>
    <row r="5583" spans="28:28">
      <c r="AB5583" s="669"/>
    </row>
    <row r="5584" spans="28:28">
      <c r="AB5584" s="669"/>
    </row>
    <row r="5585" spans="28:28">
      <c r="AB5585" s="669"/>
    </row>
    <row r="5586" spans="28:28">
      <c r="AB5586" s="669"/>
    </row>
    <row r="5587" spans="28:28">
      <c r="AB5587" s="669"/>
    </row>
    <row r="5588" spans="28:28">
      <c r="AB5588" s="669"/>
    </row>
    <row r="5589" spans="28:28">
      <c r="AB5589" s="669"/>
    </row>
    <row r="5590" spans="28:28">
      <c r="AB5590" s="669"/>
    </row>
    <row r="5591" spans="28:28">
      <c r="AB5591" s="669"/>
    </row>
    <row r="5592" spans="28:28">
      <c r="AB5592" s="669"/>
    </row>
    <row r="5593" spans="28:28">
      <c r="AB5593" s="669"/>
    </row>
    <row r="5594" spans="28:28">
      <c r="AB5594" s="669"/>
    </row>
    <row r="5595" spans="28:28">
      <c r="AB5595" s="669"/>
    </row>
    <row r="5596" spans="28:28">
      <c r="AB5596" s="669"/>
    </row>
    <row r="5597" spans="28:28">
      <c r="AB5597" s="669"/>
    </row>
    <row r="5598" spans="28:28">
      <c r="AB5598" s="669"/>
    </row>
    <row r="5599" spans="28:28">
      <c r="AB5599" s="669"/>
    </row>
    <row r="5600" spans="28:28">
      <c r="AB5600" s="669"/>
    </row>
    <row r="5601" spans="28:28">
      <c r="AB5601" s="669"/>
    </row>
    <row r="5602" spans="28:28">
      <c r="AB5602" s="669"/>
    </row>
    <row r="5603" spans="28:28">
      <c r="AB5603" s="669"/>
    </row>
    <row r="5604" spans="28:28">
      <c r="AB5604" s="669"/>
    </row>
    <row r="5605" spans="28:28">
      <c r="AB5605" s="669"/>
    </row>
    <row r="5606" spans="28:28">
      <c r="AB5606" s="669"/>
    </row>
    <row r="5607" spans="28:28">
      <c r="AB5607" s="669"/>
    </row>
    <row r="5608" spans="28:28">
      <c r="AB5608" s="669"/>
    </row>
    <row r="5609" spans="28:28">
      <c r="AB5609" s="669"/>
    </row>
    <row r="5610" spans="28:28">
      <c r="AB5610" s="669"/>
    </row>
    <row r="5611" spans="28:28">
      <c r="AB5611" s="669"/>
    </row>
    <row r="5612" spans="28:28">
      <c r="AB5612" s="669"/>
    </row>
    <row r="5613" spans="28:28">
      <c r="AB5613" s="669"/>
    </row>
    <row r="5614" spans="28:28">
      <c r="AB5614" s="669"/>
    </row>
    <row r="5615" spans="28:28">
      <c r="AB5615" s="669"/>
    </row>
    <row r="5616" spans="28:28">
      <c r="AB5616" s="669"/>
    </row>
    <row r="5617" spans="28:28">
      <c r="AB5617" s="669"/>
    </row>
    <row r="5618" spans="28:28">
      <c r="AB5618" s="669"/>
    </row>
    <row r="5619" spans="28:28">
      <c r="AB5619" s="669"/>
    </row>
    <row r="5620" spans="28:28">
      <c r="AB5620" s="669"/>
    </row>
    <row r="5621" spans="28:28">
      <c r="AB5621" s="669"/>
    </row>
    <row r="5622" spans="28:28">
      <c r="AB5622" s="669"/>
    </row>
    <row r="5623" spans="28:28">
      <c r="AB5623" s="669"/>
    </row>
    <row r="5624" spans="28:28">
      <c r="AB5624" s="669"/>
    </row>
    <row r="5625" spans="28:28">
      <c r="AB5625" s="669"/>
    </row>
    <row r="5626" spans="28:28">
      <c r="AB5626" s="669"/>
    </row>
    <row r="5627" spans="28:28">
      <c r="AB5627" s="669"/>
    </row>
    <row r="5628" spans="28:28">
      <c r="AB5628" s="669"/>
    </row>
    <row r="5629" spans="28:28">
      <c r="AB5629" s="669"/>
    </row>
    <row r="5630" spans="28:28">
      <c r="AB5630" s="669"/>
    </row>
    <row r="5631" spans="28:28">
      <c r="AB5631" s="669"/>
    </row>
    <row r="5632" spans="28:28">
      <c r="AB5632" s="669"/>
    </row>
    <row r="5633" spans="28:28">
      <c r="AB5633" s="669"/>
    </row>
    <row r="5634" spans="28:28">
      <c r="AB5634" s="669"/>
    </row>
    <row r="5635" spans="28:28">
      <c r="AB5635" s="669"/>
    </row>
    <row r="5636" spans="28:28">
      <c r="AB5636" s="669"/>
    </row>
    <row r="5637" spans="28:28">
      <c r="AB5637" s="669"/>
    </row>
    <row r="5638" spans="28:28">
      <c r="AB5638" s="669"/>
    </row>
    <row r="5639" spans="28:28">
      <c r="AB5639" s="669"/>
    </row>
    <row r="5640" spans="28:28">
      <c r="AB5640" s="669"/>
    </row>
    <row r="5641" spans="28:28">
      <c r="AB5641" s="669"/>
    </row>
    <row r="5642" spans="28:28">
      <c r="AB5642" s="669"/>
    </row>
    <row r="5643" spans="28:28">
      <c r="AB5643" s="669"/>
    </row>
    <row r="5644" spans="28:28">
      <c r="AB5644" s="669"/>
    </row>
    <row r="5645" spans="28:28">
      <c r="AB5645" s="669"/>
    </row>
    <row r="5646" spans="28:28">
      <c r="AB5646" s="669"/>
    </row>
    <row r="5647" spans="28:28">
      <c r="AB5647" s="669"/>
    </row>
    <row r="5648" spans="28:28">
      <c r="AB5648" s="669"/>
    </row>
    <row r="5649" spans="28:28">
      <c r="AB5649" s="669"/>
    </row>
    <row r="5650" spans="28:28">
      <c r="AB5650" s="669"/>
    </row>
    <row r="5651" spans="28:28">
      <c r="AB5651" s="669"/>
    </row>
    <row r="5652" spans="28:28">
      <c r="AB5652" s="669"/>
    </row>
    <row r="5653" spans="28:28">
      <c r="AB5653" s="669"/>
    </row>
    <row r="5654" spans="28:28">
      <c r="AB5654" s="669"/>
    </row>
    <row r="5655" spans="28:28">
      <c r="AB5655" s="669"/>
    </row>
    <row r="5656" spans="28:28">
      <c r="AB5656" s="669"/>
    </row>
    <row r="5657" spans="28:28">
      <c r="AB5657" s="669"/>
    </row>
    <row r="5658" spans="28:28">
      <c r="AB5658" s="669"/>
    </row>
    <row r="5659" spans="28:28">
      <c r="AB5659" s="669"/>
    </row>
    <row r="5660" spans="28:28">
      <c r="AB5660" s="669"/>
    </row>
    <row r="5661" spans="28:28">
      <c r="AB5661" s="669"/>
    </row>
    <row r="5662" spans="28:28">
      <c r="AB5662" s="669"/>
    </row>
    <row r="5663" spans="28:28">
      <c r="AB5663" s="669"/>
    </row>
    <row r="5664" spans="28:28">
      <c r="AB5664" s="669"/>
    </row>
    <row r="5665" spans="28:28">
      <c r="AB5665" s="669"/>
    </row>
    <row r="5666" spans="28:28">
      <c r="AB5666" s="669"/>
    </row>
    <row r="5667" spans="28:28">
      <c r="AB5667" s="669"/>
    </row>
    <row r="5668" spans="28:28">
      <c r="AB5668" s="669"/>
    </row>
    <row r="5669" spans="28:28">
      <c r="AB5669" s="669"/>
    </row>
    <row r="5670" spans="28:28">
      <c r="AB5670" s="669"/>
    </row>
    <row r="5671" spans="28:28">
      <c r="AB5671" s="669"/>
    </row>
    <row r="5672" spans="28:28">
      <c r="AB5672" s="669"/>
    </row>
    <row r="5673" spans="28:28">
      <c r="AB5673" s="669"/>
    </row>
    <row r="5674" spans="28:28">
      <c r="AB5674" s="669"/>
    </row>
    <row r="5675" spans="28:28">
      <c r="AB5675" s="669"/>
    </row>
    <row r="5676" spans="28:28">
      <c r="AB5676" s="669"/>
    </row>
    <row r="5677" spans="28:28">
      <c r="AB5677" s="669"/>
    </row>
    <row r="5678" spans="28:28">
      <c r="AB5678" s="669"/>
    </row>
    <row r="5679" spans="28:28">
      <c r="AB5679" s="669"/>
    </row>
    <row r="5680" spans="28:28">
      <c r="AB5680" s="669"/>
    </row>
    <row r="5681" spans="28:28">
      <c r="AB5681" s="669"/>
    </row>
    <row r="5682" spans="28:28">
      <c r="AB5682" s="669"/>
    </row>
    <row r="5683" spans="28:28">
      <c r="AB5683" s="669"/>
    </row>
    <row r="5684" spans="28:28">
      <c r="AB5684" s="669"/>
    </row>
    <row r="5685" spans="28:28">
      <c r="AB5685" s="669"/>
    </row>
    <row r="5686" spans="28:28">
      <c r="AB5686" s="669"/>
    </row>
    <row r="5687" spans="28:28">
      <c r="AB5687" s="669"/>
    </row>
    <row r="5688" spans="28:28">
      <c r="AB5688" s="669"/>
    </row>
    <row r="5689" spans="28:28">
      <c r="AB5689" s="669"/>
    </row>
    <row r="5690" spans="28:28">
      <c r="AB5690" s="669"/>
    </row>
    <row r="5691" spans="28:28">
      <c r="AB5691" s="669"/>
    </row>
    <row r="5692" spans="28:28">
      <c r="AB5692" s="669"/>
    </row>
    <row r="5693" spans="28:28">
      <c r="AB5693" s="669"/>
    </row>
    <row r="5694" spans="28:28">
      <c r="AB5694" s="669"/>
    </row>
    <row r="5695" spans="28:28">
      <c r="AB5695" s="669"/>
    </row>
    <row r="5696" spans="28:28">
      <c r="AB5696" s="669"/>
    </row>
    <row r="5697" spans="28:28">
      <c r="AB5697" s="669"/>
    </row>
    <row r="5698" spans="28:28">
      <c r="AB5698" s="669"/>
    </row>
    <row r="5699" spans="28:28">
      <c r="AB5699" s="669"/>
    </row>
    <row r="5700" spans="28:28">
      <c r="AB5700" s="669"/>
    </row>
    <row r="5701" spans="28:28">
      <c r="AB5701" s="669"/>
    </row>
    <row r="5702" spans="28:28">
      <c r="AB5702" s="669"/>
    </row>
    <row r="5703" spans="28:28">
      <c r="AB5703" s="669"/>
    </row>
    <row r="5704" spans="28:28">
      <c r="AB5704" s="669"/>
    </row>
    <row r="5705" spans="28:28">
      <c r="AB5705" s="669"/>
    </row>
    <row r="5706" spans="28:28">
      <c r="AB5706" s="669"/>
    </row>
    <row r="5707" spans="28:28">
      <c r="AB5707" s="669"/>
    </row>
    <row r="5708" spans="28:28">
      <c r="AB5708" s="669"/>
    </row>
    <row r="5709" spans="28:28">
      <c r="AB5709" s="669"/>
    </row>
    <row r="5710" spans="28:28">
      <c r="AB5710" s="669"/>
    </row>
    <row r="5711" spans="28:28">
      <c r="AB5711" s="669"/>
    </row>
    <row r="5712" spans="28:28">
      <c r="AB5712" s="669"/>
    </row>
    <row r="5713" spans="28:28">
      <c r="AB5713" s="669"/>
    </row>
    <row r="5714" spans="28:28">
      <c r="AB5714" s="669"/>
    </row>
    <row r="5715" spans="28:28">
      <c r="AB5715" s="669"/>
    </row>
    <row r="5716" spans="28:28">
      <c r="AB5716" s="669"/>
    </row>
    <row r="5717" spans="28:28">
      <c r="AB5717" s="669"/>
    </row>
    <row r="5718" spans="28:28">
      <c r="AB5718" s="669"/>
    </row>
    <row r="5719" spans="28:28">
      <c r="AB5719" s="669"/>
    </row>
    <row r="5720" spans="28:28">
      <c r="AB5720" s="669"/>
    </row>
    <row r="5721" spans="28:28">
      <c r="AB5721" s="669"/>
    </row>
    <row r="5722" spans="28:28">
      <c r="AB5722" s="669"/>
    </row>
    <row r="5723" spans="28:28">
      <c r="AB5723" s="669"/>
    </row>
    <row r="5724" spans="28:28">
      <c r="AB5724" s="669"/>
    </row>
    <row r="5725" spans="28:28">
      <c r="AB5725" s="669"/>
    </row>
    <row r="5726" spans="28:28">
      <c r="AB5726" s="669"/>
    </row>
    <row r="5727" spans="28:28">
      <c r="AB5727" s="669"/>
    </row>
    <row r="5728" spans="28:28">
      <c r="AB5728" s="669"/>
    </row>
    <row r="5729" spans="28:28">
      <c r="AB5729" s="669"/>
    </row>
    <row r="5730" spans="28:28">
      <c r="AB5730" s="669"/>
    </row>
    <row r="5731" spans="28:28">
      <c r="AB5731" s="669"/>
    </row>
    <row r="5732" spans="28:28">
      <c r="AB5732" s="669"/>
    </row>
    <row r="5733" spans="28:28">
      <c r="AB5733" s="669"/>
    </row>
    <row r="5734" spans="28:28">
      <c r="AB5734" s="669"/>
    </row>
    <row r="5735" spans="28:28">
      <c r="AB5735" s="669"/>
    </row>
    <row r="5736" spans="28:28">
      <c r="AB5736" s="669"/>
    </row>
    <row r="5737" spans="28:28">
      <c r="AB5737" s="669"/>
    </row>
    <row r="5738" spans="28:28">
      <c r="AB5738" s="669"/>
    </row>
    <row r="5739" spans="28:28">
      <c r="AB5739" s="669"/>
    </row>
    <row r="5740" spans="28:28">
      <c r="AB5740" s="669"/>
    </row>
    <row r="5741" spans="28:28">
      <c r="AB5741" s="669"/>
    </row>
    <row r="5742" spans="28:28">
      <c r="AB5742" s="669"/>
    </row>
    <row r="5743" spans="28:28">
      <c r="AB5743" s="669"/>
    </row>
    <row r="5744" spans="28:28">
      <c r="AB5744" s="669"/>
    </row>
    <row r="5745" spans="28:28">
      <c r="AB5745" s="669"/>
    </row>
    <row r="5746" spans="28:28">
      <c r="AB5746" s="669"/>
    </row>
    <row r="5747" spans="28:28">
      <c r="AB5747" s="669"/>
    </row>
    <row r="5748" spans="28:28">
      <c r="AB5748" s="669"/>
    </row>
    <row r="5749" spans="28:28">
      <c r="AB5749" s="669"/>
    </row>
    <row r="5750" spans="28:28">
      <c r="AB5750" s="669"/>
    </row>
    <row r="5751" spans="28:28">
      <c r="AB5751" s="669"/>
    </row>
    <row r="5752" spans="28:28">
      <c r="AB5752" s="669"/>
    </row>
    <row r="5753" spans="28:28">
      <c r="AB5753" s="669"/>
    </row>
    <row r="5754" spans="28:28">
      <c r="AB5754" s="669"/>
    </row>
    <row r="5755" spans="28:28">
      <c r="AB5755" s="669"/>
    </row>
    <row r="5756" spans="28:28">
      <c r="AB5756" s="669"/>
    </row>
    <row r="5757" spans="28:28">
      <c r="AB5757" s="669"/>
    </row>
    <row r="5758" spans="28:28">
      <c r="AB5758" s="669"/>
    </row>
    <row r="5759" spans="28:28">
      <c r="AB5759" s="669"/>
    </row>
    <row r="5760" spans="28:28">
      <c r="AB5760" s="669"/>
    </row>
    <row r="5761" spans="28:28">
      <c r="AB5761" s="669"/>
    </row>
    <row r="5762" spans="28:28">
      <c r="AB5762" s="669"/>
    </row>
    <row r="5763" spans="28:28">
      <c r="AB5763" s="669"/>
    </row>
    <row r="5764" spans="28:28">
      <c r="AB5764" s="669"/>
    </row>
    <row r="5765" spans="28:28">
      <c r="AB5765" s="669"/>
    </row>
    <row r="5766" spans="28:28">
      <c r="AB5766" s="669"/>
    </row>
    <row r="5767" spans="28:28">
      <c r="AB5767" s="669"/>
    </row>
    <row r="5768" spans="28:28">
      <c r="AB5768" s="669"/>
    </row>
    <row r="5769" spans="28:28">
      <c r="AB5769" s="669"/>
    </row>
    <row r="5770" spans="28:28">
      <c r="AB5770" s="669"/>
    </row>
    <row r="5771" spans="28:28">
      <c r="AB5771" s="669"/>
    </row>
    <row r="5772" spans="28:28">
      <c r="AB5772" s="669"/>
    </row>
    <row r="5773" spans="28:28">
      <c r="AB5773" s="669"/>
    </row>
    <row r="5774" spans="28:28">
      <c r="AB5774" s="669"/>
    </row>
    <row r="5775" spans="28:28">
      <c r="AB5775" s="669"/>
    </row>
    <row r="5776" spans="28:28">
      <c r="AB5776" s="669"/>
    </row>
    <row r="5777" spans="28:28">
      <c r="AB5777" s="669"/>
    </row>
    <row r="5778" spans="28:28">
      <c r="AB5778" s="669"/>
    </row>
    <row r="5779" spans="28:28">
      <c r="AB5779" s="669"/>
    </row>
    <row r="5780" spans="28:28">
      <c r="AB5780" s="669"/>
    </row>
    <row r="5781" spans="28:28">
      <c r="AB5781" s="669"/>
    </row>
    <row r="5782" spans="28:28">
      <c r="AB5782" s="669"/>
    </row>
    <row r="5783" spans="28:28">
      <c r="AB5783" s="669"/>
    </row>
    <row r="5784" spans="28:28">
      <c r="AB5784" s="669"/>
    </row>
    <row r="5785" spans="28:28">
      <c r="AB5785" s="669"/>
    </row>
    <row r="5786" spans="28:28">
      <c r="AB5786" s="669"/>
    </row>
    <row r="5787" spans="28:28">
      <c r="AB5787" s="669"/>
    </row>
    <row r="5788" spans="28:28">
      <c r="AB5788" s="669"/>
    </row>
    <row r="5789" spans="28:28">
      <c r="AB5789" s="669"/>
    </row>
    <row r="5790" spans="28:28">
      <c r="AB5790" s="669"/>
    </row>
    <row r="5791" spans="28:28">
      <c r="AB5791" s="669"/>
    </row>
    <row r="5792" spans="28:28">
      <c r="AB5792" s="669"/>
    </row>
    <row r="5793" spans="28:28">
      <c r="AB5793" s="669"/>
    </row>
    <row r="5794" spans="28:28">
      <c r="AB5794" s="669"/>
    </row>
    <row r="5795" spans="28:28">
      <c r="AB5795" s="669"/>
    </row>
    <row r="5796" spans="28:28">
      <c r="AB5796" s="669"/>
    </row>
    <row r="5797" spans="28:28">
      <c r="AB5797" s="669"/>
    </row>
    <row r="5798" spans="28:28">
      <c r="AB5798" s="669"/>
    </row>
    <row r="5799" spans="28:28">
      <c r="AB5799" s="669"/>
    </row>
    <row r="5800" spans="28:28">
      <c r="AB5800" s="669"/>
    </row>
    <row r="5801" spans="28:28">
      <c r="AB5801" s="669"/>
    </row>
    <row r="5802" spans="28:28">
      <c r="AB5802" s="669"/>
    </row>
    <row r="5803" spans="28:28">
      <c r="AB5803" s="669"/>
    </row>
    <row r="5804" spans="28:28">
      <c r="AB5804" s="669"/>
    </row>
    <row r="5805" spans="28:28">
      <c r="AB5805" s="669"/>
    </row>
    <row r="5806" spans="28:28">
      <c r="AB5806" s="669"/>
    </row>
    <row r="5807" spans="28:28">
      <c r="AB5807" s="669"/>
    </row>
    <row r="5808" spans="28:28">
      <c r="AB5808" s="669"/>
    </row>
    <row r="5809" spans="28:28">
      <c r="AB5809" s="669"/>
    </row>
    <row r="5810" spans="28:28">
      <c r="AB5810" s="669"/>
    </row>
    <row r="5811" spans="28:28">
      <c r="AB5811" s="669"/>
    </row>
    <row r="5812" spans="28:28">
      <c r="AB5812" s="669"/>
    </row>
    <row r="5813" spans="28:28">
      <c r="AB5813" s="669"/>
    </row>
    <row r="5814" spans="28:28">
      <c r="AB5814" s="669"/>
    </row>
    <row r="5815" spans="28:28">
      <c r="AB5815" s="669"/>
    </row>
    <row r="5816" spans="28:28">
      <c r="AB5816" s="669"/>
    </row>
    <row r="5817" spans="28:28">
      <c r="AB5817" s="669"/>
    </row>
    <row r="5818" spans="28:28">
      <c r="AB5818" s="669"/>
    </row>
    <row r="5819" spans="28:28">
      <c r="AB5819" s="669"/>
    </row>
    <row r="5820" spans="28:28">
      <c r="AB5820" s="669"/>
    </row>
    <row r="5821" spans="28:28">
      <c r="AB5821" s="669"/>
    </row>
    <row r="5822" spans="28:28">
      <c r="AB5822" s="669"/>
    </row>
    <row r="5823" spans="28:28">
      <c r="AB5823" s="669"/>
    </row>
    <row r="5824" spans="28:28">
      <c r="AB5824" s="669"/>
    </row>
    <row r="5825" spans="28:28">
      <c r="AB5825" s="669"/>
    </row>
    <row r="5826" spans="28:28">
      <c r="AB5826" s="669"/>
    </row>
    <row r="5827" spans="28:28">
      <c r="AB5827" s="669"/>
    </row>
    <row r="5828" spans="28:28">
      <c r="AB5828" s="669"/>
    </row>
    <row r="5829" spans="28:28">
      <c r="AB5829" s="669"/>
    </row>
    <row r="5830" spans="28:28">
      <c r="AB5830" s="669"/>
    </row>
    <row r="5831" spans="28:28">
      <c r="AB5831" s="669"/>
    </row>
    <row r="5832" spans="28:28">
      <c r="AB5832" s="669"/>
    </row>
    <row r="5833" spans="28:28">
      <c r="AB5833" s="669"/>
    </row>
    <row r="5834" spans="28:28">
      <c r="AB5834" s="669"/>
    </row>
    <row r="5835" spans="28:28">
      <c r="AB5835" s="669"/>
    </row>
    <row r="5836" spans="28:28">
      <c r="AB5836" s="669"/>
    </row>
    <row r="5837" spans="28:28">
      <c r="AB5837" s="669"/>
    </row>
    <row r="5838" spans="28:28">
      <c r="AB5838" s="669"/>
    </row>
    <row r="5839" spans="28:28">
      <c r="AB5839" s="669"/>
    </row>
    <row r="5840" spans="28:28">
      <c r="AB5840" s="669"/>
    </row>
    <row r="5841" spans="28:28">
      <c r="AB5841" s="669"/>
    </row>
    <row r="5842" spans="28:28">
      <c r="AB5842" s="669"/>
    </row>
    <row r="5843" spans="28:28">
      <c r="AB5843" s="669"/>
    </row>
    <row r="5844" spans="28:28">
      <c r="AB5844" s="669"/>
    </row>
    <row r="5845" spans="28:28">
      <c r="AB5845" s="669"/>
    </row>
    <row r="5846" spans="28:28">
      <c r="AB5846" s="669"/>
    </row>
    <row r="5847" spans="28:28">
      <c r="AB5847" s="669"/>
    </row>
    <row r="5848" spans="28:28">
      <c r="AB5848" s="669"/>
    </row>
    <row r="5849" spans="28:28">
      <c r="AB5849" s="669"/>
    </row>
    <row r="5850" spans="28:28">
      <c r="AB5850" s="669"/>
    </row>
    <row r="5851" spans="28:28">
      <c r="AB5851" s="669"/>
    </row>
    <row r="5852" spans="28:28">
      <c r="AB5852" s="669"/>
    </row>
    <row r="5853" spans="28:28">
      <c r="AB5853" s="669"/>
    </row>
    <row r="5854" spans="28:28">
      <c r="AB5854" s="669"/>
    </row>
    <row r="5855" spans="28:28">
      <c r="AB5855" s="669"/>
    </row>
    <row r="5856" spans="28:28">
      <c r="AB5856" s="669"/>
    </row>
    <row r="5857" spans="28:28">
      <c r="AB5857" s="669"/>
    </row>
    <row r="5858" spans="28:28">
      <c r="AB5858" s="669"/>
    </row>
    <row r="5859" spans="28:28">
      <c r="AB5859" s="669"/>
    </row>
    <row r="5860" spans="28:28">
      <c r="AB5860" s="669"/>
    </row>
    <row r="5861" spans="28:28">
      <c r="AB5861" s="669"/>
    </row>
    <row r="5862" spans="28:28">
      <c r="AB5862" s="669"/>
    </row>
    <row r="5863" spans="28:28">
      <c r="AB5863" s="669"/>
    </row>
    <row r="5864" spans="28:28">
      <c r="AB5864" s="669"/>
    </row>
    <row r="5865" spans="28:28">
      <c r="AB5865" s="669"/>
    </row>
    <row r="5866" spans="28:28">
      <c r="AB5866" s="669"/>
    </row>
    <row r="5867" spans="28:28">
      <c r="AB5867" s="669"/>
    </row>
    <row r="5868" spans="28:28">
      <c r="AB5868" s="669"/>
    </row>
    <row r="5869" spans="28:28">
      <c r="AB5869" s="669"/>
    </row>
    <row r="5870" spans="28:28">
      <c r="AB5870" s="669"/>
    </row>
    <row r="5871" spans="28:28">
      <c r="AB5871" s="669"/>
    </row>
    <row r="5872" spans="28:28">
      <c r="AB5872" s="669"/>
    </row>
    <row r="5873" spans="28:28">
      <c r="AB5873" s="669"/>
    </row>
    <row r="5874" spans="28:28">
      <c r="AB5874" s="669"/>
    </row>
    <row r="5875" spans="28:28">
      <c r="AB5875" s="669"/>
    </row>
    <row r="5876" spans="28:28">
      <c r="AB5876" s="669"/>
    </row>
    <row r="5877" spans="28:28">
      <c r="AB5877" s="669"/>
    </row>
    <row r="5878" spans="28:28">
      <c r="AB5878" s="669"/>
    </row>
    <row r="5879" spans="28:28">
      <c r="AB5879" s="669"/>
    </row>
    <row r="5880" spans="28:28">
      <c r="AB5880" s="669"/>
    </row>
    <row r="5881" spans="28:28">
      <c r="AB5881" s="669"/>
    </row>
    <row r="5882" spans="28:28">
      <c r="AB5882" s="669"/>
    </row>
    <row r="5883" spans="28:28">
      <c r="AB5883" s="669"/>
    </row>
    <row r="5884" spans="28:28">
      <c r="AB5884" s="669"/>
    </row>
    <row r="5885" spans="28:28">
      <c r="AB5885" s="669"/>
    </row>
    <row r="5886" spans="28:28">
      <c r="AB5886" s="669"/>
    </row>
    <row r="5887" spans="28:28">
      <c r="AB5887" s="669"/>
    </row>
    <row r="5888" spans="28:28">
      <c r="AB5888" s="669"/>
    </row>
    <row r="5889" spans="28:28">
      <c r="AB5889" s="669"/>
    </row>
    <row r="5890" spans="28:28">
      <c r="AB5890" s="669"/>
    </row>
    <row r="5891" spans="28:28">
      <c r="AB5891" s="669"/>
    </row>
    <row r="5892" spans="28:28">
      <c r="AB5892" s="669"/>
    </row>
    <row r="5893" spans="28:28">
      <c r="AB5893" s="669"/>
    </row>
    <row r="5894" spans="28:28">
      <c r="AB5894" s="669"/>
    </row>
    <row r="5895" spans="28:28">
      <c r="AB5895" s="669"/>
    </row>
    <row r="5896" spans="28:28">
      <c r="AB5896" s="669"/>
    </row>
    <row r="5897" spans="28:28">
      <c r="AB5897" s="669"/>
    </row>
    <row r="5898" spans="28:28">
      <c r="AB5898" s="669"/>
    </row>
    <row r="5899" spans="28:28">
      <c r="AB5899" s="669"/>
    </row>
    <row r="5900" spans="28:28">
      <c r="AB5900" s="669"/>
    </row>
    <row r="5901" spans="28:28">
      <c r="AB5901" s="669"/>
    </row>
    <row r="5902" spans="28:28">
      <c r="AB5902" s="669"/>
    </row>
    <row r="5903" spans="28:28">
      <c r="AB5903" s="669"/>
    </row>
    <row r="5904" spans="28:28">
      <c r="AB5904" s="669"/>
    </row>
    <row r="5905" spans="28:28">
      <c r="AB5905" s="669"/>
    </row>
    <row r="5906" spans="28:28">
      <c r="AB5906" s="669"/>
    </row>
    <row r="5907" spans="28:28">
      <c r="AB5907" s="669"/>
    </row>
    <row r="5908" spans="28:28">
      <c r="AB5908" s="669"/>
    </row>
    <row r="5909" spans="28:28">
      <c r="AB5909" s="669"/>
    </row>
    <row r="5910" spans="28:28">
      <c r="AB5910" s="669"/>
    </row>
    <row r="5911" spans="28:28">
      <c r="AB5911" s="669"/>
    </row>
    <row r="5912" spans="28:28">
      <c r="AB5912" s="669"/>
    </row>
    <row r="5913" spans="28:28">
      <c r="AB5913" s="669"/>
    </row>
    <row r="5914" spans="28:28">
      <c r="AB5914" s="669"/>
    </row>
    <row r="5915" spans="28:28">
      <c r="AB5915" s="669"/>
    </row>
    <row r="5916" spans="28:28">
      <c r="AB5916" s="669"/>
    </row>
    <row r="5917" spans="28:28">
      <c r="AB5917" s="669"/>
    </row>
    <row r="5918" spans="28:28">
      <c r="AB5918" s="669"/>
    </row>
    <row r="5919" spans="28:28">
      <c r="AB5919" s="669"/>
    </row>
    <row r="5920" spans="28:28">
      <c r="AB5920" s="669"/>
    </row>
    <row r="5921" spans="28:28">
      <c r="AB5921" s="669"/>
    </row>
    <row r="5922" spans="28:28">
      <c r="AB5922" s="669"/>
    </row>
    <row r="5923" spans="28:28">
      <c r="AB5923" s="669"/>
    </row>
    <row r="5924" spans="28:28">
      <c r="AB5924" s="669"/>
    </row>
    <row r="5925" spans="28:28">
      <c r="AB5925" s="669"/>
    </row>
    <row r="5926" spans="28:28">
      <c r="AB5926" s="669"/>
    </row>
    <row r="5927" spans="28:28">
      <c r="AB5927" s="669"/>
    </row>
    <row r="5928" spans="28:28">
      <c r="AB5928" s="669"/>
    </row>
    <row r="5929" spans="28:28">
      <c r="AB5929" s="669"/>
    </row>
    <row r="5930" spans="28:28">
      <c r="AB5930" s="669"/>
    </row>
    <row r="5931" spans="28:28">
      <c r="AB5931" s="669"/>
    </row>
    <row r="5932" spans="28:28">
      <c r="AB5932" s="669"/>
    </row>
    <row r="5933" spans="28:28">
      <c r="AB5933" s="669"/>
    </row>
    <row r="5934" spans="28:28">
      <c r="AB5934" s="669"/>
    </row>
    <row r="5935" spans="28:28">
      <c r="AB5935" s="669"/>
    </row>
    <row r="5936" spans="28:28">
      <c r="AB5936" s="669"/>
    </row>
    <row r="5937" spans="28:28">
      <c r="AB5937" s="669"/>
    </row>
    <row r="5938" spans="28:28">
      <c r="AB5938" s="669"/>
    </row>
    <row r="5939" spans="28:28">
      <c r="AB5939" s="669"/>
    </row>
    <row r="5940" spans="28:28">
      <c r="AB5940" s="669"/>
    </row>
    <row r="5941" spans="28:28">
      <c r="AB5941" s="669"/>
    </row>
    <row r="5942" spans="28:28">
      <c r="AB5942" s="669"/>
    </row>
    <row r="5943" spans="28:28">
      <c r="AB5943" s="669"/>
    </row>
    <row r="5944" spans="28:28">
      <c r="AB5944" s="669"/>
    </row>
    <row r="5945" spans="28:28">
      <c r="AB5945" s="669"/>
    </row>
    <row r="5946" spans="28:28">
      <c r="AB5946" s="669"/>
    </row>
    <row r="5947" spans="28:28">
      <c r="AB5947" s="669"/>
    </row>
    <row r="5948" spans="28:28">
      <c r="AB5948" s="669"/>
    </row>
    <row r="5949" spans="28:28">
      <c r="AB5949" s="669"/>
    </row>
    <row r="5950" spans="28:28">
      <c r="AB5950" s="669"/>
    </row>
    <row r="5951" spans="28:28">
      <c r="AB5951" s="669"/>
    </row>
    <row r="5952" spans="28:28">
      <c r="AB5952" s="669"/>
    </row>
    <row r="5953" spans="28:28">
      <c r="AB5953" s="669"/>
    </row>
    <row r="5954" spans="28:28">
      <c r="AB5954" s="669"/>
    </row>
    <row r="5955" spans="28:28">
      <c r="AB5955" s="669"/>
    </row>
    <row r="5956" spans="28:28">
      <c r="AB5956" s="669"/>
    </row>
    <row r="5957" spans="28:28">
      <c r="AB5957" s="669"/>
    </row>
    <row r="5958" spans="28:28">
      <c r="AB5958" s="669"/>
    </row>
    <row r="5959" spans="28:28">
      <c r="AB5959" s="669"/>
    </row>
    <row r="5960" spans="28:28">
      <c r="AB5960" s="669"/>
    </row>
    <row r="5961" spans="28:28">
      <c r="AB5961" s="669"/>
    </row>
    <row r="5962" spans="28:28">
      <c r="AB5962" s="669"/>
    </row>
    <row r="5963" spans="28:28">
      <c r="AB5963" s="669"/>
    </row>
    <row r="5964" spans="28:28">
      <c r="AB5964" s="669"/>
    </row>
    <row r="5965" spans="28:28">
      <c r="AB5965" s="669"/>
    </row>
    <row r="5966" spans="28:28">
      <c r="AB5966" s="669"/>
    </row>
    <row r="5967" spans="28:28">
      <c r="AB5967" s="669"/>
    </row>
    <row r="5968" spans="28:28">
      <c r="AB5968" s="669"/>
    </row>
    <row r="5969" spans="28:28">
      <c r="AB5969" s="669"/>
    </row>
    <row r="5970" spans="28:28">
      <c r="AB5970" s="669"/>
    </row>
    <row r="5971" spans="28:28">
      <c r="AB5971" s="669"/>
    </row>
    <row r="5972" spans="28:28">
      <c r="AB5972" s="669"/>
    </row>
    <row r="5973" spans="28:28">
      <c r="AB5973" s="669"/>
    </row>
    <row r="5974" spans="28:28">
      <c r="AB5974" s="669"/>
    </row>
    <row r="5975" spans="28:28">
      <c r="AB5975" s="669"/>
    </row>
    <row r="5976" spans="28:28">
      <c r="AB5976" s="669"/>
    </row>
    <row r="5977" spans="28:28">
      <c r="AB5977" s="669"/>
    </row>
    <row r="5978" spans="28:28">
      <c r="AB5978" s="669"/>
    </row>
    <row r="5979" spans="28:28">
      <c r="AB5979" s="669"/>
    </row>
    <row r="5980" spans="28:28">
      <c r="AB5980" s="669"/>
    </row>
    <row r="5981" spans="28:28">
      <c r="AB5981" s="669"/>
    </row>
    <row r="5982" spans="28:28">
      <c r="AB5982" s="669"/>
    </row>
    <row r="5983" spans="28:28">
      <c r="AB5983" s="669"/>
    </row>
    <row r="5984" spans="28:28">
      <c r="AB5984" s="669"/>
    </row>
    <row r="5985" spans="28:28">
      <c r="AB5985" s="669"/>
    </row>
    <row r="5986" spans="28:28">
      <c r="AB5986" s="669"/>
    </row>
    <row r="5987" spans="28:28">
      <c r="AB5987" s="669"/>
    </row>
    <row r="5988" spans="28:28">
      <c r="AB5988" s="669"/>
    </row>
    <row r="5989" spans="28:28">
      <c r="AB5989" s="669"/>
    </row>
    <row r="5990" spans="28:28">
      <c r="AB5990" s="669"/>
    </row>
    <row r="5991" spans="28:28">
      <c r="AB5991" s="669"/>
    </row>
    <row r="5992" spans="28:28">
      <c r="AB5992" s="669"/>
    </row>
    <row r="5993" spans="28:28">
      <c r="AB5993" s="669"/>
    </row>
    <row r="5994" spans="28:28">
      <c r="AB5994" s="669"/>
    </row>
    <row r="5995" spans="28:28">
      <c r="AB5995" s="669"/>
    </row>
    <row r="5996" spans="28:28">
      <c r="AB5996" s="669"/>
    </row>
    <row r="5997" spans="28:28">
      <c r="AB5997" s="669"/>
    </row>
    <row r="5998" spans="28:28">
      <c r="AB5998" s="669"/>
    </row>
    <row r="5999" spans="28:28">
      <c r="AB5999" s="669"/>
    </row>
    <row r="6000" spans="28:28">
      <c r="AB6000" s="669"/>
    </row>
    <row r="6001" spans="28:28">
      <c r="AB6001" s="669"/>
    </row>
    <row r="6002" spans="28:28">
      <c r="AB6002" s="669"/>
    </row>
    <row r="6003" spans="28:28">
      <c r="AB6003" s="669"/>
    </row>
    <row r="6004" spans="28:28">
      <c r="AB6004" s="669"/>
    </row>
    <row r="6005" spans="28:28">
      <c r="AB6005" s="669"/>
    </row>
    <row r="6006" spans="28:28">
      <c r="AB6006" s="669"/>
    </row>
    <row r="6007" spans="28:28">
      <c r="AB6007" s="669"/>
    </row>
    <row r="6008" spans="28:28">
      <c r="AB6008" s="669"/>
    </row>
    <row r="6009" spans="28:28">
      <c r="AB6009" s="669"/>
    </row>
    <row r="6010" spans="28:28">
      <c r="AB6010" s="669"/>
    </row>
    <row r="6011" spans="28:28">
      <c r="AB6011" s="669"/>
    </row>
    <row r="6012" spans="28:28">
      <c r="AB6012" s="669"/>
    </row>
    <row r="6013" spans="28:28">
      <c r="AB6013" s="669"/>
    </row>
    <row r="6014" spans="28:28">
      <c r="AB6014" s="669"/>
    </row>
    <row r="6015" spans="28:28">
      <c r="AB6015" s="669"/>
    </row>
    <row r="6016" spans="28:28">
      <c r="AB6016" s="669"/>
    </row>
    <row r="6017" spans="28:28">
      <c r="AB6017" s="669"/>
    </row>
    <row r="6018" spans="28:28">
      <c r="AB6018" s="669"/>
    </row>
    <row r="6019" spans="28:28">
      <c r="AB6019" s="669"/>
    </row>
    <row r="6020" spans="28:28">
      <c r="AB6020" s="669"/>
    </row>
    <row r="6021" spans="28:28">
      <c r="AB6021" s="669"/>
    </row>
    <row r="6022" spans="28:28">
      <c r="AB6022" s="669"/>
    </row>
    <row r="6023" spans="28:28">
      <c r="AB6023" s="669"/>
    </row>
    <row r="6024" spans="28:28">
      <c r="AB6024" s="669"/>
    </row>
    <row r="6025" spans="28:28">
      <c r="AB6025" s="669"/>
    </row>
    <row r="6026" spans="28:28">
      <c r="AB6026" s="669"/>
    </row>
    <row r="6027" spans="28:28">
      <c r="AB6027" s="669"/>
    </row>
    <row r="6028" spans="28:28">
      <c r="AB6028" s="669"/>
    </row>
    <row r="6029" spans="28:28">
      <c r="AB6029" s="669"/>
    </row>
    <row r="6030" spans="28:28">
      <c r="AB6030" s="669"/>
    </row>
    <row r="6031" spans="28:28">
      <c r="AB6031" s="669"/>
    </row>
    <row r="6032" spans="28:28">
      <c r="AB6032" s="669"/>
    </row>
    <row r="6033" spans="28:28">
      <c r="AB6033" s="669"/>
    </row>
    <row r="6034" spans="28:28">
      <c r="AB6034" s="669"/>
    </row>
    <row r="6035" spans="28:28">
      <c r="AB6035" s="669"/>
    </row>
    <row r="6036" spans="28:28">
      <c r="AB6036" s="669"/>
    </row>
    <row r="6037" spans="28:28">
      <c r="AB6037" s="669"/>
    </row>
    <row r="6038" spans="28:28">
      <c r="AB6038" s="669"/>
    </row>
    <row r="6039" spans="28:28">
      <c r="AB6039" s="669"/>
    </row>
    <row r="6040" spans="28:28">
      <c r="AB6040" s="669"/>
    </row>
    <row r="6041" spans="28:28">
      <c r="AB6041" s="669"/>
    </row>
    <row r="6042" spans="28:28">
      <c r="AB6042" s="669"/>
    </row>
    <row r="6043" spans="28:28">
      <c r="AB6043" s="669"/>
    </row>
    <row r="6044" spans="28:28">
      <c r="AB6044" s="669"/>
    </row>
    <row r="6045" spans="28:28">
      <c r="AB6045" s="669"/>
    </row>
    <row r="6046" spans="28:28">
      <c r="AB6046" s="669"/>
    </row>
    <row r="6047" spans="28:28">
      <c r="AB6047" s="669"/>
    </row>
    <row r="6048" spans="28:28">
      <c r="AB6048" s="669"/>
    </row>
    <row r="6049" spans="28:28">
      <c r="AB6049" s="669"/>
    </row>
    <row r="6050" spans="28:28">
      <c r="AB6050" s="669"/>
    </row>
    <row r="6051" spans="28:28">
      <c r="AB6051" s="669"/>
    </row>
    <row r="6052" spans="28:28">
      <c r="AB6052" s="669"/>
    </row>
    <row r="6053" spans="28:28">
      <c r="AB6053" s="669"/>
    </row>
    <row r="6054" spans="28:28">
      <c r="AB6054" s="669"/>
    </row>
    <row r="6055" spans="28:28">
      <c r="AB6055" s="669"/>
    </row>
    <row r="6056" spans="28:28">
      <c r="AB6056" s="669"/>
    </row>
    <row r="6057" spans="28:28">
      <c r="AB6057" s="669"/>
    </row>
    <row r="6058" spans="28:28">
      <c r="AB6058" s="669"/>
    </row>
    <row r="6059" spans="28:28">
      <c r="AB6059" s="669"/>
    </row>
    <row r="6060" spans="28:28">
      <c r="AB6060" s="669"/>
    </row>
    <row r="6061" spans="28:28">
      <c r="AB6061" s="669"/>
    </row>
    <row r="6062" spans="28:28">
      <c r="AB6062" s="669"/>
    </row>
    <row r="6063" spans="28:28">
      <c r="AB6063" s="669"/>
    </row>
    <row r="6064" spans="28:28">
      <c r="AB6064" s="669"/>
    </row>
    <row r="6065" spans="28:28">
      <c r="AB6065" s="669"/>
    </row>
    <row r="6066" spans="28:28">
      <c r="AB6066" s="669"/>
    </row>
    <row r="6067" spans="28:28">
      <c r="AB6067" s="669"/>
    </row>
    <row r="6068" spans="28:28">
      <c r="AB6068" s="669"/>
    </row>
    <row r="6069" spans="28:28">
      <c r="AB6069" s="669"/>
    </row>
    <row r="6070" spans="28:28">
      <c r="AB6070" s="669"/>
    </row>
    <row r="6071" spans="28:28">
      <c r="AB6071" s="669"/>
    </row>
    <row r="6072" spans="28:28">
      <c r="AB6072" s="669"/>
    </row>
    <row r="6073" spans="28:28">
      <c r="AB6073" s="669"/>
    </row>
    <row r="6074" spans="28:28">
      <c r="AB6074" s="669"/>
    </row>
    <row r="6075" spans="28:28">
      <c r="AB6075" s="669"/>
    </row>
    <row r="6076" spans="28:28">
      <c r="AB6076" s="669"/>
    </row>
    <row r="6077" spans="28:28">
      <c r="AB6077" s="669"/>
    </row>
    <row r="6078" spans="28:28">
      <c r="AB6078" s="669"/>
    </row>
    <row r="6079" spans="28:28">
      <c r="AB6079" s="669"/>
    </row>
    <row r="6080" spans="28:28">
      <c r="AB6080" s="669"/>
    </row>
    <row r="6081" spans="28:28">
      <c r="AB6081" s="669"/>
    </row>
    <row r="6082" spans="28:28">
      <c r="AB6082" s="669"/>
    </row>
    <row r="6083" spans="28:28">
      <c r="AB6083" s="669"/>
    </row>
    <row r="6084" spans="28:28">
      <c r="AB6084" s="669"/>
    </row>
    <row r="6085" spans="28:28">
      <c r="AB6085" s="669"/>
    </row>
    <row r="6086" spans="28:28">
      <c r="AB6086" s="669"/>
    </row>
    <row r="6087" spans="28:28">
      <c r="AB6087" s="669"/>
    </row>
    <row r="6088" spans="28:28">
      <c r="AB6088" s="669"/>
    </row>
    <row r="6089" spans="28:28">
      <c r="AB6089" s="669"/>
    </row>
    <row r="6090" spans="28:28">
      <c r="AB6090" s="669"/>
    </row>
    <row r="6091" spans="28:28">
      <c r="AB6091" s="669"/>
    </row>
    <row r="6092" spans="28:28">
      <c r="AB6092" s="669"/>
    </row>
    <row r="6093" spans="28:28">
      <c r="AB6093" s="669"/>
    </row>
    <row r="6094" spans="28:28">
      <c r="AB6094" s="669"/>
    </row>
    <row r="6095" spans="28:28">
      <c r="AB6095" s="669"/>
    </row>
    <row r="6096" spans="28:28">
      <c r="AB6096" s="669"/>
    </row>
    <row r="6097" spans="28:28">
      <c r="AB6097" s="669"/>
    </row>
    <row r="6098" spans="28:28">
      <c r="AB6098" s="669"/>
    </row>
    <row r="6099" spans="28:28">
      <c r="AB6099" s="669"/>
    </row>
    <row r="6100" spans="28:28">
      <c r="AB6100" s="669"/>
    </row>
    <row r="6101" spans="28:28">
      <c r="AB6101" s="669"/>
    </row>
    <row r="6102" spans="28:28">
      <c r="AB6102" s="669"/>
    </row>
    <row r="6103" spans="28:28">
      <c r="AB6103" s="669"/>
    </row>
    <row r="6104" spans="28:28">
      <c r="AB6104" s="669"/>
    </row>
    <row r="6105" spans="28:28">
      <c r="AB6105" s="669"/>
    </row>
    <row r="6106" spans="28:28">
      <c r="AB6106" s="669"/>
    </row>
    <row r="6107" spans="28:28">
      <c r="AB6107" s="669"/>
    </row>
    <row r="6108" spans="28:28">
      <c r="AB6108" s="669"/>
    </row>
    <row r="6109" spans="28:28">
      <c r="AB6109" s="669"/>
    </row>
    <row r="6110" spans="28:28">
      <c r="AB6110" s="669"/>
    </row>
    <row r="6111" spans="28:28">
      <c r="AB6111" s="669"/>
    </row>
    <row r="6112" spans="28:28">
      <c r="AB6112" s="669"/>
    </row>
    <row r="6113" spans="28:28">
      <c r="AB6113" s="669"/>
    </row>
    <row r="6114" spans="28:28">
      <c r="AB6114" s="669"/>
    </row>
    <row r="6115" spans="28:28">
      <c r="AB6115" s="669"/>
    </row>
    <row r="6116" spans="28:28">
      <c r="AB6116" s="669"/>
    </row>
    <row r="6117" spans="28:28">
      <c r="AB6117" s="669"/>
    </row>
    <row r="6118" spans="28:28">
      <c r="AB6118" s="669"/>
    </row>
    <row r="6119" spans="28:28">
      <c r="AB6119" s="669"/>
    </row>
    <row r="6120" spans="28:28">
      <c r="AB6120" s="669"/>
    </row>
    <row r="6121" spans="28:28">
      <c r="AB6121" s="669"/>
    </row>
    <row r="6122" spans="28:28">
      <c r="AB6122" s="669"/>
    </row>
    <row r="6123" spans="28:28">
      <c r="AB6123" s="669"/>
    </row>
    <row r="6124" spans="28:28">
      <c r="AB6124" s="669"/>
    </row>
    <row r="6125" spans="28:28">
      <c r="AB6125" s="669"/>
    </row>
    <row r="6126" spans="28:28">
      <c r="AB6126" s="669"/>
    </row>
    <row r="6127" spans="28:28">
      <c r="AB6127" s="669"/>
    </row>
    <row r="6128" spans="28:28">
      <c r="AB6128" s="669"/>
    </row>
    <row r="6129" spans="28:28">
      <c r="AB6129" s="669"/>
    </row>
    <row r="6130" spans="28:28">
      <c r="AB6130" s="669"/>
    </row>
    <row r="6131" spans="28:28">
      <c r="AB6131" s="669"/>
    </row>
    <row r="6132" spans="28:28">
      <c r="AB6132" s="669"/>
    </row>
    <row r="6133" spans="28:28">
      <c r="AB6133" s="669"/>
    </row>
    <row r="6134" spans="28:28">
      <c r="AB6134" s="669"/>
    </row>
    <row r="6135" spans="28:28">
      <c r="AB6135" s="669"/>
    </row>
    <row r="6136" spans="28:28">
      <c r="AB6136" s="669"/>
    </row>
    <row r="6137" spans="28:28">
      <c r="AB6137" s="669"/>
    </row>
    <row r="6138" spans="28:28">
      <c r="AB6138" s="669"/>
    </row>
    <row r="6139" spans="28:28">
      <c r="AB6139" s="669"/>
    </row>
    <row r="6140" spans="28:28">
      <c r="AB6140" s="669"/>
    </row>
    <row r="6141" spans="28:28">
      <c r="AB6141" s="669"/>
    </row>
    <row r="6142" spans="28:28">
      <c r="AB6142" s="669"/>
    </row>
    <row r="6143" spans="28:28">
      <c r="AB6143" s="669"/>
    </row>
    <row r="6144" spans="28:28">
      <c r="AB6144" s="669"/>
    </row>
    <row r="6145" spans="28:28">
      <c r="AB6145" s="669"/>
    </row>
    <row r="6146" spans="28:28">
      <c r="AB6146" s="669"/>
    </row>
    <row r="6147" spans="28:28">
      <c r="AB6147" s="669"/>
    </row>
    <row r="6148" spans="28:28">
      <c r="AB6148" s="669"/>
    </row>
    <row r="6149" spans="28:28">
      <c r="AB6149" s="669"/>
    </row>
    <row r="6150" spans="28:28">
      <c r="AB6150" s="669"/>
    </row>
    <row r="6151" spans="28:28">
      <c r="AB6151" s="669"/>
    </row>
    <row r="6152" spans="28:28">
      <c r="AB6152" s="669"/>
    </row>
    <row r="6153" spans="28:28">
      <c r="AB6153" s="669"/>
    </row>
    <row r="6154" spans="28:28">
      <c r="AB6154" s="669"/>
    </row>
    <row r="6155" spans="28:28">
      <c r="AB6155" s="669"/>
    </row>
    <row r="6156" spans="28:28">
      <c r="AB6156" s="669"/>
    </row>
    <row r="6157" spans="28:28">
      <c r="AB6157" s="669"/>
    </row>
    <row r="6158" spans="28:28">
      <c r="AB6158" s="669"/>
    </row>
    <row r="6159" spans="28:28">
      <c r="AB6159" s="669"/>
    </row>
    <row r="6160" spans="28:28">
      <c r="AB6160" s="669"/>
    </row>
    <row r="6161" spans="28:28">
      <c r="AB6161" s="669"/>
    </row>
    <row r="6162" spans="28:28">
      <c r="AB6162" s="669"/>
    </row>
    <row r="6163" spans="28:28">
      <c r="AB6163" s="669"/>
    </row>
    <row r="6164" spans="28:28">
      <c r="AB6164" s="669"/>
    </row>
    <row r="6165" spans="28:28">
      <c r="AB6165" s="669"/>
    </row>
    <row r="6166" spans="28:28">
      <c r="AB6166" s="669"/>
    </row>
    <row r="6167" spans="28:28">
      <c r="AB6167" s="669"/>
    </row>
    <row r="6168" spans="28:28">
      <c r="AB6168" s="669"/>
    </row>
    <row r="6169" spans="28:28">
      <c r="AB6169" s="669"/>
    </row>
    <row r="6170" spans="28:28">
      <c r="AB6170" s="669"/>
    </row>
    <row r="6171" spans="28:28">
      <c r="AB6171" s="669"/>
    </row>
    <row r="6172" spans="28:28">
      <c r="AB6172" s="669"/>
    </row>
    <row r="6173" spans="28:28">
      <c r="AB6173" s="669"/>
    </row>
    <row r="6174" spans="28:28">
      <c r="AB6174" s="669"/>
    </row>
    <row r="6175" spans="28:28">
      <c r="AB6175" s="669"/>
    </row>
    <row r="6176" spans="28:28">
      <c r="AB6176" s="669"/>
    </row>
    <row r="6177" spans="28:28">
      <c r="AB6177" s="669"/>
    </row>
    <row r="6178" spans="28:28">
      <c r="AB6178" s="669"/>
    </row>
    <row r="6179" spans="28:28">
      <c r="AB6179" s="669"/>
    </row>
    <row r="6180" spans="28:28">
      <c r="AB6180" s="669"/>
    </row>
    <row r="6181" spans="28:28">
      <c r="AB6181" s="669"/>
    </row>
    <row r="6182" spans="28:28">
      <c r="AB6182" s="669"/>
    </row>
    <row r="6183" spans="28:28">
      <c r="AB6183" s="669"/>
    </row>
    <row r="6184" spans="28:28">
      <c r="AB6184" s="669"/>
    </row>
    <row r="6185" spans="28:28">
      <c r="AB6185" s="669"/>
    </row>
    <row r="6186" spans="28:28">
      <c r="AB6186" s="669"/>
    </row>
    <row r="6187" spans="28:28">
      <c r="AB6187" s="669"/>
    </row>
    <row r="6188" spans="28:28">
      <c r="AB6188" s="669"/>
    </row>
    <row r="6189" spans="28:28">
      <c r="AB6189" s="669"/>
    </row>
    <row r="6190" spans="28:28">
      <c r="AB6190" s="669"/>
    </row>
    <row r="6191" spans="28:28">
      <c r="AB6191" s="669"/>
    </row>
    <row r="6192" spans="28:28">
      <c r="AB6192" s="669"/>
    </row>
    <row r="6193" spans="28:28">
      <c r="AB6193" s="669"/>
    </row>
    <row r="6194" spans="28:28">
      <c r="AB6194" s="669"/>
    </row>
    <row r="6195" spans="28:28">
      <c r="AB6195" s="669"/>
    </row>
    <row r="6196" spans="28:28">
      <c r="AB6196" s="669"/>
    </row>
    <row r="6197" spans="28:28">
      <c r="AB6197" s="669"/>
    </row>
    <row r="6198" spans="28:28">
      <c r="AB6198" s="669"/>
    </row>
    <row r="6199" spans="28:28">
      <c r="AB6199" s="669"/>
    </row>
    <row r="6200" spans="28:28">
      <c r="AB6200" s="669"/>
    </row>
    <row r="6201" spans="28:28">
      <c r="AB6201" s="669"/>
    </row>
    <row r="6202" spans="28:28">
      <c r="AB6202" s="669"/>
    </row>
    <row r="6203" spans="28:28">
      <c r="AB6203" s="669"/>
    </row>
    <row r="6204" spans="28:28">
      <c r="AB6204" s="669"/>
    </row>
    <row r="6205" spans="28:28">
      <c r="AB6205" s="669"/>
    </row>
    <row r="6206" spans="28:28">
      <c r="AB6206" s="669"/>
    </row>
    <row r="6207" spans="28:28">
      <c r="AB6207" s="669"/>
    </row>
    <row r="6208" spans="28:28">
      <c r="AB6208" s="669"/>
    </row>
    <row r="6209" spans="28:28">
      <c r="AB6209" s="669"/>
    </row>
    <row r="6210" spans="28:28">
      <c r="AB6210" s="669"/>
    </row>
    <row r="6211" spans="28:28">
      <c r="AB6211" s="669"/>
    </row>
    <row r="6212" spans="28:28">
      <c r="AB6212" s="669"/>
    </row>
    <row r="6213" spans="28:28">
      <c r="AB6213" s="669"/>
    </row>
    <row r="6214" spans="28:28">
      <c r="AB6214" s="669"/>
    </row>
    <row r="6215" spans="28:28">
      <c r="AB6215" s="669"/>
    </row>
    <row r="6216" spans="28:28">
      <c r="AB6216" s="669"/>
    </row>
    <row r="6217" spans="28:28">
      <c r="AB6217" s="669"/>
    </row>
    <row r="6218" spans="28:28">
      <c r="AB6218" s="669"/>
    </row>
    <row r="6219" spans="28:28">
      <c r="AB6219" s="669"/>
    </row>
    <row r="6220" spans="28:28">
      <c r="AB6220" s="669"/>
    </row>
    <row r="6221" spans="28:28">
      <c r="AB6221" s="669"/>
    </row>
    <row r="6222" spans="28:28">
      <c r="AB6222" s="669"/>
    </row>
    <row r="6223" spans="28:28">
      <c r="AB6223" s="669"/>
    </row>
    <row r="6224" spans="28:28">
      <c r="AB6224" s="669"/>
    </row>
    <row r="6225" spans="28:28">
      <c r="AB6225" s="669"/>
    </row>
    <row r="6226" spans="28:28">
      <c r="AB6226" s="669"/>
    </row>
    <row r="6227" spans="28:28">
      <c r="AB6227" s="669"/>
    </row>
    <row r="6228" spans="28:28">
      <c r="AB6228" s="669"/>
    </row>
    <row r="6229" spans="28:28">
      <c r="AB6229" s="669"/>
    </row>
    <row r="6230" spans="28:28">
      <c r="AB6230" s="669"/>
    </row>
    <row r="6231" spans="28:28">
      <c r="AB6231" s="669"/>
    </row>
    <row r="6232" spans="28:28">
      <c r="AB6232" s="669"/>
    </row>
    <row r="6233" spans="28:28">
      <c r="AB6233" s="669"/>
    </row>
    <row r="6234" spans="28:28">
      <c r="AB6234" s="669"/>
    </row>
    <row r="6235" spans="28:28">
      <c r="AB6235" s="669"/>
    </row>
    <row r="6236" spans="28:28">
      <c r="AB6236" s="669"/>
    </row>
    <row r="6237" spans="28:28">
      <c r="AB6237" s="669"/>
    </row>
    <row r="6238" spans="28:28">
      <c r="AB6238" s="669"/>
    </row>
    <row r="6239" spans="28:28">
      <c r="AB6239" s="669"/>
    </row>
    <row r="6240" spans="28:28">
      <c r="AB6240" s="669"/>
    </row>
    <row r="6241" spans="28:28">
      <c r="AB6241" s="669"/>
    </row>
    <row r="6242" spans="28:28">
      <c r="AB6242" s="669"/>
    </row>
    <row r="6243" spans="28:28">
      <c r="AB6243" s="669"/>
    </row>
    <row r="6244" spans="28:28">
      <c r="AB6244" s="669"/>
    </row>
    <row r="6245" spans="28:28">
      <c r="AB6245" s="669"/>
    </row>
    <row r="6246" spans="28:28">
      <c r="AB6246" s="669"/>
    </row>
    <row r="6247" spans="28:28">
      <c r="AB6247" s="669"/>
    </row>
    <row r="6248" spans="28:28">
      <c r="AB6248" s="669"/>
    </row>
    <row r="6249" spans="28:28">
      <c r="AB6249" s="669"/>
    </row>
    <row r="6250" spans="28:28">
      <c r="AB6250" s="669"/>
    </row>
    <row r="6251" spans="28:28">
      <c r="AB6251" s="669"/>
    </row>
    <row r="6252" spans="28:28">
      <c r="AB6252" s="669"/>
    </row>
    <row r="6253" spans="28:28">
      <c r="AB6253" s="669"/>
    </row>
    <row r="6254" spans="28:28">
      <c r="AB6254" s="669"/>
    </row>
    <row r="6255" spans="28:28">
      <c r="AB6255" s="669"/>
    </row>
    <row r="6256" spans="28:28">
      <c r="AB6256" s="669"/>
    </row>
    <row r="6257" spans="28:28">
      <c r="AB6257" s="669"/>
    </row>
    <row r="6258" spans="28:28">
      <c r="AB6258" s="669"/>
    </row>
    <row r="6259" spans="28:28">
      <c r="AB6259" s="669"/>
    </row>
    <row r="6260" spans="28:28">
      <c r="AB6260" s="669"/>
    </row>
    <row r="6261" spans="28:28">
      <c r="AB6261" s="669"/>
    </row>
    <row r="6262" spans="28:28">
      <c r="AB6262" s="669"/>
    </row>
    <row r="6263" spans="28:28">
      <c r="AB6263" s="669"/>
    </row>
    <row r="6264" spans="28:28">
      <c r="AB6264" s="669"/>
    </row>
    <row r="6265" spans="28:28">
      <c r="AB6265" s="669"/>
    </row>
    <row r="6266" spans="28:28">
      <c r="AB6266" s="669"/>
    </row>
    <row r="6267" spans="28:28">
      <c r="AB6267" s="669"/>
    </row>
    <row r="6268" spans="28:28">
      <c r="AB6268" s="669"/>
    </row>
    <row r="6269" spans="28:28">
      <c r="AB6269" s="669"/>
    </row>
    <row r="6270" spans="28:28">
      <c r="AB6270" s="669"/>
    </row>
    <row r="6271" spans="28:28">
      <c r="AB6271" s="669"/>
    </row>
    <row r="6272" spans="28:28">
      <c r="AB6272" s="669"/>
    </row>
    <row r="6273" spans="28:28">
      <c r="AB6273" s="669"/>
    </row>
    <row r="6274" spans="28:28">
      <c r="AB6274" s="669"/>
    </row>
    <row r="6275" spans="28:28">
      <c r="AB6275" s="669"/>
    </row>
    <row r="6276" spans="28:28">
      <c r="AB6276" s="669"/>
    </row>
    <row r="6277" spans="28:28">
      <c r="AB6277" s="669"/>
    </row>
    <row r="6278" spans="28:28">
      <c r="AB6278" s="669"/>
    </row>
    <row r="6279" spans="28:28">
      <c r="AB6279" s="669"/>
    </row>
    <row r="6280" spans="28:28">
      <c r="AB6280" s="669"/>
    </row>
    <row r="6281" spans="28:28">
      <c r="AB6281" s="669"/>
    </row>
    <row r="6282" spans="28:28">
      <c r="AB6282" s="669"/>
    </row>
    <row r="6283" spans="28:28">
      <c r="AB6283" s="669"/>
    </row>
    <row r="6284" spans="28:28">
      <c r="AB6284" s="669"/>
    </row>
    <row r="6285" spans="28:28">
      <c r="AB6285" s="669"/>
    </row>
    <row r="6286" spans="28:28">
      <c r="AB6286" s="669"/>
    </row>
    <row r="6287" spans="28:28">
      <c r="AB6287" s="669"/>
    </row>
    <row r="6288" spans="28:28">
      <c r="AB6288" s="669"/>
    </row>
    <row r="6289" spans="28:28">
      <c r="AB6289" s="669"/>
    </row>
    <row r="6290" spans="28:28">
      <c r="AB6290" s="669"/>
    </row>
    <row r="6291" spans="28:28">
      <c r="AB6291" s="669"/>
    </row>
    <row r="6292" spans="28:28">
      <c r="AB6292" s="669"/>
    </row>
    <row r="6293" spans="28:28">
      <c r="AB6293" s="669"/>
    </row>
    <row r="6294" spans="28:28">
      <c r="AB6294" s="669"/>
    </row>
    <row r="6295" spans="28:28">
      <c r="AB6295" s="669"/>
    </row>
    <row r="6296" spans="28:28">
      <c r="AB6296" s="669"/>
    </row>
    <row r="6297" spans="28:28">
      <c r="AB6297" s="669"/>
    </row>
    <row r="6298" spans="28:28">
      <c r="AB6298" s="669"/>
    </row>
    <row r="6299" spans="28:28">
      <c r="AB6299" s="669"/>
    </row>
    <row r="6300" spans="28:28">
      <c r="AB6300" s="669"/>
    </row>
    <row r="6301" spans="28:28">
      <c r="AB6301" s="669"/>
    </row>
    <row r="6302" spans="28:28">
      <c r="AB6302" s="669"/>
    </row>
    <row r="6303" spans="28:28">
      <c r="AB6303" s="669"/>
    </row>
    <row r="6304" spans="28:28">
      <c r="AB6304" s="669"/>
    </row>
    <row r="6305" spans="28:28">
      <c r="AB6305" s="669"/>
    </row>
    <row r="6306" spans="28:28">
      <c r="AB6306" s="669"/>
    </row>
    <row r="6307" spans="28:28">
      <c r="AB6307" s="669"/>
    </row>
    <row r="6308" spans="28:28">
      <c r="AB6308" s="669"/>
    </row>
    <row r="6309" spans="28:28">
      <c r="AB6309" s="669"/>
    </row>
    <row r="6310" spans="28:28">
      <c r="AB6310" s="669"/>
    </row>
    <row r="6311" spans="28:28">
      <c r="AB6311" s="669"/>
    </row>
    <row r="6312" spans="28:28">
      <c r="AB6312" s="669"/>
    </row>
    <row r="6313" spans="28:28">
      <c r="AB6313" s="669"/>
    </row>
    <row r="6314" spans="28:28">
      <c r="AB6314" s="669"/>
    </row>
    <row r="6315" spans="28:28">
      <c r="AB6315" s="669"/>
    </row>
    <row r="6316" spans="28:28">
      <c r="AB6316" s="669"/>
    </row>
    <row r="6317" spans="28:28">
      <c r="AB6317" s="669"/>
    </row>
    <row r="6318" spans="28:28">
      <c r="AB6318" s="669"/>
    </row>
    <row r="6319" spans="28:28">
      <c r="AB6319" s="669"/>
    </row>
    <row r="6320" spans="28:28">
      <c r="AB6320" s="669"/>
    </row>
    <row r="6321" spans="28:28">
      <c r="AB6321" s="669"/>
    </row>
    <row r="6322" spans="28:28">
      <c r="AB6322" s="669"/>
    </row>
    <row r="6323" spans="28:28">
      <c r="AB6323" s="669"/>
    </row>
    <row r="6324" spans="28:28">
      <c r="AB6324" s="669"/>
    </row>
    <row r="6325" spans="28:28">
      <c r="AB6325" s="669"/>
    </row>
    <row r="6326" spans="28:28">
      <c r="AB6326" s="669"/>
    </row>
    <row r="6327" spans="28:28">
      <c r="AB6327" s="669"/>
    </row>
    <row r="6328" spans="28:28">
      <c r="AB6328" s="669"/>
    </row>
    <row r="6329" spans="28:28">
      <c r="AB6329" s="669"/>
    </row>
    <row r="6330" spans="28:28">
      <c r="AB6330" s="669"/>
    </row>
    <row r="6331" spans="28:28">
      <c r="AB6331" s="669"/>
    </row>
    <row r="6332" spans="28:28">
      <c r="AB6332" s="669"/>
    </row>
    <row r="6333" spans="28:28">
      <c r="AB6333" s="669"/>
    </row>
    <row r="6334" spans="28:28">
      <c r="AB6334" s="669"/>
    </row>
    <row r="6335" spans="28:28">
      <c r="AB6335" s="669"/>
    </row>
    <row r="6336" spans="28:28">
      <c r="AB6336" s="669"/>
    </row>
    <row r="6337" spans="28:28">
      <c r="AB6337" s="669"/>
    </row>
    <row r="6338" spans="28:28">
      <c r="AB6338" s="669"/>
    </row>
    <row r="6339" spans="28:28">
      <c r="AB6339" s="669"/>
    </row>
    <row r="6340" spans="28:28">
      <c r="AB6340" s="669"/>
    </row>
    <row r="6341" spans="28:28">
      <c r="AB6341" s="669"/>
    </row>
    <row r="6342" spans="28:28">
      <c r="AB6342" s="669"/>
    </row>
    <row r="6343" spans="28:28">
      <c r="AB6343" s="669"/>
    </row>
    <row r="6344" spans="28:28">
      <c r="AB6344" s="669"/>
    </row>
    <row r="6345" spans="28:28">
      <c r="AB6345" s="669"/>
    </row>
    <row r="6346" spans="28:28">
      <c r="AB6346" s="669"/>
    </row>
    <row r="6347" spans="28:28">
      <c r="AB6347" s="669"/>
    </row>
    <row r="6348" spans="28:28">
      <c r="AB6348" s="669"/>
    </row>
    <row r="6349" spans="28:28">
      <c r="AB6349" s="669"/>
    </row>
    <row r="6350" spans="28:28">
      <c r="AB6350" s="669"/>
    </row>
    <row r="6351" spans="28:28">
      <c r="AB6351" s="669"/>
    </row>
    <row r="6352" spans="28:28">
      <c r="AB6352" s="669"/>
    </row>
    <row r="6353" spans="28:28">
      <c r="AB6353" s="669"/>
    </row>
    <row r="6354" spans="28:28">
      <c r="AB6354" s="669"/>
    </row>
    <row r="6355" spans="28:28">
      <c r="AB6355" s="669"/>
    </row>
    <row r="6356" spans="28:28">
      <c r="AB6356" s="669"/>
    </row>
    <row r="6357" spans="28:28">
      <c r="AB6357" s="669"/>
    </row>
    <row r="6358" spans="28:28">
      <c r="AB6358" s="669"/>
    </row>
    <row r="6359" spans="28:28">
      <c r="AB6359" s="669"/>
    </row>
    <row r="6360" spans="28:28">
      <c r="AB6360" s="669"/>
    </row>
    <row r="6361" spans="28:28">
      <c r="AB6361" s="669"/>
    </row>
    <row r="6362" spans="28:28">
      <c r="AB6362" s="669"/>
    </row>
    <row r="6363" spans="28:28">
      <c r="AB6363" s="669"/>
    </row>
    <row r="6364" spans="28:28">
      <c r="AB6364" s="669"/>
    </row>
    <row r="6365" spans="28:28">
      <c r="AB6365" s="669"/>
    </row>
    <row r="6366" spans="28:28">
      <c r="AB6366" s="669"/>
    </row>
    <row r="6367" spans="28:28">
      <c r="AB6367" s="669"/>
    </row>
    <row r="6368" spans="28:28">
      <c r="AB6368" s="669"/>
    </row>
    <row r="6369" spans="28:28">
      <c r="AB6369" s="669"/>
    </row>
    <row r="6370" spans="28:28">
      <c r="AB6370" s="669"/>
    </row>
    <row r="6371" spans="28:28">
      <c r="AB6371" s="669"/>
    </row>
    <row r="6372" spans="28:28">
      <c r="AB6372" s="669"/>
    </row>
    <row r="6373" spans="28:28">
      <c r="AB6373" s="669"/>
    </row>
    <row r="6374" spans="28:28">
      <c r="AB6374" s="669"/>
    </row>
    <row r="6375" spans="28:28">
      <c r="AB6375" s="669"/>
    </row>
    <row r="6376" spans="28:28">
      <c r="AB6376" s="669"/>
    </row>
    <row r="6377" spans="28:28">
      <c r="AB6377" s="669"/>
    </row>
    <row r="6378" spans="28:28">
      <c r="AB6378" s="669"/>
    </row>
    <row r="6379" spans="28:28">
      <c r="AB6379" s="669"/>
    </row>
    <row r="6380" spans="28:28">
      <c r="AB6380" s="669"/>
    </row>
    <row r="6381" spans="28:28">
      <c r="AB6381" s="669"/>
    </row>
    <row r="6382" spans="28:28">
      <c r="AB6382" s="669"/>
    </row>
    <row r="6383" spans="28:28">
      <c r="AB6383" s="669"/>
    </row>
    <row r="6384" spans="28:28">
      <c r="AB6384" s="669"/>
    </row>
    <row r="6385" spans="28:28">
      <c r="AB6385" s="669"/>
    </row>
    <row r="6386" spans="28:28">
      <c r="AB6386" s="669"/>
    </row>
    <row r="6387" spans="28:28">
      <c r="AB6387" s="669"/>
    </row>
    <row r="6388" spans="28:28">
      <c r="AB6388" s="669"/>
    </row>
    <row r="6389" spans="28:28">
      <c r="AB6389" s="669"/>
    </row>
    <row r="6390" spans="28:28">
      <c r="AB6390" s="669"/>
    </row>
    <row r="6391" spans="28:28">
      <c r="AB6391" s="669"/>
    </row>
    <row r="6392" spans="28:28">
      <c r="AB6392" s="669"/>
    </row>
    <row r="6393" spans="28:28">
      <c r="AB6393" s="669"/>
    </row>
    <row r="6394" spans="28:28">
      <c r="AB6394" s="669"/>
    </row>
    <row r="6395" spans="28:28">
      <c r="AB6395" s="669"/>
    </row>
    <row r="6396" spans="28:28">
      <c r="AB6396" s="669"/>
    </row>
    <row r="6397" spans="28:28">
      <c r="AB6397" s="669"/>
    </row>
    <row r="6398" spans="28:28">
      <c r="AB6398" s="669"/>
    </row>
    <row r="6399" spans="28:28">
      <c r="AB6399" s="669"/>
    </row>
    <row r="6400" spans="28:28">
      <c r="AB6400" s="669"/>
    </row>
    <row r="6401" spans="28:28">
      <c r="AB6401" s="669"/>
    </row>
    <row r="6402" spans="28:28">
      <c r="AB6402" s="669"/>
    </row>
    <row r="6403" spans="28:28">
      <c r="AB6403" s="669"/>
    </row>
    <row r="6404" spans="28:28">
      <c r="AB6404" s="669"/>
    </row>
    <row r="6405" spans="28:28">
      <c r="AB6405" s="669"/>
    </row>
    <row r="6406" spans="28:28">
      <c r="AB6406" s="669"/>
    </row>
    <row r="6407" spans="28:28">
      <c r="AB6407" s="669"/>
    </row>
    <row r="6408" spans="28:28">
      <c r="AB6408" s="669"/>
    </row>
    <row r="6409" spans="28:28">
      <c r="AB6409" s="669"/>
    </row>
    <row r="6410" spans="28:28">
      <c r="AB6410" s="669"/>
    </row>
    <row r="6411" spans="28:28">
      <c r="AB6411" s="669"/>
    </row>
    <row r="6412" spans="28:28">
      <c r="AB6412" s="669"/>
    </row>
    <row r="6413" spans="28:28">
      <c r="AB6413" s="669"/>
    </row>
    <row r="6414" spans="28:28">
      <c r="AB6414" s="669"/>
    </row>
    <row r="6415" spans="28:28">
      <c r="AB6415" s="669"/>
    </row>
    <row r="6416" spans="28:28">
      <c r="AB6416" s="669"/>
    </row>
    <row r="6417" spans="28:28">
      <c r="AB6417" s="669"/>
    </row>
    <row r="6418" spans="28:28">
      <c r="AB6418" s="669"/>
    </row>
    <row r="6419" spans="28:28">
      <c r="AB6419" s="669"/>
    </row>
    <row r="6420" spans="28:28">
      <c r="AB6420" s="669"/>
    </row>
    <row r="6421" spans="28:28">
      <c r="AB6421" s="669"/>
    </row>
    <row r="6422" spans="28:28">
      <c r="AB6422" s="669"/>
    </row>
    <row r="6423" spans="28:28">
      <c r="AB6423" s="669"/>
    </row>
    <row r="6424" spans="28:28">
      <c r="AB6424" s="669"/>
    </row>
    <row r="6425" spans="28:28">
      <c r="AB6425" s="669"/>
    </row>
    <row r="6426" spans="28:28">
      <c r="AB6426" s="669"/>
    </row>
    <row r="6427" spans="28:28">
      <c r="AB6427" s="669"/>
    </row>
    <row r="6428" spans="28:28">
      <c r="AB6428" s="669"/>
    </row>
    <row r="6429" spans="28:28">
      <c r="AB6429" s="669"/>
    </row>
    <row r="6430" spans="28:28">
      <c r="AB6430" s="669"/>
    </row>
    <row r="6431" spans="28:28">
      <c r="AB6431" s="669"/>
    </row>
    <row r="6432" spans="28:28">
      <c r="AB6432" s="669"/>
    </row>
    <row r="6433" spans="28:28">
      <c r="AB6433" s="669"/>
    </row>
    <row r="6434" spans="28:28">
      <c r="AB6434" s="669"/>
    </row>
    <row r="6435" spans="28:28">
      <c r="AB6435" s="669"/>
    </row>
    <row r="6436" spans="28:28">
      <c r="AB6436" s="669"/>
    </row>
    <row r="6437" spans="28:28">
      <c r="AB6437" s="669"/>
    </row>
    <row r="6438" spans="28:28">
      <c r="AB6438" s="669"/>
    </row>
    <row r="6439" spans="28:28">
      <c r="AB6439" s="669"/>
    </row>
    <row r="6440" spans="28:28">
      <c r="AB6440" s="669"/>
    </row>
    <row r="6441" spans="28:28">
      <c r="AB6441" s="669"/>
    </row>
    <row r="6442" spans="28:28">
      <c r="AB6442" s="669"/>
    </row>
    <row r="6443" spans="28:28">
      <c r="AB6443" s="669"/>
    </row>
    <row r="6444" spans="28:28">
      <c r="AB6444" s="669"/>
    </row>
    <row r="6445" spans="28:28">
      <c r="AB6445" s="669"/>
    </row>
    <row r="6446" spans="28:28">
      <c r="AB6446" s="669"/>
    </row>
    <row r="6447" spans="28:28">
      <c r="AB6447" s="669"/>
    </row>
    <row r="6448" spans="28:28">
      <c r="AB6448" s="669"/>
    </row>
    <row r="6449" spans="28:28">
      <c r="AB6449" s="669"/>
    </row>
    <row r="6450" spans="28:28">
      <c r="AB6450" s="669"/>
    </row>
    <row r="6451" spans="28:28">
      <c r="AB6451" s="669"/>
    </row>
    <row r="6452" spans="28:28">
      <c r="AB6452" s="669"/>
    </row>
    <row r="6453" spans="28:28">
      <c r="AB6453" s="669"/>
    </row>
    <row r="6454" spans="28:28">
      <c r="AB6454" s="669"/>
    </row>
    <row r="6455" spans="28:28">
      <c r="AB6455" s="669"/>
    </row>
    <row r="6456" spans="28:28">
      <c r="AB6456" s="669"/>
    </row>
    <row r="6457" spans="28:28">
      <c r="AB6457" s="669"/>
    </row>
    <row r="6458" spans="28:28">
      <c r="AB6458" s="669"/>
    </row>
    <row r="6459" spans="28:28">
      <c r="AB6459" s="669"/>
    </row>
    <row r="6460" spans="28:28">
      <c r="AB6460" s="669"/>
    </row>
    <row r="6461" spans="28:28">
      <c r="AB6461" s="669"/>
    </row>
    <row r="6462" spans="28:28">
      <c r="AB6462" s="669"/>
    </row>
    <row r="6463" spans="28:28">
      <c r="AB6463" s="669"/>
    </row>
    <row r="6464" spans="28:28">
      <c r="AB6464" s="669"/>
    </row>
    <row r="6465" spans="28:28">
      <c r="AB6465" s="669"/>
    </row>
    <row r="6466" spans="28:28">
      <c r="AB6466" s="669"/>
    </row>
    <row r="6467" spans="28:28">
      <c r="AB6467" s="669"/>
    </row>
    <row r="6468" spans="28:28">
      <c r="AB6468" s="669"/>
    </row>
    <row r="6469" spans="28:28">
      <c r="AB6469" s="669"/>
    </row>
    <row r="6470" spans="28:28">
      <c r="AB6470" s="669"/>
    </row>
    <row r="6471" spans="28:28">
      <c r="AB6471" s="669"/>
    </row>
    <row r="6472" spans="28:28">
      <c r="AB6472" s="669"/>
    </row>
    <row r="6473" spans="28:28">
      <c r="AB6473" s="669"/>
    </row>
    <row r="6474" spans="28:28">
      <c r="AB6474" s="669"/>
    </row>
    <row r="6475" spans="28:28">
      <c r="AB6475" s="669"/>
    </row>
    <row r="6476" spans="28:28">
      <c r="AB6476" s="669"/>
    </row>
    <row r="6477" spans="28:28">
      <c r="AB6477" s="669"/>
    </row>
    <row r="6478" spans="28:28">
      <c r="AB6478" s="669"/>
    </row>
    <row r="6479" spans="28:28">
      <c r="AB6479" s="669"/>
    </row>
    <row r="6480" spans="28:28">
      <c r="AB6480" s="669"/>
    </row>
    <row r="6481" spans="28:28">
      <c r="AB6481" s="669"/>
    </row>
    <row r="6482" spans="28:28">
      <c r="AB6482" s="669"/>
    </row>
    <row r="6483" spans="28:28">
      <c r="AB6483" s="669"/>
    </row>
    <row r="6484" spans="28:28">
      <c r="AB6484" s="669"/>
    </row>
    <row r="6485" spans="28:28">
      <c r="AB6485" s="669"/>
    </row>
    <row r="6486" spans="28:28">
      <c r="AB6486" s="669"/>
    </row>
    <row r="6487" spans="28:28">
      <c r="AB6487" s="669"/>
    </row>
    <row r="6488" spans="28:28">
      <c r="AB6488" s="669"/>
    </row>
    <row r="6489" spans="28:28">
      <c r="AB6489" s="669"/>
    </row>
    <row r="6490" spans="28:28">
      <c r="AB6490" s="669"/>
    </row>
    <row r="6491" spans="28:28">
      <c r="AB6491" s="669"/>
    </row>
    <row r="6492" spans="28:28">
      <c r="AB6492" s="669"/>
    </row>
    <row r="6493" spans="28:28">
      <c r="AB6493" s="669"/>
    </row>
    <row r="6494" spans="28:28">
      <c r="AB6494" s="669"/>
    </row>
    <row r="6495" spans="28:28">
      <c r="AB6495" s="669"/>
    </row>
    <row r="6496" spans="28:28">
      <c r="AB6496" s="669"/>
    </row>
    <row r="6497" spans="28:28">
      <c r="AB6497" s="669"/>
    </row>
    <row r="6498" spans="28:28">
      <c r="AB6498" s="669"/>
    </row>
    <row r="6499" spans="28:28">
      <c r="AB6499" s="669"/>
    </row>
    <row r="6500" spans="28:28">
      <c r="AB6500" s="669"/>
    </row>
    <row r="6501" spans="28:28">
      <c r="AB6501" s="669"/>
    </row>
    <row r="6502" spans="28:28">
      <c r="AB6502" s="669"/>
    </row>
    <row r="6503" spans="28:28">
      <c r="AB6503" s="669"/>
    </row>
    <row r="6504" spans="28:28">
      <c r="AB6504" s="669"/>
    </row>
    <row r="6505" spans="28:28">
      <c r="AB6505" s="669"/>
    </row>
    <row r="6506" spans="28:28">
      <c r="AB6506" s="669"/>
    </row>
    <row r="6507" spans="28:28">
      <c r="AB6507" s="669"/>
    </row>
    <row r="6508" spans="28:28">
      <c r="AB6508" s="669"/>
    </row>
    <row r="6509" spans="28:28">
      <c r="AB6509" s="669"/>
    </row>
    <row r="6510" spans="28:28">
      <c r="AB6510" s="669"/>
    </row>
    <row r="6511" spans="28:28">
      <c r="AB6511" s="669"/>
    </row>
    <row r="6512" spans="28:28">
      <c r="AB6512" s="669"/>
    </row>
    <row r="6513" spans="28:28">
      <c r="AB6513" s="669"/>
    </row>
    <row r="6514" spans="28:28">
      <c r="AB6514" s="669"/>
    </row>
    <row r="6515" spans="28:28">
      <c r="AB6515" s="669"/>
    </row>
    <row r="6516" spans="28:28">
      <c r="AB6516" s="669"/>
    </row>
    <row r="6517" spans="28:28">
      <c r="AB6517" s="669"/>
    </row>
    <row r="6518" spans="28:28">
      <c r="AB6518" s="669"/>
    </row>
    <row r="6519" spans="28:28">
      <c r="AB6519" s="669"/>
    </row>
    <row r="6520" spans="28:28">
      <c r="AB6520" s="669"/>
    </row>
    <row r="6521" spans="28:28">
      <c r="AB6521" s="669"/>
    </row>
    <row r="6522" spans="28:28">
      <c r="AB6522" s="669"/>
    </row>
    <row r="6523" spans="28:28">
      <c r="AB6523" s="669"/>
    </row>
    <row r="6524" spans="28:28">
      <c r="AB6524" s="669"/>
    </row>
    <row r="6525" spans="28:28">
      <c r="AB6525" s="669"/>
    </row>
    <row r="6526" spans="28:28">
      <c r="AB6526" s="669"/>
    </row>
    <row r="6527" spans="28:28">
      <c r="AB6527" s="669"/>
    </row>
    <row r="6528" spans="28:28">
      <c r="AB6528" s="669"/>
    </row>
    <row r="6529" spans="28:28">
      <c r="AB6529" s="669"/>
    </row>
    <row r="6530" spans="28:28">
      <c r="AB6530" s="669"/>
    </row>
    <row r="6531" spans="28:28">
      <c r="AB6531" s="669"/>
    </row>
    <row r="6532" spans="28:28">
      <c r="AB6532" s="669"/>
    </row>
    <row r="6533" spans="28:28">
      <c r="AB6533" s="669"/>
    </row>
    <row r="6534" spans="28:28">
      <c r="AB6534" s="669"/>
    </row>
    <row r="6535" spans="28:28">
      <c r="AB6535" s="669"/>
    </row>
    <row r="6536" spans="28:28">
      <c r="AB6536" s="669"/>
    </row>
    <row r="6537" spans="28:28">
      <c r="AB6537" s="669"/>
    </row>
    <row r="6538" spans="28:28">
      <c r="AB6538" s="669"/>
    </row>
    <row r="6539" spans="28:28">
      <c r="AB6539" s="669"/>
    </row>
    <row r="6540" spans="28:28">
      <c r="AB6540" s="669"/>
    </row>
    <row r="6541" spans="28:28">
      <c r="AB6541" s="669"/>
    </row>
    <row r="6542" spans="28:28">
      <c r="AB6542" s="669"/>
    </row>
    <row r="6543" spans="28:28">
      <c r="AB6543" s="669"/>
    </row>
    <row r="6544" spans="28:28">
      <c r="AB6544" s="669"/>
    </row>
    <row r="6545" spans="28:28">
      <c r="AB6545" s="669"/>
    </row>
    <row r="6546" spans="28:28">
      <c r="AB6546" s="669"/>
    </row>
    <row r="6547" spans="28:28">
      <c r="AB6547" s="669"/>
    </row>
    <row r="6548" spans="28:28">
      <c r="AB6548" s="669"/>
    </row>
    <row r="6549" spans="28:28">
      <c r="AB6549" s="669"/>
    </row>
    <row r="6550" spans="28:28">
      <c r="AB6550" s="669"/>
    </row>
    <row r="6551" spans="28:28">
      <c r="AB6551" s="669"/>
    </row>
    <row r="6552" spans="28:28">
      <c r="AB6552" s="669"/>
    </row>
    <row r="6553" spans="28:28">
      <c r="AB6553" s="669"/>
    </row>
    <row r="6554" spans="28:28">
      <c r="AB6554" s="669"/>
    </row>
    <row r="6555" spans="28:28">
      <c r="AB6555" s="669"/>
    </row>
    <row r="6556" spans="28:28">
      <c r="AB6556" s="669"/>
    </row>
    <row r="6557" spans="28:28">
      <c r="AB6557" s="669"/>
    </row>
    <row r="6558" spans="28:28">
      <c r="AB6558" s="669"/>
    </row>
    <row r="6559" spans="28:28">
      <c r="AB6559" s="669"/>
    </row>
    <row r="6560" spans="28:28">
      <c r="AB6560" s="669"/>
    </row>
    <row r="6561" spans="28:28">
      <c r="AB6561" s="669"/>
    </row>
    <row r="6562" spans="28:28">
      <c r="AB6562" s="669"/>
    </row>
    <row r="6563" spans="28:28">
      <c r="AB6563" s="669"/>
    </row>
    <row r="6564" spans="28:28">
      <c r="AB6564" s="669"/>
    </row>
    <row r="6565" spans="28:28">
      <c r="AB6565" s="669"/>
    </row>
    <row r="6566" spans="28:28">
      <c r="AB6566" s="669"/>
    </row>
    <row r="6567" spans="28:28">
      <c r="AB6567" s="669"/>
    </row>
    <row r="6568" spans="28:28">
      <c r="AB6568" s="669"/>
    </row>
    <row r="6569" spans="28:28">
      <c r="AB6569" s="669"/>
    </row>
    <row r="6570" spans="28:28">
      <c r="AB6570" s="669"/>
    </row>
    <row r="6571" spans="28:28">
      <c r="AB6571" s="669"/>
    </row>
    <row r="6572" spans="28:28">
      <c r="AB6572" s="669"/>
    </row>
    <row r="6573" spans="28:28">
      <c r="AB6573" s="669"/>
    </row>
    <row r="6574" spans="28:28">
      <c r="AB6574" s="669"/>
    </row>
    <row r="6575" spans="28:28">
      <c r="AB6575" s="669"/>
    </row>
    <row r="6576" spans="28:28">
      <c r="AB6576" s="669"/>
    </row>
    <row r="6577" spans="28:28">
      <c r="AB6577" s="669"/>
    </row>
    <row r="6578" spans="28:28">
      <c r="AB6578" s="669"/>
    </row>
    <row r="6579" spans="28:28">
      <c r="AB6579" s="669"/>
    </row>
    <row r="6580" spans="28:28">
      <c r="AB6580" s="669"/>
    </row>
    <row r="6581" spans="28:28">
      <c r="AB6581" s="669"/>
    </row>
    <row r="6582" spans="28:28">
      <c r="AB6582" s="669"/>
    </row>
    <row r="6583" spans="28:28">
      <c r="AB6583" s="669"/>
    </row>
    <row r="6584" spans="28:28">
      <c r="AB6584" s="669"/>
    </row>
    <row r="6585" spans="28:28">
      <c r="AB6585" s="669"/>
    </row>
    <row r="6586" spans="28:28">
      <c r="AB6586" s="669"/>
    </row>
    <row r="6587" spans="28:28">
      <c r="AB6587" s="669"/>
    </row>
    <row r="6588" spans="28:28">
      <c r="AB6588" s="669"/>
    </row>
    <row r="6589" spans="28:28">
      <c r="AB6589" s="669"/>
    </row>
    <row r="6590" spans="28:28">
      <c r="AB6590" s="669"/>
    </row>
    <row r="6591" spans="28:28">
      <c r="AB6591" s="669"/>
    </row>
    <row r="6592" spans="28:28">
      <c r="AB6592" s="669"/>
    </row>
    <row r="6593" spans="28:28">
      <c r="AB6593" s="669"/>
    </row>
    <row r="6594" spans="28:28">
      <c r="AB6594" s="669"/>
    </row>
    <row r="6595" spans="28:28">
      <c r="AB6595" s="669"/>
    </row>
    <row r="6596" spans="28:28">
      <c r="AB6596" s="669"/>
    </row>
    <row r="6597" spans="28:28">
      <c r="AB6597" s="669"/>
    </row>
    <row r="6598" spans="28:28">
      <c r="AB6598" s="669"/>
    </row>
    <row r="6599" spans="28:28">
      <c r="AB6599" s="669"/>
    </row>
    <row r="6600" spans="28:28">
      <c r="AB6600" s="669"/>
    </row>
    <row r="6601" spans="28:28">
      <c r="AB6601" s="669"/>
    </row>
    <row r="6602" spans="28:28">
      <c r="AB6602" s="669"/>
    </row>
    <row r="6603" spans="28:28">
      <c r="AB6603" s="669"/>
    </row>
    <row r="6604" spans="28:28">
      <c r="AB6604" s="669"/>
    </row>
    <row r="6605" spans="28:28">
      <c r="AB6605" s="669"/>
    </row>
    <row r="6606" spans="28:28">
      <c r="AB6606" s="669"/>
    </row>
    <row r="6607" spans="28:28">
      <c r="AB6607" s="669"/>
    </row>
    <row r="6608" spans="28:28">
      <c r="AB6608" s="669"/>
    </row>
    <row r="6609" spans="28:28">
      <c r="AB6609" s="669"/>
    </row>
    <row r="6610" spans="28:28">
      <c r="AB6610" s="669"/>
    </row>
    <row r="6611" spans="28:28">
      <c r="AB6611" s="669"/>
    </row>
    <row r="6612" spans="28:28">
      <c r="AB6612" s="669"/>
    </row>
    <row r="6613" spans="28:28">
      <c r="AB6613" s="669"/>
    </row>
    <row r="6614" spans="28:28">
      <c r="AB6614" s="669"/>
    </row>
    <row r="6615" spans="28:28">
      <c r="AB6615" s="669"/>
    </row>
    <row r="6616" spans="28:28">
      <c r="AB6616" s="669"/>
    </row>
    <row r="6617" spans="28:28">
      <c r="AB6617" s="669"/>
    </row>
    <row r="6618" spans="28:28">
      <c r="AB6618" s="669"/>
    </row>
    <row r="6619" spans="28:28">
      <c r="AB6619" s="669"/>
    </row>
    <row r="6620" spans="28:28">
      <c r="AB6620" s="669"/>
    </row>
    <row r="6621" spans="28:28">
      <c r="AB6621" s="669"/>
    </row>
    <row r="6622" spans="28:28">
      <c r="AB6622" s="669"/>
    </row>
    <row r="6623" spans="28:28">
      <c r="AB6623" s="669"/>
    </row>
    <row r="6624" spans="28:28">
      <c r="AB6624" s="669"/>
    </row>
    <row r="6625" spans="28:28">
      <c r="AB6625" s="669"/>
    </row>
    <row r="6626" spans="28:28">
      <c r="AB6626" s="669"/>
    </row>
    <row r="6627" spans="28:28">
      <c r="AB6627" s="669"/>
    </row>
    <row r="6628" spans="28:28">
      <c r="AB6628" s="669"/>
    </row>
    <row r="6629" spans="28:28">
      <c r="AB6629" s="669"/>
    </row>
    <row r="6630" spans="28:28">
      <c r="AB6630" s="669"/>
    </row>
    <row r="6631" spans="28:28">
      <c r="AB6631" s="669"/>
    </row>
    <row r="6632" spans="28:28">
      <c r="AB6632" s="669"/>
    </row>
    <row r="6633" spans="28:28">
      <c r="AB6633" s="669"/>
    </row>
    <row r="6634" spans="28:28">
      <c r="AB6634" s="669"/>
    </row>
    <row r="6635" spans="28:28">
      <c r="AB6635" s="669"/>
    </row>
    <row r="6636" spans="28:28">
      <c r="AB6636" s="669"/>
    </row>
    <row r="6637" spans="28:28">
      <c r="AB6637" s="669"/>
    </row>
    <row r="6638" spans="28:28">
      <c r="AB6638" s="669"/>
    </row>
    <row r="6639" spans="28:28">
      <c r="AB6639" s="669"/>
    </row>
    <row r="6640" spans="28:28">
      <c r="AB6640" s="669"/>
    </row>
    <row r="6641" spans="28:28">
      <c r="AB6641" s="669"/>
    </row>
    <row r="6642" spans="28:28">
      <c r="AB6642" s="669"/>
    </row>
    <row r="6643" spans="28:28">
      <c r="AB6643" s="669"/>
    </row>
    <row r="6644" spans="28:28">
      <c r="AB6644" s="669"/>
    </row>
    <row r="6645" spans="28:28">
      <c r="AB6645" s="669"/>
    </row>
    <row r="6646" spans="28:28">
      <c r="AB6646" s="669"/>
    </row>
    <row r="6647" spans="28:28">
      <c r="AB6647" s="669"/>
    </row>
    <row r="6648" spans="28:28">
      <c r="AB6648" s="669"/>
    </row>
    <row r="6649" spans="28:28">
      <c r="AB6649" s="669"/>
    </row>
    <row r="6650" spans="28:28">
      <c r="AB6650" s="669"/>
    </row>
    <row r="6651" spans="28:28">
      <c r="AB6651" s="669"/>
    </row>
    <row r="6652" spans="28:28">
      <c r="AB6652" s="669"/>
    </row>
    <row r="6653" spans="28:28">
      <c r="AB6653" s="669"/>
    </row>
    <row r="6654" spans="28:28">
      <c r="AB6654" s="669"/>
    </row>
    <row r="6655" spans="28:28">
      <c r="AB6655" s="669"/>
    </row>
    <row r="6656" spans="28:28">
      <c r="AB6656" s="669"/>
    </row>
    <row r="6657" spans="28:28">
      <c r="AB6657" s="669"/>
    </row>
    <row r="6658" spans="28:28">
      <c r="AB6658" s="669"/>
    </row>
    <row r="6659" spans="28:28">
      <c r="AB6659" s="669"/>
    </row>
    <row r="6660" spans="28:28">
      <c r="AB6660" s="669"/>
    </row>
    <row r="6661" spans="28:28">
      <c r="AB6661" s="669"/>
    </row>
    <row r="6662" spans="28:28">
      <c r="AB6662" s="669"/>
    </row>
    <row r="6663" spans="28:28">
      <c r="AB6663" s="669"/>
    </row>
    <row r="6664" spans="28:28">
      <c r="AB6664" s="669"/>
    </row>
    <row r="6665" spans="28:28">
      <c r="AB6665" s="669"/>
    </row>
    <row r="6666" spans="28:28">
      <c r="AB6666" s="669"/>
    </row>
    <row r="6667" spans="28:28">
      <c r="AB6667" s="669"/>
    </row>
    <row r="6668" spans="28:28">
      <c r="AB6668" s="669"/>
    </row>
    <row r="6669" spans="28:28">
      <c r="AB6669" s="669"/>
    </row>
    <row r="6670" spans="28:28">
      <c r="AB6670" s="669"/>
    </row>
    <row r="6671" spans="28:28">
      <c r="AB6671" s="669"/>
    </row>
    <row r="6672" spans="28:28">
      <c r="AB6672" s="669"/>
    </row>
    <row r="6673" spans="28:28">
      <c r="AB6673" s="669"/>
    </row>
    <row r="6674" spans="28:28">
      <c r="AB6674" s="669"/>
    </row>
    <row r="6675" spans="28:28">
      <c r="AB6675" s="669"/>
    </row>
    <row r="6676" spans="28:28">
      <c r="AB6676" s="669"/>
    </row>
    <row r="6677" spans="28:28">
      <c r="AB6677" s="669"/>
    </row>
    <row r="6678" spans="28:28">
      <c r="AB6678" s="669"/>
    </row>
    <row r="6679" spans="28:28">
      <c r="AB6679" s="669"/>
    </row>
    <row r="6680" spans="28:28">
      <c r="AB6680" s="669"/>
    </row>
    <row r="6681" spans="28:28">
      <c r="AB6681" s="669"/>
    </row>
    <row r="6682" spans="28:28">
      <c r="AB6682" s="669"/>
    </row>
    <row r="6683" spans="28:28">
      <c r="AB6683" s="669"/>
    </row>
    <row r="6684" spans="28:28">
      <c r="AB6684" s="669"/>
    </row>
    <row r="6685" spans="28:28">
      <c r="AB6685" s="669"/>
    </row>
    <row r="6686" spans="28:28">
      <c r="AB6686" s="669"/>
    </row>
    <row r="6687" spans="28:28">
      <c r="AB6687" s="669"/>
    </row>
    <row r="6688" spans="28:28">
      <c r="AB6688" s="669"/>
    </row>
    <row r="6689" spans="28:28">
      <c r="AB6689" s="669"/>
    </row>
    <row r="6690" spans="28:28">
      <c r="AB6690" s="669"/>
    </row>
    <row r="6691" spans="28:28">
      <c r="AB6691" s="669"/>
    </row>
    <row r="6692" spans="28:28">
      <c r="AB6692" s="669"/>
    </row>
    <row r="6693" spans="28:28">
      <c r="AB6693" s="669"/>
    </row>
    <row r="6694" spans="28:28">
      <c r="AB6694" s="669"/>
    </row>
    <row r="6695" spans="28:28">
      <c r="AB6695" s="669"/>
    </row>
    <row r="6696" spans="28:28">
      <c r="AB6696" s="669"/>
    </row>
    <row r="6697" spans="28:28">
      <c r="AB6697" s="669"/>
    </row>
    <row r="6698" spans="28:28">
      <c r="AB6698" s="669"/>
    </row>
    <row r="6699" spans="28:28">
      <c r="AB6699" s="669"/>
    </row>
    <row r="6700" spans="28:28">
      <c r="AB6700" s="669"/>
    </row>
    <row r="6701" spans="28:28">
      <c r="AB6701" s="669"/>
    </row>
    <row r="6702" spans="28:28">
      <c r="AB6702" s="669"/>
    </row>
    <row r="6703" spans="28:28">
      <c r="AB6703" s="669"/>
    </row>
    <row r="6704" spans="28:28">
      <c r="AB6704" s="669"/>
    </row>
    <row r="6705" spans="28:28">
      <c r="AB6705" s="669"/>
    </row>
    <row r="6706" spans="28:28">
      <c r="AB6706" s="669"/>
    </row>
    <row r="6707" spans="28:28">
      <c r="AB6707" s="669"/>
    </row>
    <row r="6708" spans="28:28">
      <c r="AB6708" s="669"/>
    </row>
    <row r="6709" spans="28:28">
      <c r="AB6709" s="669"/>
    </row>
    <row r="6710" spans="28:28">
      <c r="AB6710" s="669"/>
    </row>
    <row r="6711" spans="28:28">
      <c r="AB6711" s="669"/>
    </row>
    <row r="6712" spans="28:28">
      <c r="AB6712" s="669"/>
    </row>
    <row r="6713" spans="28:28">
      <c r="AB6713" s="669"/>
    </row>
    <row r="6714" spans="28:28">
      <c r="AB6714" s="669"/>
    </row>
    <row r="6715" spans="28:28">
      <c r="AB6715" s="669"/>
    </row>
    <row r="6716" spans="28:28">
      <c r="AB6716" s="669"/>
    </row>
    <row r="6717" spans="28:28">
      <c r="AB6717" s="669"/>
    </row>
    <row r="6718" spans="28:28">
      <c r="AB6718" s="669"/>
    </row>
    <row r="6719" spans="28:28">
      <c r="AB6719" s="669"/>
    </row>
    <row r="6720" spans="28:28">
      <c r="AB6720" s="669"/>
    </row>
    <row r="6721" spans="28:28">
      <c r="AB6721" s="669"/>
    </row>
    <row r="6722" spans="28:28">
      <c r="AB6722" s="669"/>
    </row>
    <row r="6723" spans="28:28">
      <c r="AB6723" s="669"/>
    </row>
    <row r="6724" spans="28:28">
      <c r="AB6724" s="669"/>
    </row>
    <row r="6725" spans="28:28">
      <c r="AB6725" s="669"/>
    </row>
    <row r="6726" spans="28:28">
      <c r="AB6726" s="669"/>
    </row>
    <row r="6727" spans="28:28">
      <c r="AB6727" s="669"/>
    </row>
    <row r="6728" spans="28:28">
      <c r="AB6728" s="669"/>
    </row>
    <row r="6729" spans="28:28">
      <c r="AB6729" s="669"/>
    </row>
    <row r="6730" spans="28:28">
      <c r="AB6730" s="669"/>
    </row>
    <row r="6731" spans="28:28">
      <c r="AB6731" s="669"/>
    </row>
    <row r="6732" spans="28:28">
      <c r="AB6732" s="669"/>
    </row>
    <row r="6733" spans="28:28">
      <c r="AB6733" s="669"/>
    </row>
    <row r="6734" spans="28:28">
      <c r="AB6734" s="669"/>
    </row>
    <row r="6735" spans="28:28">
      <c r="AB6735" s="669"/>
    </row>
    <row r="6736" spans="28:28">
      <c r="AB6736" s="669"/>
    </row>
    <row r="6737" spans="28:28">
      <c r="AB6737" s="669"/>
    </row>
    <row r="6738" spans="28:28">
      <c r="AB6738" s="669"/>
    </row>
    <row r="6739" spans="28:28">
      <c r="AB6739" s="669"/>
    </row>
    <row r="6740" spans="28:28">
      <c r="AB6740" s="669"/>
    </row>
    <row r="6741" spans="28:28">
      <c r="AB6741" s="669"/>
    </row>
    <row r="6742" spans="28:28">
      <c r="AB6742" s="669"/>
    </row>
    <row r="6743" spans="28:28">
      <c r="AB6743" s="669"/>
    </row>
    <row r="6744" spans="28:28">
      <c r="AB6744" s="669"/>
    </row>
    <row r="6745" spans="28:28">
      <c r="AB6745" s="669"/>
    </row>
    <row r="6746" spans="28:28">
      <c r="AB6746" s="669"/>
    </row>
    <row r="6747" spans="28:28">
      <c r="AB6747" s="669"/>
    </row>
    <row r="6748" spans="28:28">
      <c r="AB6748" s="669"/>
    </row>
    <row r="6749" spans="28:28">
      <c r="AB6749" s="669"/>
    </row>
    <row r="6750" spans="28:28">
      <c r="AB6750" s="669"/>
    </row>
    <row r="6751" spans="28:28">
      <c r="AB6751" s="669"/>
    </row>
    <row r="6752" spans="28:28">
      <c r="AB6752" s="669"/>
    </row>
    <row r="6753" spans="28:28">
      <c r="AB6753" s="669"/>
    </row>
    <row r="6754" spans="28:28">
      <c r="AB6754" s="669"/>
    </row>
    <row r="6755" spans="28:28">
      <c r="AB6755" s="669"/>
    </row>
    <row r="6756" spans="28:28">
      <c r="AB6756" s="669"/>
    </row>
    <row r="6757" spans="28:28">
      <c r="AB6757" s="669"/>
    </row>
    <row r="6758" spans="28:28">
      <c r="AB6758" s="669"/>
    </row>
    <row r="6759" spans="28:28">
      <c r="AB6759" s="669"/>
    </row>
    <row r="6760" spans="28:28">
      <c r="AB6760" s="669"/>
    </row>
    <row r="6761" spans="28:28">
      <c r="AB6761" s="669"/>
    </row>
    <row r="6762" spans="28:28">
      <c r="AB6762" s="669"/>
    </row>
    <row r="6763" spans="28:28">
      <c r="AB6763" s="669"/>
    </row>
    <row r="6764" spans="28:28">
      <c r="AB6764" s="669"/>
    </row>
    <row r="6765" spans="28:28">
      <c r="AB6765" s="669"/>
    </row>
    <row r="6766" spans="28:28">
      <c r="AB6766" s="669"/>
    </row>
    <row r="6767" spans="28:28">
      <c r="AB6767" s="669"/>
    </row>
    <row r="6768" spans="28:28">
      <c r="AB6768" s="669"/>
    </row>
    <row r="6769" spans="28:28">
      <c r="AB6769" s="669"/>
    </row>
    <row r="6770" spans="28:28">
      <c r="AB6770" s="669"/>
    </row>
    <row r="6771" spans="28:28">
      <c r="AB6771" s="669"/>
    </row>
    <row r="6772" spans="28:28">
      <c r="AB6772" s="669"/>
    </row>
    <row r="6773" spans="28:28">
      <c r="AB6773" s="669"/>
    </row>
    <row r="6774" spans="28:28">
      <c r="AB6774" s="669"/>
    </row>
    <row r="6775" spans="28:28">
      <c r="AB6775" s="669"/>
    </row>
    <row r="6776" spans="28:28">
      <c r="AB6776" s="669"/>
    </row>
    <row r="6777" spans="28:28">
      <c r="AB6777" s="669"/>
    </row>
    <row r="6778" spans="28:28">
      <c r="AB6778" s="669"/>
    </row>
    <row r="6779" spans="28:28">
      <c r="AB6779" s="669"/>
    </row>
    <row r="6780" spans="28:28">
      <c r="AB6780" s="669"/>
    </row>
    <row r="6781" spans="28:28">
      <c r="AB6781" s="669"/>
    </row>
    <row r="6782" spans="28:28">
      <c r="AB6782" s="669"/>
    </row>
    <row r="6783" spans="28:28">
      <c r="AB6783" s="669"/>
    </row>
    <row r="6784" spans="28:28">
      <c r="AB6784" s="669"/>
    </row>
    <row r="6785" spans="28:28">
      <c r="AB6785" s="669"/>
    </row>
    <row r="6786" spans="28:28">
      <c r="AB6786" s="669"/>
    </row>
    <row r="6787" spans="28:28">
      <c r="AB6787" s="669"/>
    </row>
    <row r="6788" spans="28:28">
      <c r="AB6788" s="669"/>
    </row>
    <row r="6789" spans="28:28">
      <c r="AB6789" s="669"/>
    </row>
    <row r="6790" spans="28:28">
      <c r="AB6790" s="669"/>
    </row>
    <row r="6791" spans="28:28">
      <c r="AB6791" s="669"/>
    </row>
    <row r="6792" spans="28:28">
      <c r="AB6792" s="669"/>
    </row>
    <row r="6793" spans="28:28">
      <c r="AB6793" s="669"/>
    </row>
    <row r="6794" spans="28:28">
      <c r="AB6794" s="669"/>
    </row>
    <row r="6795" spans="28:28">
      <c r="AB6795" s="669"/>
    </row>
    <row r="6796" spans="28:28">
      <c r="AB6796" s="669"/>
    </row>
    <row r="6797" spans="28:28">
      <c r="AB6797" s="669"/>
    </row>
    <row r="6798" spans="28:28">
      <c r="AB6798" s="669"/>
    </row>
    <row r="6799" spans="28:28">
      <c r="AB6799" s="669"/>
    </row>
    <row r="6800" spans="28:28">
      <c r="AB6800" s="669"/>
    </row>
    <row r="6801" spans="28:28">
      <c r="AB6801" s="669"/>
    </row>
    <row r="6802" spans="28:28">
      <c r="AB6802" s="669"/>
    </row>
    <row r="6803" spans="28:28">
      <c r="AB6803" s="669"/>
    </row>
    <row r="6804" spans="28:28">
      <c r="AB6804" s="669"/>
    </row>
    <row r="6805" spans="28:28">
      <c r="AB6805" s="669"/>
    </row>
    <row r="6806" spans="28:28">
      <c r="AB6806" s="669"/>
    </row>
    <row r="6807" spans="28:28">
      <c r="AB6807" s="669"/>
    </row>
    <row r="6808" spans="28:28">
      <c r="AB6808" s="669"/>
    </row>
    <row r="6809" spans="28:28">
      <c r="AB6809" s="669"/>
    </row>
    <row r="6810" spans="28:28">
      <c r="AB6810" s="669"/>
    </row>
    <row r="6811" spans="28:28">
      <c r="AB6811" s="669"/>
    </row>
    <row r="6812" spans="28:28">
      <c r="AB6812" s="669"/>
    </row>
    <row r="6813" spans="28:28">
      <c r="AB6813" s="669"/>
    </row>
    <row r="6814" spans="28:28">
      <c r="AB6814" s="669"/>
    </row>
    <row r="6815" spans="28:28">
      <c r="AB6815" s="669"/>
    </row>
    <row r="6816" spans="28:28">
      <c r="AB6816" s="669"/>
    </row>
    <row r="6817" spans="28:28">
      <c r="AB6817" s="669"/>
    </row>
    <row r="6818" spans="28:28">
      <c r="AB6818" s="669"/>
    </row>
    <row r="6819" spans="28:28">
      <c r="AB6819" s="669"/>
    </row>
    <row r="6820" spans="28:28">
      <c r="AB6820" s="669"/>
    </row>
    <row r="6821" spans="28:28">
      <c r="AB6821" s="669"/>
    </row>
    <row r="6822" spans="28:28">
      <c r="AB6822" s="669"/>
    </row>
    <row r="6823" spans="28:28">
      <c r="AB6823" s="669"/>
    </row>
    <row r="6824" spans="28:28">
      <c r="AB6824" s="669"/>
    </row>
    <row r="6825" spans="28:28">
      <c r="AB6825" s="669"/>
    </row>
    <row r="6826" spans="28:28">
      <c r="AB6826" s="669"/>
    </row>
    <row r="6827" spans="28:28">
      <c r="AB6827" s="669"/>
    </row>
    <row r="6828" spans="28:28">
      <c r="AB6828" s="669"/>
    </row>
    <row r="6829" spans="28:28">
      <c r="AB6829" s="669"/>
    </row>
    <row r="6830" spans="28:28">
      <c r="AB6830" s="669"/>
    </row>
    <row r="6831" spans="28:28">
      <c r="AB6831" s="669"/>
    </row>
    <row r="6832" spans="28:28">
      <c r="AB6832" s="669"/>
    </row>
    <row r="6833" spans="28:28">
      <c r="AB6833" s="669"/>
    </row>
    <row r="6834" spans="28:28">
      <c r="AB6834" s="669"/>
    </row>
    <row r="6835" spans="28:28">
      <c r="AB6835" s="669"/>
    </row>
    <row r="6836" spans="28:28">
      <c r="AB6836" s="669"/>
    </row>
    <row r="6837" spans="28:28">
      <c r="AB6837" s="669"/>
    </row>
    <row r="6838" spans="28:28">
      <c r="AB6838" s="669"/>
    </row>
    <row r="6839" spans="28:28">
      <c r="AB6839" s="669"/>
    </row>
    <row r="6840" spans="28:28">
      <c r="AB6840" s="669"/>
    </row>
    <row r="6841" spans="28:28">
      <c r="AB6841" s="669"/>
    </row>
    <row r="6842" spans="28:28">
      <c r="AB6842" s="669"/>
    </row>
    <row r="6843" spans="28:28">
      <c r="AB6843" s="669"/>
    </row>
    <row r="6844" spans="28:28">
      <c r="AB6844" s="669"/>
    </row>
    <row r="6845" spans="28:28">
      <c r="AB6845" s="669"/>
    </row>
    <row r="6846" spans="28:28">
      <c r="AB6846" s="669"/>
    </row>
    <row r="6847" spans="28:28">
      <c r="AB6847" s="669"/>
    </row>
    <row r="6848" spans="28:28">
      <c r="AB6848" s="669"/>
    </row>
    <row r="6849" spans="28:28">
      <c r="AB6849" s="669"/>
    </row>
    <row r="6850" spans="28:28">
      <c r="AB6850" s="669"/>
    </row>
    <row r="6851" spans="28:28">
      <c r="AB6851" s="669"/>
    </row>
    <row r="6852" spans="28:28">
      <c r="AB6852" s="669"/>
    </row>
    <row r="6853" spans="28:28">
      <c r="AB6853" s="669"/>
    </row>
    <row r="6854" spans="28:28">
      <c r="AB6854" s="669"/>
    </row>
    <row r="6855" spans="28:28">
      <c r="AB6855" s="669"/>
    </row>
    <row r="6856" spans="28:28">
      <c r="AB6856" s="669"/>
    </row>
    <row r="6857" spans="28:28">
      <c r="AB6857" s="669"/>
    </row>
    <row r="6858" spans="28:28">
      <c r="AB6858" s="669"/>
    </row>
    <row r="6859" spans="28:28">
      <c r="AB6859" s="669"/>
    </row>
    <row r="6860" spans="28:28">
      <c r="AB6860" s="669"/>
    </row>
    <row r="6861" spans="28:28">
      <c r="AB6861" s="669"/>
    </row>
    <row r="6862" spans="28:28">
      <c r="AB6862" s="669"/>
    </row>
    <row r="6863" spans="28:28">
      <c r="AB6863" s="669"/>
    </row>
    <row r="6864" spans="28:28">
      <c r="AB6864" s="669"/>
    </row>
    <row r="6865" spans="28:28">
      <c r="AB6865" s="669"/>
    </row>
    <row r="6866" spans="28:28">
      <c r="AB6866" s="669"/>
    </row>
    <row r="6867" spans="28:28">
      <c r="AB6867" s="669"/>
    </row>
    <row r="6868" spans="28:28">
      <c r="AB6868" s="669"/>
    </row>
    <row r="6869" spans="28:28">
      <c r="AB6869" s="669"/>
    </row>
    <row r="6870" spans="28:28">
      <c r="AB6870" s="669"/>
    </row>
    <row r="6871" spans="28:28">
      <c r="AB6871" s="669"/>
    </row>
    <row r="6872" spans="28:28">
      <c r="AB6872" s="669"/>
    </row>
    <row r="6873" spans="28:28">
      <c r="AB6873" s="669"/>
    </row>
    <row r="6874" spans="28:28">
      <c r="AB6874" s="669"/>
    </row>
    <row r="6875" spans="28:28">
      <c r="AB6875" s="669"/>
    </row>
    <row r="6876" spans="28:28">
      <c r="AB6876" s="669"/>
    </row>
    <row r="6877" spans="28:28">
      <c r="AB6877" s="669"/>
    </row>
    <row r="6878" spans="28:28">
      <c r="AB6878" s="669"/>
    </row>
    <row r="6879" spans="28:28">
      <c r="AB6879" s="669"/>
    </row>
    <row r="6880" spans="28:28">
      <c r="AB6880" s="669"/>
    </row>
    <row r="6881" spans="28:28">
      <c r="AB6881" s="669"/>
    </row>
    <row r="6882" spans="28:28">
      <c r="AB6882" s="669"/>
    </row>
    <row r="6883" spans="28:28">
      <c r="AB6883" s="669"/>
    </row>
    <row r="6884" spans="28:28">
      <c r="AB6884" s="669"/>
    </row>
    <row r="6885" spans="28:28">
      <c r="AB6885" s="669"/>
    </row>
    <row r="6886" spans="28:28">
      <c r="AB6886" s="669"/>
    </row>
    <row r="6887" spans="28:28">
      <c r="AB6887" s="669"/>
    </row>
    <row r="6888" spans="28:28">
      <c r="AB6888" s="669"/>
    </row>
    <row r="6889" spans="28:28">
      <c r="AB6889" s="669"/>
    </row>
    <row r="6890" spans="28:28">
      <c r="AB6890" s="669"/>
    </row>
    <row r="6891" spans="28:28">
      <c r="AB6891" s="669"/>
    </row>
    <row r="6892" spans="28:28">
      <c r="AB6892" s="669"/>
    </row>
    <row r="6893" spans="28:28">
      <c r="AB6893" s="669"/>
    </row>
    <row r="6894" spans="28:28">
      <c r="AB6894" s="669"/>
    </row>
    <row r="6895" spans="28:28">
      <c r="AB6895" s="669"/>
    </row>
    <row r="6896" spans="28:28">
      <c r="AB6896" s="669"/>
    </row>
    <row r="6897" spans="28:28">
      <c r="AB6897" s="669"/>
    </row>
    <row r="6898" spans="28:28">
      <c r="AB6898" s="669"/>
    </row>
    <row r="6899" spans="28:28">
      <c r="AB6899" s="669"/>
    </row>
    <row r="6900" spans="28:28">
      <c r="AB6900" s="669"/>
    </row>
    <row r="6901" spans="28:28">
      <c r="AB6901" s="669"/>
    </row>
    <row r="6902" spans="28:28">
      <c r="AB6902" s="669"/>
    </row>
    <row r="6903" spans="28:28">
      <c r="AB6903" s="669"/>
    </row>
    <row r="6904" spans="28:28">
      <c r="AB6904" s="669"/>
    </row>
    <row r="6905" spans="28:28">
      <c r="AB6905" s="669"/>
    </row>
    <row r="6906" spans="28:28">
      <c r="AB6906" s="669"/>
    </row>
    <row r="6907" spans="28:28">
      <c r="AB6907" s="669"/>
    </row>
    <row r="6908" spans="28:28">
      <c r="AB6908" s="669"/>
    </row>
    <row r="6909" spans="28:28">
      <c r="AB6909" s="669"/>
    </row>
    <row r="6910" spans="28:28">
      <c r="AB6910" s="669"/>
    </row>
    <row r="6911" spans="28:28">
      <c r="AB6911" s="669"/>
    </row>
    <row r="6912" spans="28:28">
      <c r="AB6912" s="669"/>
    </row>
    <row r="6913" spans="28:28">
      <c r="AB6913" s="669"/>
    </row>
    <row r="6914" spans="28:28">
      <c r="AB6914" s="669"/>
    </row>
    <row r="6915" spans="28:28">
      <c r="AB6915" s="669"/>
    </row>
    <row r="6916" spans="28:28">
      <c r="AB6916" s="669"/>
    </row>
    <row r="6917" spans="28:28">
      <c r="AB6917" s="669"/>
    </row>
    <row r="6918" spans="28:28">
      <c r="AB6918" s="669"/>
    </row>
    <row r="6919" spans="28:28">
      <c r="AB6919" s="669"/>
    </row>
    <row r="6920" spans="28:28">
      <c r="AB6920" s="669"/>
    </row>
    <row r="6921" spans="28:28">
      <c r="AB6921" s="669"/>
    </row>
    <row r="6922" spans="28:28">
      <c r="AB6922" s="669"/>
    </row>
    <row r="6923" spans="28:28">
      <c r="AB6923" s="669"/>
    </row>
    <row r="6924" spans="28:28">
      <c r="AB6924" s="669"/>
    </row>
    <row r="6925" spans="28:28">
      <c r="AB6925" s="669"/>
    </row>
    <row r="6926" spans="28:28">
      <c r="AB6926" s="669"/>
    </row>
    <row r="6927" spans="28:28">
      <c r="AB6927" s="669"/>
    </row>
    <row r="6928" spans="28:28">
      <c r="AB6928" s="669"/>
    </row>
    <row r="6929" spans="28:28">
      <c r="AB6929" s="669"/>
    </row>
    <row r="6930" spans="28:28">
      <c r="AB6930" s="669"/>
    </row>
    <row r="6931" spans="28:28">
      <c r="AB6931" s="669"/>
    </row>
    <row r="6932" spans="28:28">
      <c r="AB6932" s="669"/>
    </row>
    <row r="6933" spans="28:28">
      <c r="AB6933" s="669"/>
    </row>
    <row r="6934" spans="28:28">
      <c r="AB6934" s="669"/>
    </row>
    <row r="6935" spans="28:28">
      <c r="AB6935" s="669"/>
    </row>
    <row r="6936" spans="28:28">
      <c r="AB6936" s="669"/>
    </row>
    <row r="6937" spans="28:28">
      <c r="AB6937" s="669"/>
    </row>
    <row r="6938" spans="28:28">
      <c r="AB6938" s="669"/>
    </row>
    <row r="6939" spans="28:28">
      <c r="AB6939" s="669"/>
    </row>
    <row r="6940" spans="28:28">
      <c r="AB6940" s="669"/>
    </row>
    <row r="6941" spans="28:28">
      <c r="AB6941" s="669"/>
    </row>
    <row r="6942" spans="28:28">
      <c r="AB6942" s="669"/>
    </row>
    <row r="6943" spans="28:28">
      <c r="AB6943" s="669"/>
    </row>
    <row r="6944" spans="28:28">
      <c r="AB6944" s="669"/>
    </row>
    <row r="6945" spans="28:28">
      <c r="AB6945" s="669"/>
    </row>
    <row r="6946" spans="28:28">
      <c r="AB6946" s="669"/>
    </row>
    <row r="6947" spans="28:28">
      <c r="AB6947" s="669"/>
    </row>
    <row r="6948" spans="28:28">
      <c r="AB6948" s="669"/>
    </row>
    <row r="6949" spans="28:28">
      <c r="AB6949" s="669"/>
    </row>
    <row r="6950" spans="28:28">
      <c r="AB6950" s="669"/>
    </row>
    <row r="6951" spans="28:28">
      <c r="AB6951" s="669"/>
    </row>
    <row r="6952" spans="28:28">
      <c r="AB6952" s="669"/>
    </row>
    <row r="6953" spans="28:28">
      <c r="AB6953" s="669"/>
    </row>
    <row r="6954" spans="28:28">
      <c r="AB6954" s="669"/>
    </row>
    <row r="6955" spans="28:28">
      <c r="AB6955" s="669"/>
    </row>
    <row r="6956" spans="28:28">
      <c r="AB6956" s="669"/>
    </row>
    <row r="6957" spans="28:28">
      <c r="AB6957" s="669"/>
    </row>
    <row r="6958" spans="28:28">
      <c r="AB6958" s="669"/>
    </row>
    <row r="6959" spans="28:28">
      <c r="AB6959" s="669"/>
    </row>
    <row r="6960" spans="28:28">
      <c r="AB6960" s="669"/>
    </row>
    <row r="6961" spans="28:28">
      <c r="AB6961" s="669"/>
    </row>
    <row r="6962" spans="28:28">
      <c r="AB6962" s="669"/>
    </row>
    <row r="6963" spans="28:28">
      <c r="AB6963" s="669"/>
    </row>
    <row r="6964" spans="28:28">
      <c r="AB6964" s="669"/>
    </row>
    <row r="6965" spans="28:28">
      <c r="AB6965" s="669"/>
    </row>
    <row r="6966" spans="28:28">
      <c r="AB6966" s="669"/>
    </row>
    <row r="6967" spans="28:28">
      <c r="AB6967" s="669"/>
    </row>
    <row r="6968" spans="28:28">
      <c r="AB6968" s="669"/>
    </row>
    <row r="6969" spans="28:28">
      <c r="AB6969" s="669"/>
    </row>
    <row r="6970" spans="28:28">
      <c r="AB6970" s="669"/>
    </row>
    <row r="6971" spans="28:28">
      <c r="AB6971" s="669"/>
    </row>
    <row r="6972" spans="28:28">
      <c r="AB6972" s="669"/>
    </row>
    <row r="6973" spans="28:28">
      <c r="AB6973" s="669"/>
    </row>
    <row r="6974" spans="28:28">
      <c r="AB6974" s="669"/>
    </row>
    <row r="6975" spans="28:28">
      <c r="AB6975" s="669"/>
    </row>
    <row r="6976" spans="28:28">
      <c r="AB6976" s="669"/>
    </row>
    <row r="6977" spans="28:28">
      <c r="AB6977" s="669"/>
    </row>
    <row r="6978" spans="28:28">
      <c r="AB6978" s="669"/>
    </row>
    <row r="6979" spans="28:28">
      <c r="AB6979" s="669"/>
    </row>
    <row r="6980" spans="28:28">
      <c r="AB6980" s="669"/>
    </row>
    <row r="6981" spans="28:28">
      <c r="AB6981" s="669"/>
    </row>
    <row r="6982" spans="28:28">
      <c r="AB6982" s="669"/>
    </row>
    <row r="6983" spans="28:28">
      <c r="AB6983" s="669"/>
    </row>
    <row r="6984" spans="28:28">
      <c r="AB6984" s="669"/>
    </row>
    <row r="6985" spans="28:28">
      <c r="AB6985" s="669"/>
    </row>
    <row r="6986" spans="28:28">
      <c r="AB6986" s="669"/>
    </row>
    <row r="6987" spans="28:28">
      <c r="AB6987" s="669"/>
    </row>
    <row r="6988" spans="28:28">
      <c r="AB6988" s="669"/>
    </row>
    <row r="6989" spans="28:28">
      <c r="AB6989" s="669"/>
    </row>
    <row r="6990" spans="28:28">
      <c r="AB6990" s="669"/>
    </row>
    <row r="6991" spans="28:28">
      <c r="AB6991" s="669"/>
    </row>
    <row r="6992" spans="28:28">
      <c r="AB6992" s="669"/>
    </row>
    <row r="6993" spans="28:28">
      <c r="AB6993" s="669"/>
    </row>
    <row r="6994" spans="28:28">
      <c r="AB6994" s="669"/>
    </row>
    <row r="6995" spans="28:28">
      <c r="AB6995" s="669"/>
    </row>
    <row r="6996" spans="28:28">
      <c r="AB6996" s="669"/>
    </row>
    <row r="6997" spans="28:28">
      <c r="AB6997" s="669"/>
    </row>
    <row r="6998" spans="28:28">
      <c r="AB6998" s="669"/>
    </row>
    <row r="6999" spans="28:28">
      <c r="AB6999" s="669"/>
    </row>
    <row r="7000" spans="28:28">
      <c r="AB7000" s="669"/>
    </row>
    <row r="7001" spans="28:28">
      <c r="AB7001" s="669"/>
    </row>
    <row r="7002" spans="28:28">
      <c r="AB7002" s="669"/>
    </row>
    <row r="7003" spans="28:28">
      <c r="AB7003" s="669"/>
    </row>
    <row r="7004" spans="28:28">
      <c r="AB7004" s="669"/>
    </row>
    <row r="7005" spans="28:28">
      <c r="AB7005" s="669"/>
    </row>
    <row r="7006" spans="28:28">
      <c r="AB7006" s="669"/>
    </row>
    <row r="7007" spans="28:28">
      <c r="AB7007" s="669"/>
    </row>
    <row r="7008" spans="28:28">
      <c r="AB7008" s="669"/>
    </row>
    <row r="7009" spans="28:28">
      <c r="AB7009" s="669"/>
    </row>
    <row r="7010" spans="28:28">
      <c r="AB7010" s="669"/>
    </row>
    <row r="7011" spans="28:28">
      <c r="AB7011" s="669"/>
    </row>
    <row r="7012" spans="28:28">
      <c r="AB7012" s="669"/>
    </row>
    <row r="7013" spans="28:28">
      <c r="AB7013" s="669"/>
    </row>
    <row r="7014" spans="28:28">
      <c r="AB7014" s="669"/>
    </row>
    <row r="7015" spans="28:28">
      <c r="AB7015" s="669"/>
    </row>
    <row r="7016" spans="28:28">
      <c r="AB7016" s="669"/>
    </row>
    <row r="7017" spans="28:28">
      <c r="AB7017" s="669"/>
    </row>
    <row r="7018" spans="28:28">
      <c r="AB7018" s="669"/>
    </row>
    <row r="7019" spans="28:28">
      <c r="AB7019" s="669"/>
    </row>
    <row r="7020" spans="28:28">
      <c r="AB7020" s="669"/>
    </row>
    <row r="7021" spans="28:28">
      <c r="AB7021" s="669"/>
    </row>
    <row r="7022" spans="28:28">
      <c r="AB7022" s="669"/>
    </row>
    <row r="7023" spans="28:28">
      <c r="AB7023" s="669"/>
    </row>
    <row r="7024" spans="28:28">
      <c r="AB7024" s="669"/>
    </row>
    <row r="7025" spans="28:28">
      <c r="AB7025" s="669"/>
    </row>
    <row r="7026" spans="28:28">
      <c r="AB7026" s="669"/>
    </row>
    <row r="7027" spans="28:28">
      <c r="AB7027" s="669"/>
    </row>
    <row r="7028" spans="28:28">
      <c r="AB7028" s="669"/>
    </row>
    <row r="7029" spans="28:28">
      <c r="AB7029" s="669"/>
    </row>
    <row r="7030" spans="28:28">
      <c r="AB7030" s="669"/>
    </row>
    <row r="7031" spans="28:28">
      <c r="AB7031" s="669"/>
    </row>
    <row r="7032" spans="28:28">
      <c r="AB7032" s="669"/>
    </row>
    <row r="7033" spans="28:28">
      <c r="AB7033" s="669"/>
    </row>
    <row r="7034" spans="28:28">
      <c r="AB7034" s="669"/>
    </row>
    <row r="7035" spans="28:28">
      <c r="AB7035" s="669"/>
    </row>
    <row r="7036" spans="28:28">
      <c r="AB7036" s="669"/>
    </row>
    <row r="7037" spans="28:28">
      <c r="AB7037" s="669"/>
    </row>
    <row r="7038" spans="28:28">
      <c r="AB7038" s="669"/>
    </row>
    <row r="7039" spans="28:28">
      <c r="AB7039" s="669"/>
    </row>
    <row r="7040" spans="28:28">
      <c r="AB7040" s="669"/>
    </row>
    <row r="7041" spans="28:28">
      <c r="AB7041" s="669"/>
    </row>
    <row r="7042" spans="28:28">
      <c r="AB7042" s="669"/>
    </row>
    <row r="7043" spans="28:28">
      <c r="AB7043" s="669"/>
    </row>
    <row r="7044" spans="28:28">
      <c r="AB7044" s="669"/>
    </row>
    <row r="7045" spans="28:28">
      <c r="AB7045" s="669"/>
    </row>
    <row r="7046" spans="28:28">
      <c r="AB7046" s="669"/>
    </row>
    <row r="7047" spans="28:28">
      <c r="AB7047" s="669"/>
    </row>
    <row r="7048" spans="28:28">
      <c r="AB7048" s="669"/>
    </row>
    <row r="7049" spans="28:28">
      <c r="AB7049" s="669"/>
    </row>
    <row r="7050" spans="28:28">
      <c r="AB7050" s="669"/>
    </row>
    <row r="7051" spans="28:28">
      <c r="AB7051" s="669"/>
    </row>
    <row r="7052" spans="28:28">
      <c r="AB7052" s="669"/>
    </row>
    <row r="7053" spans="28:28">
      <c r="AB7053" s="669"/>
    </row>
    <row r="7054" spans="28:28">
      <c r="AB7054" s="669"/>
    </row>
    <row r="7055" spans="28:28">
      <c r="AB7055" s="669"/>
    </row>
    <row r="7056" spans="28:28">
      <c r="AB7056" s="669"/>
    </row>
    <row r="7057" spans="28:28">
      <c r="AB7057" s="669"/>
    </row>
    <row r="7058" spans="28:28">
      <c r="AB7058" s="669"/>
    </row>
    <row r="7059" spans="28:28">
      <c r="AB7059" s="669"/>
    </row>
    <row r="7060" spans="28:28">
      <c r="AB7060" s="669"/>
    </row>
    <row r="7061" spans="28:28">
      <c r="AB7061" s="669"/>
    </row>
    <row r="7062" spans="28:28">
      <c r="AB7062" s="669"/>
    </row>
    <row r="7063" spans="28:28">
      <c r="AB7063" s="669"/>
    </row>
    <row r="7064" spans="28:28">
      <c r="AB7064" s="669"/>
    </row>
    <row r="7065" spans="28:28">
      <c r="AB7065" s="669"/>
    </row>
    <row r="7066" spans="28:28">
      <c r="AB7066" s="669"/>
    </row>
    <row r="7067" spans="28:28">
      <c r="AB7067" s="669"/>
    </row>
    <row r="7068" spans="28:28">
      <c r="AB7068" s="669"/>
    </row>
    <row r="7069" spans="28:28">
      <c r="AB7069" s="669"/>
    </row>
    <row r="7070" spans="28:28">
      <c r="AB7070" s="669"/>
    </row>
    <row r="7071" spans="28:28">
      <c r="AB7071" s="669"/>
    </row>
    <row r="7072" spans="28:28">
      <c r="AB7072" s="669"/>
    </row>
    <row r="7073" spans="28:28">
      <c r="AB7073" s="669"/>
    </row>
    <row r="7074" spans="28:28">
      <c r="AB7074" s="669"/>
    </row>
    <row r="7075" spans="28:28">
      <c r="AB7075" s="669"/>
    </row>
    <row r="7076" spans="28:28">
      <c r="AB7076" s="669"/>
    </row>
    <row r="7077" spans="28:28">
      <c r="AB7077" s="669"/>
    </row>
    <row r="7078" spans="28:28">
      <c r="AB7078" s="669"/>
    </row>
    <row r="7079" spans="28:28">
      <c r="AB7079" s="669"/>
    </row>
    <row r="7080" spans="28:28">
      <c r="AB7080" s="669"/>
    </row>
    <row r="7081" spans="28:28">
      <c r="AB7081" s="669"/>
    </row>
    <row r="7082" spans="28:28">
      <c r="AB7082" s="669"/>
    </row>
    <row r="7083" spans="28:28">
      <c r="AB7083" s="669"/>
    </row>
    <row r="7084" spans="28:28">
      <c r="AB7084" s="669"/>
    </row>
    <row r="7085" spans="28:28">
      <c r="AB7085" s="669"/>
    </row>
    <row r="7086" spans="28:28">
      <c r="AB7086" s="669"/>
    </row>
    <row r="7087" spans="28:28">
      <c r="AB7087" s="669"/>
    </row>
    <row r="7088" spans="28:28">
      <c r="AB7088" s="669"/>
    </row>
    <row r="7089" spans="28:28">
      <c r="AB7089" s="669"/>
    </row>
    <row r="7090" spans="28:28">
      <c r="AB7090" s="669"/>
    </row>
    <row r="7091" spans="28:28">
      <c r="AB7091" s="669"/>
    </row>
    <row r="7092" spans="28:28">
      <c r="AB7092" s="669"/>
    </row>
    <row r="7093" spans="28:28">
      <c r="AB7093" s="669"/>
    </row>
    <row r="7094" spans="28:28">
      <c r="AB7094" s="669"/>
    </row>
    <row r="7095" spans="28:28">
      <c r="AB7095" s="669"/>
    </row>
    <row r="7096" spans="28:28">
      <c r="AB7096" s="669"/>
    </row>
    <row r="7097" spans="28:28">
      <c r="AB7097" s="669"/>
    </row>
    <row r="7098" spans="28:28">
      <c r="AB7098" s="669"/>
    </row>
    <row r="7099" spans="28:28">
      <c r="AB7099" s="669"/>
    </row>
    <row r="7100" spans="28:28">
      <c r="AB7100" s="669"/>
    </row>
    <row r="7101" spans="28:28">
      <c r="AB7101" s="669"/>
    </row>
    <row r="7102" spans="28:28">
      <c r="AB7102" s="669"/>
    </row>
    <row r="7103" spans="28:28">
      <c r="AB7103" s="669"/>
    </row>
    <row r="7104" spans="28:28">
      <c r="AB7104" s="669"/>
    </row>
    <row r="7105" spans="28:28">
      <c r="AB7105" s="669"/>
    </row>
    <row r="7106" spans="28:28">
      <c r="AB7106" s="669"/>
    </row>
    <row r="7107" spans="28:28">
      <c r="AB7107" s="669"/>
    </row>
    <row r="7108" spans="28:28">
      <c r="AB7108" s="669"/>
    </row>
    <row r="7109" spans="28:28">
      <c r="AB7109" s="669"/>
    </row>
    <row r="7110" spans="28:28">
      <c r="AB7110" s="669"/>
    </row>
    <row r="7111" spans="28:28">
      <c r="AB7111" s="669"/>
    </row>
    <row r="7112" spans="28:28">
      <c r="AB7112" s="669"/>
    </row>
    <row r="7113" spans="28:28">
      <c r="AB7113" s="669"/>
    </row>
    <row r="7114" spans="28:28">
      <c r="AB7114" s="669"/>
    </row>
    <row r="7115" spans="28:28">
      <c r="AB7115" s="669"/>
    </row>
    <row r="7116" spans="28:28">
      <c r="AB7116" s="669"/>
    </row>
    <row r="7117" spans="28:28">
      <c r="AB7117" s="669"/>
    </row>
    <row r="7118" spans="28:28">
      <c r="AB7118" s="669"/>
    </row>
    <row r="7119" spans="28:28">
      <c r="AB7119" s="669"/>
    </row>
    <row r="7120" spans="28:28">
      <c r="AB7120" s="669"/>
    </row>
    <row r="7121" spans="28:28">
      <c r="AB7121" s="669"/>
    </row>
    <row r="7122" spans="28:28">
      <c r="AB7122" s="669"/>
    </row>
    <row r="7123" spans="28:28">
      <c r="AB7123" s="669"/>
    </row>
    <row r="7124" spans="28:28">
      <c r="AB7124" s="669"/>
    </row>
    <row r="7125" spans="28:28">
      <c r="AB7125" s="669"/>
    </row>
    <row r="7126" spans="28:28">
      <c r="AB7126" s="669"/>
    </row>
    <row r="7127" spans="28:28">
      <c r="AB7127" s="669"/>
    </row>
    <row r="7128" spans="28:28">
      <c r="AB7128" s="669"/>
    </row>
    <row r="7129" spans="28:28">
      <c r="AB7129" s="669"/>
    </row>
    <row r="7130" spans="28:28">
      <c r="AB7130" s="669"/>
    </row>
    <row r="7131" spans="28:28">
      <c r="AB7131" s="669"/>
    </row>
    <row r="7132" spans="28:28">
      <c r="AB7132" s="669"/>
    </row>
    <row r="7133" spans="28:28">
      <c r="AB7133" s="669"/>
    </row>
    <row r="7134" spans="28:28">
      <c r="AB7134" s="669"/>
    </row>
    <row r="7135" spans="28:28">
      <c r="AB7135" s="669"/>
    </row>
    <row r="7136" spans="28:28">
      <c r="AB7136" s="669"/>
    </row>
    <row r="7137" spans="28:28">
      <c r="AB7137" s="669"/>
    </row>
    <row r="7138" spans="28:28">
      <c r="AB7138" s="669"/>
    </row>
    <row r="7139" spans="28:28">
      <c r="AB7139" s="669"/>
    </row>
    <row r="7140" spans="28:28">
      <c r="AB7140" s="669"/>
    </row>
    <row r="7141" spans="28:28">
      <c r="AB7141" s="669"/>
    </row>
    <row r="7142" spans="28:28">
      <c r="AB7142" s="669"/>
    </row>
    <row r="7143" spans="28:28">
      <c r="AB7143" s="669"/>
    </row>
    <row r="7144" spans="28:28">
      <c r="AB7144" s="669"/>
    </row>
    <row r="7145" spans="28:28">
      <c r="AB7145" s="669"/>
    </row>
    <row r="7146" spans="28:28">
      <c r="AB7146" s="669"/>
    </row>
    <row r="7147" spans="28:28">
      <c r="AB7147" s="669"/>
    </row>
    <row r="7148" spans="28:28">
      <c r="AB7148" s="669"/>
    </row>
    <row r="7149" spans="28:28">
      <c r="AB7149" s="669"/>
    </row>
    <row r="7150" spans="28:28">
      <c r="AB7150" s="669"/>
    </row>
    <row r="7151" spans="28:28">
      <c r="AB7151" s="669"/>
    </row>
    <row r="7152" spans="28:28">
      <c r="AB7152" s="669"/>
    </row>
    <row r="7153" spans="28:28">
      <c r="AB7153" s="669"/>
    </row>
    <row r="7154" spans="28:28">
      <c r="AB7154" s="669"/>
    </row>
    <row r="7155" spans="28:28">
      <c r="AB7155" s="669"/>
    </row>
    <row r="7156" spans="28:28">
      <c r="AB7156" s="669"/>
    </row>
    <row r="7157" spans="28:28">
      <c r="AB7157" s="669"/>
    </row>
    <row r="7158" spans="28:28">
      <c r="AB7158" s="669"/>
    </row>
    <row r="7159" spans="28:28">
      <c r="AB7159" s="669"/>
    </row>
    <row r="7160" spans="28:28">
      <c r="AB7160" s="669"/>
    </row>
    <row r="7161" spans="28:28">
      <c r="AB7161" s="669"/>
    </row>
    <row r="7162" spans="28:28">
      <c r="AB7162" s="669"/>
    </row>
    <row r="7163" spans="28:28">
      <c r="AB7163" s="669"/>
    </row>
    <row r="7164" spans="28:28">
      <c r="AB7164" s="669"/>
    </row>
    <row r="7165" spans="28:28">
      <c r="AB7165" s="669"/>
    </row>
    <row r="7166" spans="28:28">
      <c r="AB7166" s="669"/>
    </row>
    <row r="7167" spans="28:28">
      <c r="AB7167" s="669"/>
    </row>
    <row r="7168" spans="28:28">
      <c r="AB7168" s="669"/>
    </row>
    <row r="7169" spans="28:28">
      <c r="AB7169" s="669"/>
    </row>
    <row r="7170" spans="28:28">
      <c r="AB7170" s="669"/>
    </row>
    <row r="7171" spans="28:28">
      <c r="AB7171" s="669"/>
    </row>
    <row r="7172" spans="28:28">
      <c r="AB7172" s="669"/>
    </row>
    <row r="7173" spans="28:28">
      <c r="AB7173" s="669"/>
    </row>
    <row r="7174" spans="28:28">
      <c r="AB7174" s="669"/>
    </row>
    <row r="7175" spans="28:28">
      <c r="AB7175" s="669"/>
    </row>
    <row r="7176" spans="28:28">
      <c r="AB7176" s="669"/>
    </row>
    <row r="7177" spans="28:28">
      <c r="AB7177" s="669"/>
    </row>
    <row r="7178" spans="28:28">
      <c r="AB7178" s="669"/>
    </row>
    <row r="7179" spans="28:28">
      <c r="AB7179" s="669"/>
    </row>
    <row r="7180" spans="28:28">
      <c r="AB7180" s="669"/>
    </row>
    <row r="7181" spans="28:28">
      <c r="AB7181" s="669"/>
    </row>
    <row r="7182" spans="28:28">
      <c r="AB7182" s="669"/>
    </row>
    <row r="7183" spans="28:28">
      <c r="AB7183" s="669"/>
    </row>
    <row r="7184" spans="28:28">
      <c r="AB7184" s="669"/>
    </row>
    <row r="7185" spans="28:28">
      <c r="AB7185" s="669"/>
    </row>
    <row r="7186" spans="28:28">
      <c r="AB7186" s="669"/>
    </row>
    <row r="7187" spans="28:28">
      <c r="AB7187" s="669"/>
    </row>
    <row r="7188" spans="28:28">
      <c r="AB7188" s="669"/>
    </row>
    <row r="7189" spans="28:28">
      <c r="AB7189" s="669"/>
    </row>
    <row r="7190" spans="28:28">
      <c r="AB7190" s="669"/>
    </row>
    <row r="7191" spans="28:28">
      <c r="AB7191" s="669"/>
    </row>
    <row r="7192" spans="28:28">
      <c r="AB7192" s="669"/>
    </row>
    <row r="7193" spans="28:28">
      <c r="AB7193" s="669"/>
    </row>
    <row r="7194" spans="28:28">
      <c r="AB7194" s="669"/>
    </row>
    <row r="7195" spans="28:28">
      <c r="AB7195" s="669"/>
    </row>
    <row r="7196" spans="28:28">
      <c r="AB7196" s="669"/>
    </row>
    <row r="7197" spans="28:28">
      <c r="AB7197" s="669"/>
    </row>
    <row r="7198" spans="28:28">
      <c r="AB7198" s="669"/>
    </row>
    <row r="7199" spans="28:28">
      <c r="AB7199" s="669"/>
    </row>
    <row r="7200" spans="28:28">
      <c r="AB7200" s="669"/>
    </row>
    <row r="7201" spans="28:28">
      <c r="AB7201" s="669"/>
    </row>
    <row r="7202" spans="28:28">
      <c r="AB7202" s="669"/>
    </row>
    <row r="7203" spans="28:28">
      <c r="AB7203" s="669"/>
    </row>
    <row r="7204" spans="28:28">
      <c r="AB7204" s="669"/>
    </row>
    <row r="7205" spans="28:28">
      <c r="AB7205" s="669"/>
    </row>
    <row r="7206" spans="28:28">
      <c r="AB7206" s="669"/>
    </row>
    <row r="7207" spans="28:28">
      <c r="AB7207" s="669"/>
    </row>
    <row r="7208" spans="28:28">
      <c r="AB7208" s="669"/>
    </row>
    <row r="7209" spans="28:28">
      <c r="AB7209" s="669"/>
    </row>
    <row r="7210" spans="28:28">
      <c r="AB7210" s="669"/>
    </row>
    <row r="7211" spans="28:28">
      <c r="AB7211" s="669"/>
    </row>
    <row r="7212" spans="28:28">
      <c r="AB7212" s="669"/>
    </row>
    <row r="7213" spans="28:28">
      <c r="AB7213" s="669"/>
    </row>
    <row r="7214" spans="28:28">
      <c r="AB7214" s="669"/>
    </row>
    <row r="7215" spans="28:28">
      <c r="AB7215" s="669"/>
    </row>
    <row r="7216" spans="28:28">
      <c r="AB7216" s="669"/>
    </row>
    <row r="7217" spans="28:28">
      <c r="AB7217" s="669"/>
    </row>
    <row r="7218" spans="28:28">
      <c r="AB7218" s="669"/>
    </row>
    <row r="7219" spans="28:28">
      <c r="AB7219" s="669"/>
    </row>
    <row r="7220" spans="28:28">
      <c r="AB7220" s="669"/>
    </row>
    <row r="7221" spans="28:28">
      <c r="AB7221" s="669"/>
    </row>
    <row r="7222" spans="28:28">
      <c r="AB7222" s="669"/>
    </row>
    <row r="7223" spans="28:28">
      <c r="AB7223" s="669"/>
    </row>
    <row r="7224" spans="28:28">
      <c r="AB7224" s="669"/>
    </row>
    <row r="7225" spans="28:28">
      <c r="AB7225" s="669"/>
    </row>
    <row r="7226" spans="28:28">
      <c r="AB7226" s="669"/>
    </row>
    <row r="7227" spans="28:28">
      <c r="AB7227" s="669"/>
    </row>
    <row r="7228" spans="28:28">
      <c r="AB7228" s="669"/>
    </row>
    <row r="7229" spans="28:28">
      <c r="AB7229" s="669"/>
    </row>
    <row r="7230" spans="28:28">
      <c r="AB7230" s="669"/>
    </row>
    <row r="7231" spans="28:28">
      <c r="AB7231" s="669"/>
    </row>
    <row r="7232" spans="28:28">
      <c r="AB7232" s="669"/>
    </row>
    <row r="7233" spans="28:28">
      <c r="AB7233" s="669"/>
    </row>
    <row r="7234" spans="28:28">
      <c r="AB7234" s="669"/>
    </row>
    <row r="7235" spans="28:28">
      <c r="AB7235" s="669"/>
    </row>
    <row r="7236" spans="28:28">
      <c r="AB7236" s="669"/>
    </row>
    <row r="7237" spans="28:28">
      <c r="AB7237" s="669"/>
    </row>
    <row r="7238" spans="28:28">
      <c r="AB7238" s="669"/>
    </row>
    <row r="7239" spans="28:28">
      <c r="AB7239" s="669"/>
    </row>
    <row r="7240" spans="28:28">
      <c r="AB7240" s="669"/>
    </row>
    <row r="7241" spans="28:28">
      <c r="AB7241" s="669"/>
    </row>
    <row r="7242" spans="28:28">
      <c r="AB7242" s="669"/>
    </row>
    <row r="7243" spans="28:28">
      <c r="AB7243" s="669"/>
    </row>
    <row r="7244" spans="28:28">
      <c r="AB7244" s="669"/>
    </row>
    <row r="7245" spans="28:28">
      <c r="AB7245" s="669"/>
    </row>
    <row r="7246" spans="28:28">
      <c r="AB7246" s="669"/>
    </row>
    <row r="7247" spans="28:28">
      <c r="AB7247" s="669"/>
    </row>
    <row r="7248" spans="28:28">
      <c r="AB7248" s="669"/>
    </row>
    <row r="7249" spans="28:28">
      <c r="AB7249" s="669"/>
    </row>
    <row r="7250" spans="28:28">
      <c r="AB7250" s="669"/>
    </row>
    <row r="7251" spans="28:28">
      <c r="AB7251" s="669"/>
    </row>
    <row r="7252" spans="28:28">
      <c r="AB7252" s="669"/>
    </row>
    <row r="7253" spans="28:28">
      <c r="AB7253" s="669"/>
    </row>
    <row r="7254" spans="28:28">
      <c r="AB7254" s="669"/>
    </row>
    <row r="7255" spans="28:28">
      <c r="AB7255" s="669"/>
    </row>
    <row r="7256" spans="28:28">
      <c r="AB7256" s="669"/>
    </row>
    <row r="7257" spans="28:28">
      <c r="AB7257" s="669"/>
    </row>
    <row r="7258" spans="28:28">
      <c r="AB7258" s="669"/>
    </row>
    <row r="7259" spans="28:28">
      <c r="AB7259" s="669"/>
    </row>
    <row r="7260" spans="28:28">
      <c r="AB7260" s="669"/>
    </row>
    <row r="7261" spans="28:28">
      <c r="AB7261" s="669"/>
    </row>
    <row r="7262" spans="28:28">
      <c r="AB7262" s="669"/>
    </row>
    <row r="7263" spans="28:28">
      <c r="AB7263" s="669"/>
    </row>
    <row r="7264" spans="28:28">
      <c r="AB7264" s="669"/>
    </row>
    <row r="7265" spans="28:28">
      <c r="AB7265" s="669"/>
    </row>
    <row r="7266" spans="28:28">
      <c r="AB7266" s="669"/>
    </row>
    <row r="7267" spans="28:28">
      <c r="AB7267" s="669"/>
    </row>
    <row r="7268" spans="28:28">
      <c r="AB7268" s="669"/>
    </row>
    <row r="7269" spans="28:28">
      <c r="AB7269" s="669"/>
    </row>
    <row r="7270" spans="28:28">
      <c r="AB7270" s="669"/>
    </row>
    <row r="7271" spans="28:28">
      <c r="AB7271" s="669"/>
    </row>
    <row r="7272" spans="28:28">
      <c r="AB7272" s="669"/>
    </row>
    <row r="7273" spans="28:28">
      <c r="AB7273" s="669"/>
    </row>
    <row r="7274" spans="28:28">
      <c r="AB7274" s="669"/>
    </row>
    <row r="7275" spans="28:28">
      <c r="AB7275" s="669"/>
    </row>
    <row r="7276" spans="28:28">
      <c r="AB7276" s="669"/>
    </row>
    <row r="7277" spans="28:28">
      <c r="AB7277" s="669"/>
    </row>
    <row r="7278" spans="28:28">
      <c r="AB7278" s="669"/>
    </row>
    <row r="7279" spans="28:28">
      <c r="AB7279" s="669"/>
    </row>
    <row r="7280" spans="28:28">
      <c r="AB7280" s="669"/>
    </row>
    <row r="7281" spans="28:28">
      <c r="AB7281" s="669"/>
    </row>
    <row r="7282" spans="28:28">
      <c r="AB7282" s="669"/>
    </row>
    <row r="7283" spans="28:28">
      <c r="AB7283" s="669"/>
    </row>
    <row r="7284" spans="28:28">
      <c r="AB7284" s="669"/>
    </row>
    <row r="7285" spans="28:28">
      <c r="AB7285" s="669"/>
    </row>
    <row r="7286" spans="28:28">
      <c r="AB7286" s="669"/>
    </row>
    <row r="7287" spans="28:28">
      <c r="AB7287" s="669"/>
    </row>
    <row r="7288" spans="28:28">
      <c r="AB7288" s="669"/>
    </row>
    <row r="7289" spans="28:28">
      <c r="AB7289" s="669"/>
    </row>
    <row r="7290" spans="28:28">
      <c r="AB7290" s="669"/>
    </row>
    <row r="7291" spans="28:28">
      <c r="AB7291" s="669"/>
    </row>
    <row r="7292" spans="28:28">
      <c r="AB7292" s="669"/>
    </row>
    <row r="7293" spans="28:28">
      <c r="AB7293" s="669"/>
    </row>
    <row r="7294" spans="28:28">
      <c r="AB7294" s="669"/>
    </row>
    <row r="7295" spans="28:28">
      <c r="AB7295" s="669"/>
    </row>
    <row r="7296" spans="28:28">
      <c r="AB7296" s="669"/>
    </row>
    <row r="7297" spans="28:28">
      <c r="AB7297" s="669"/>
    </row>
    <row r="7298" spans="28:28">
      <c r="AB7298" s="669"/>
    </row>
    <row r="7299" spans="28:28">
      <c r="AB7299" s="669"/>
    </row>
    <row r="7300" spans="28:28">
      <c r="AB7300" s="669"/>
    </row>
    <row r="7301" spans="28:28">
      <c r="AB7301" s="669"/>
    </row>
    <row r="7302" spans="28:28">
      <c r="AB7302" s="669"/>
    </row>
    <row r="7303" spans="28:28">
      <c r="AB7303" s="669"/>
    </row>
    <row r="7304" spans="28:28">
      <c r="AB7304" s="669"/>
    </row>
    <row r="7305" spans="28:28">
      <c r="AB7305" s="669"/>
    </row>
    <row r="7306" spans="28:28">
      <c r="AB7306" s="669"/>
    </row>
    <row r="7307" spans="28:28">
      <c r="AB7307" s="669"/>
    </row>
    <row r="7308" spans="28:28">
      <c r="AB7308" s="669"/>
    </row>
    <row r="7309" spans="28:28">
      <c r="AB7309" s="669"/>
    </row>
    <row r="7310" spans="28:28">
      <c r="AB7310" s="669"/>
    </row>
    <row r="7311" spans="28:28">
      <c r="AB7311" s="669"/>
    </row>
    <row r="7312" spans="28:28">
      <c r="AB7312" s="669"/>
    </row>
    <row r="7313" spans="28:28">
      <c r="AB7313" s="669"/>
    </row>
    <row r="7314" spans="28:28">
      <c r="AB7314" s="669"/>
    </row>
    <row r="7315" spans="28:28">
      <c r="AB7315" s="669"/>
    </row>
    <row r="7316" spans="28:28">
      <c r="AB7316" s="669"/>
    </row>
    <row r="7317" spans="28:28">
      <c r="AB7317" s="669"/>
    </row>
    <row r="7318" spans="28:28">
      <c r="AB7318" s="669"/>
    </row>
    <row r="7319" spans="28:28">
      <c r="AB7319" s="669"/>
    </row>
    <row r="7320" spans="28:28">
      <c r="AB7320" s="669"/>
    </row>
    <row r="7321" spans="28:28">
      <c r="AB7321" s="669"/>
    </row>
    <row r="7322" spans="28:28">
      <c r="AB7322" s="669"/>
    </row>
    <row r="7323" spans="28:28">
      <c r="AB7323" s="669"/>
    </row>
    <row r="7324" spans="28:28">
      <c r="AB7324" s="669"/>
    </row>
    <row r="7325" spans="28:28">
      <c r="AB7325" s="669"/>
    </row>
    <row r="7326" spans="28:28">
      <c r="AB7326" s="669"/>
    </row>
    <row r="7327" spans="28:28">
      <c r="AB7327" s="669"/>
    </row>
    <row r="7328" spans="28:28">
      <c r="AB7328" s="669"/>
    </row>
    <row r="7329" spans="28:28">
      <c r="AB7329" s="669"/>
    </row>
    <row r="7330" spans="28:28">
      <c r="AB7330" s="669"/>
    </row>
    <row r="7331" spans="28:28">
      <c r="AB7331" s="669"/>
    </row>
    <row r="7332" spans="28:28">
      <c r="AB7332" s="669"/>
    </row>
    <row r="7333" spans="28:28">
      <c r="AB7333" s="669"/>
    </row>
    <row r="7334" spans="28:28">
      <c r="AB7334" s="669"/>
    </row>
    <row r="7335" spans="28:28">
      <c r="AB7335" s="669"/>
    </row>
    <row r="7336" spans="28:28">
      <c r="AB7336" s="669"/>
    </row>
    <row r="7337" spans="28:28">
      <c r="AB7337" s="669"/>
    </row>
    <row r="7338" spans="28:28">
      <c r="AB7338" s="669"/>
    </row>
    <row r="7339" spans="28:28">
      <c r="AB7339" s="669"/>
    </row>
    <row r="7340" spans="28:28">
      <c r="AB7340" s="669"/>
    </row>
    <row r="7341" spans="28:28">
      <c r="AB7341" s="669"/>
    </row>
    <row r="7342" spans="28:28">
      <c r="AB7342" s="669"/>
    </row>
    <row r="7343" spans="28:28">
      <c r="AB7343" s="669"/>
    </row>
    <row r="7344" spans="28:28">
      <c r="AB7344" s="669"/>
    </row>
    <row r="7345" spans="28:28">
      <c r="AB7345" s="669"/>
    </row>
    <row r="7346" spans="28:28">
      <c r="AB7346" s="669"/>
    </row>
    <row r="7347" spans="28:28">
      <c r="AB7347" s="669"/>
    </row>
    <row r="7348" spans="28:28">
      <c r="AB7348" s="669"/>
    </row>
    <row r="7349" spans="28:28">
      <c r="AB7349" s="669"/>
    </row>
    <row r="7350" spans="28:28">
      <c r="AB7350" s="669"/>
    </row>
    <row r="7351" spans="28:28">
      <c r="AB7351" s="669"/>
    </row>
    <row r="7352" spans="28:28">
      <c r="AB7352" s="669"/>
    </row>
    <row r="7353" spans="28:28">
      <c r="AB7353" s="669"/>
    </row>
    <row r="7354" spans="28:28">
      <c r="AB7354" s="669"/>
    </row>
    <row r="7355" spans="28:28">
      <c r="AB7355" s="669"/>
    </row>
    <row r="7356" spans="28:28">
      <c r="AB7356" s="669"/>
    </row>
    <row r="7357" spans="28:28">
      <c r="AB7357" s="669"/>
    </row>
    <row r="7358" spans="28:28">
      <c r="AB7358" s="669"/>
    </row>
    <row r="7359" spans="28:28">
      <c r="AB7359" s="669"/>
    </row>
    <row r="7360" spans="28:28">
      <c r="AB7360" s="669"/>
    </row>
    <row r="7361" spans="28:28">
      <c r="AB7361" s="669"/>
    </row>
    <row r="7362" spans="28:28">
      <c r="AB7362" s="669"/>
    </row>
    <row r="7363" spans="28:28">
      <c r="AB7363" s="669"/>
    </row>
    <row r="7364" spans="28:28">
      <c r="AB7364" s="669"/>
    </row>
    <row r="7365" spans="28:28">
      <c r="AB7365" s="669"/>
    </row>
    <row r="7366" spans="28:28">
      <c r="AB7366" s="669"/>
    </row>
    <row r="7367" spans="28:28">
      <c r="AB7367" s="669"/>
    </row>
    <row r="7368" spans="28:28">
      <c r="AB7368" s="669"/>
    </row>
    <row r="7369" spans="28:28">
      <c r="AB7369" s="669"/>
    </row>
    <row r="7370" spans="28:28">
      <c r="AB7370" s="669"/>
    </row>
    <row r="7371" spans="28:28">
      <c r="AB7371" s="669"/>
    </row>
    <row r="7372" spans="28:28">
      <c r="AB7372" s="669"/>
    </row>
    <row r="7373" spans="28:28">
      <c r="AB7373" s="669"/>
    </row>
    <row r="7374" spans="28:28">
      <c r="AB7374" s="669"/>
    </row>
    <row r="7375" spans="28:28">
      <c r="AB7375" s="669"/>
    </row>
    <row r="7376" spans="28:28">
      <c r="AB7376" s="669"/>
    </row>
    <row r="7377" spans="28:28">
      <c r="AB7377" s="669"/>
    </row>
    <row r="7378" spans="28:28">
      <c r="AB7378" s="669"/>
    </row>
    <row r="7379" spans="28:28">
      <c r="AB7379" s="669"/>
    </row>
    <row r="7380" spans="28:28">
      <c r="AB7380" s="669"/>
    </row>
    <row r="7381" spans="28:28">
      <c r="AB7381" s="669"/>
    </row>
    <row r="7382" spans="28:28">
      <c r="AB7382" s="669"/>
    </row>
    <row r="7383" spans="28:28">
      <c r="AB7383" s="669"/>
    </row>
    <row r="7384" spans="28:28">
      <c r="AB7384" s="669"/>
    </row>
    <row r="7385" spans="28:28">
      <c r="AB7385" s="669"/>
    </row>
    <row r="7386" spans="28:28">
      <c r="AB7386" s="669"/>
    </row>
    <row r="7387" spans="28:28">
      <c r="AB7387" s="669"/>
    </row>
    <row r="7388" spans="28:28">
      <c r="AB7388" s="669"/>
    </row>
    <row r="7389" spans="28:28">
      <c r="AB7389" s="669"/>
    </row>
    <row r="7390" spans="28:28">
      <c r="AB7390" s="669"/>
    </row>
    <row r="7391" spans="28:28">
      <c r="AB7391" s="669"/>
    </row>
    <row r="7392" spans="28:28">
      <c r="AB7392" s="669"/>
    </row>
    <row r="7393" spans="28:28">
      <c r="AB7393" s="669"/>
    </row>
    <row r="7394" spans="28:28">
      <c r="AB7394" s="669"/>
    </row>
    <row r="7395" spans="28:28">
      <c r="AB7395" s="669"/>
    </row>
    <row r="7396" spans="28:28">
      <c r="AB7396" s="669"/>
    </row>
    <row r="7397" spans="28:28">
      <c r="AB7397" s="669"/>
    </row>
    <row r="7398" spans="28:28">
      <c r="AB7398" s="669"/>
    </row>
    <row r="7399" spans="28:28">
      <c r="AB7399" s="669"/>
    </row>
    <row r="7400" spans="28:28">
      <c r="AB7400" s="669"/>
    </row>
    <row r="7401" spans="28:28">
      <c r="AB7401" s="669"/>
    </row>
    <row r="7402" spans="28:28">
      <c r="AB7402" s="669"/>
    </row>
    <row r="7403" spans="28:28">
      <c r="AB7403" s="669"/>
    </row>
    <row r="7404" spans="28:28">
      <c r="AB7404" s="669"/>
    </row>
    <row r="7405" spans="28:28">
      <c r="AB7405" s="669"/>
    </row>
    <row r="7406" spans="28:28">
      <c r="AB7406" s="669"/>
    </row>
    <row r="7407" spans="28:28">
      <c r="AB7407" s="669"/>
    </row>
    <row r="7408" spans="28:28">
      <c r="AB7408" s="669"/>
    </row>
    <row r="7409" spans="28:28">
      <c r="AB7409" s="669"/>
    </row>
    <row r="7410" spans="28:28">
      <c r="AB7410" s="669"/>
    </row>
    <row r="7411" spans="28:28">
      <c r="AB7411" s="669"/>
    </row>
    <row r="7412" spans="28:28">
      <c r="AB7412" s="669"/>
    </row>
    <row r="7413" spans="28:28">
      <c r="AB7413" s="669"/>
    </row>
    <row r="7414" spans="28:28">
      <c r="AB7414" s="669"/>
    </row>
    <row r="7415" spans="28:28">
      <c r="AB7415" s="669"/>
    </row>
    <row r="7416" spans="28:28">
      <c r="AB7416" s="669"/>
    </row>
    <row r="7417" spans="28:28">
      <c r="AB7417" s="669"/>
    </row>
    <row r="7418" spans="28:28">
      <c r="AB7418" s="669"/>
    </row>
    <row r="7419" spans="28:28">
      <c r="AB7419" s="669"/>
    </row>
    <row r="7420" spans="28:28">
      <c r="AB7420" s="669"/>
    </row>
    <row r="7421" spans="28:28">
      <c r="AB7421" s="669"/>
    </row>
    <row r="7422" spans="28:28">
      <c r="AB7422" s="669"/>
    </row>
    <row r="7423" spans="28:28">
      <c r="AB7423" s="669"/>
    </row>
    <row r="7424" spans="28:28">
      <c r="AB7424" s="669"/>
    </row>
    <row r="7425" spans="28:28">
      <c r="AB7425" s="669"/>
    </row>
    <row r="7426" spans="28:28">
      <c r="AB7426" s="669"/>
    </row>
    <row r="7427" spans="28:28">
      <c r="AB7427" s="669"/>
    </row>
    <row r="7428" spans="28:28">
      <c r="AB7428" s="669"/>
    </row>
    <row r="7429" spans="28:28">
      <c r="AB7429" s="669"/>
    </row>
    <row r="7430" spans="28:28">
      <c r="AB7430" s="669"/>
    </row>
    <row r="7431" spans="28:28">
      <c r="AB7431" s="669"/>
    </row>
    <row r="7432" spans="28:28">
      <c r="AB7432" s="669"/>
    </row>
    <row r="7433" spans="28:28">
      <c r="AB7433" s="669"/>
    </row>
    <row r="7434" spans="28:28">
      <c r="AB7434" s="669"/>
    </row>
    <row r="7435" spans="28:28">
      <c r="AB7435" s="669"/>
    </row>
    <row r="7436" spans="28:28">
      <c r="AB7436" s="669"/>
    </row>
    <row r="7437" spans="28:28">
      <c r="AB7437" s="669"/>
    </row>
    <row r="7438" spans="28:28">
      <c r="AB7438" s="669"/>
    </row>
    <row r="7439" spans="28:28">
      <c r="AB7439" s="669"/>
    </row>
    <row r="7440" spans="28:28">
      <c r="AB7440" s="669"/>
    </row>
    <row r="7441" spans="28:28">
      <c r="AB7441" s="669"/>
    </row>
    <row r="7442" spans="28:28">
      <c r="AB7442" s="669"/>
    </row>
    <row r="7443" spans="28:28">
      <c r="AB7443" s="669"/>
    </row>
    <row r="7444" spans="28:28">
      <c r="AB7444" s="669"/>
    </row>
    <row r="7445" spans="28:28">
      <c r="AB7445" s="669"/>
    </row>
    <row r="7446" spans="28:28">
      <c r="AB7446" s="669"/>
    </row>
    <row r="7447" spans="28:28">
      <c r="AB7447" s="669"/>
    </row>
    <row r="7448" spans="28:28">
      <c r="AB7448" s="669"/>
    </row>
    <row r="7449" spans="28:28">
      <c r="AB7449" s="669"/>
    </row>
    <row r="7450" spans="28:28">
      <c r="AB7450" s="669"/>
    </row>
    <row r="7451" spans="28:28">
      <c r="AB7451" s="669"/>
    </row>
    <row r="7452" spans="28:28">
      <c r="AB7452" s="669"/>
    </row>
    <row r="7453" spans="28:28">
      <c r="AB7453" s="669"/>
    </row>
    <row r="7454" spans="28:28">
      <c r="AB7454" s="669"/>
    </row>
    <row r="7455" spans="28:28">
      <c r="AB7455" s="669"/>
    </row>
    <row r="7456" spans="28:28">
      <c r="AB7456" s="669"/>
    </row>
    <row r="7457" spans="28:28">
      <c r="AB7457" s="669"/>
    </row>
    <row r="7458" spans="28:28">
      <c r="AB7458" s="669"/>
    </row>
    <row r="7459" spans="28:28">
      <c r="AB7459" s="669"/>
    </row>
    <row r="7460" spans="28:28">
      <c r="AB7460" s="669"/>
    </row>
    <row r="7461" spans="28:28">
      <c r="AB7461" s="669"/>
    </row>
    <row r="7462" spans="28:28">
      <c r="AB7462" s="669"/>
    </row>
    <row r="7463" spans="28:28">
      <c r="AB7463" s="669"/>
    </row>
    <row r="7464" spans="28:28">
      <c r="AB7464" s="669"/>
    </row>
    <row r="7465" spans="28:28">
      <c r="AB7465" s="669"/>
    </row>
    <row r="7466" spans="28:28">
      <c r="AB7466" s="669"/>
    </row>
    <row r="7467" spans="28:28">
      <c r="AB7467" s="669"/>
    </row>
    <row r="7468" spans="28:28">
      <c r="AB7468" s="669"/>
    </row>
    <row r="7469" spans="28:28">
      <c r="AB7469" s="669"/>
    </row>
    <row r="7470" spans="28:28">
      <c r="AB7470" s="669"/>
    </row>
    <row r="7471" spans="28:28">
      <c r="AB7471" s="669"/>
    </row>
    <row r="7472" spans="28:28">
      <c r="AB7472" s="669"/>
    </row>
    <row r="7473" spans="28:28">
      <c r="AB7473" s="669"/>
    </row>
    <row r="7474" spans="28:28">
      <c r="AB7474" s="669"/>
    </row>
    <row r="7475" spans="28:28">
      <c r="AB7475" s="669"/>
    </row>
    <row r="7476" spans="28:28">
      <c r="AB7476" s="669"/>
    </row>
    <row r="7477" spans="28:28">
      <c r="AB7477" s="669"/>
    </row>
    <row r="7478" spans="28:28">
      <c r="AB7478" s="669"/>
    </row>
    <row r="7479" spans="28:28">
      <c r="AB7479" s="669"/>
    </row>
    <row r="7480" spans="28:28">
      <c r="AB7480" s="669"/>
    </row>
    <row r="7481" spans="28:28">
      <c r="AB7481" s="669"/>
    </row>
    <row r="7482" spans="28:28">
      <c r="AB7482" s="669"/>
    </row>
    <row r="7483" spans="28:28">
      <c r="AB7483" s="669"/>
    </row>
    <row r="7484" spans="28:28">
      <c r="AB7484" s="669"/>
    </row>
    <row r="7485" spans="28:28">
      <c r="AB7485" s="669"/>
    </row>
    <row r="7486" spans="28:28">
      <c r="AB7486" s="669"/>
    </row>
    <row r="7487" spans="28:28">
      <c r="AB7487" s="669"/>
    </row>
    <row r="7488" spans="28:28">
      <c r="AB7488" s="669"/>
    </row>
    <row r="7489" spans="28:28">
      <c r="AB7489" s="669"/>
    </row>
    <row r="7490" spans="28:28">
      <c r="AB7490" s="669"/>
    </row>
    <row r="7491" spans="28:28">
      <c r="AB7491" s="669"/>
    </row>
    <row r="7492" spans="28:28">
      <c r="AB7492" s="669"/>
    </row>
    <row r="7493" spans="28:28">
      <c r="AB7493" s="669"/>
    </row>
    <row r="7494" spans="28:28">
      <c r="AB7494" s="669"/>
    </row>
    <row r="7495" spans="28:28">
      <c r="AB7495" s="669"/>
    </row>
    <row r="7496" spans="28:28">
      <c r="AB7496" s="669"/>
    </row>
    <row r="7497" spans="28:28">
      <c r="AB7497" s="669"/>
    </row>
    <row r="7498" spans="28:28">
      <c r="AB7498" s="669"/>
    </row>
    <row r="7499" spans="28:28">
      <c r="AB7499" s="669"/>
    </row>
    <row r="7500" spans="28:28">
      <c r="AB7500" s="669"/>
    </row>
    <row r="7501" spans="28:28">
      <c r="AB7501" s="669"/>
    </row>
    <row r="7502" spans="28:28">
      <c r="AB7502" s="669"/>
    </row>
    <row r="7503" spans="28:28">
      <c r="AB7503" s="669"/>
    </row>
    <row r="7504" spans="28:28">
      <c r="AB7504" s="669"/>
    </row>
    <row r="7505" spans="28:28">
      <c r="AB7505" s="669"/>
    </row>
    <row r="7506" spans="28:28">
      <c r="AB7506" s="669"/>
    </row>
    <row r="7507" spans="28:28">
      <c r="AB7507" s="669"/>
    </row>
    <row r="7508" spans="28:28">
      <c r="AB7508" s="669"/>
    </row>
    <row r="7509" spans="28:28">
      <c r="AB7509" s="669"/>
    </row>
    <row r="7510" spans="28:28">
      <c r="AB7510" s="669"/>
    </row>
    <row r="7511" spans="28:28">
      <c r="AB7511" s="669"/>
    </row>
    <row r="7512" spans="28:28">
      <c r="AB7512" s="669"/>
    </row>
    <row r="7513" spans="28:28">
      <c r="AB7513" s="669"/>
    </row>
    <row r="7514" spans="28:28">
      <c r="AB7514" s="669"/>
    </row>
    <row r="7515" spans="28:28">
      <c r="AB7515" s="669"/>
    </row>
    <row r="7516" spans="28:28">
      <c r="AB7516" s="669"/>
    </row>
    <row r="7517" spans="28:28">
      <c r="AB7517" s="669"/>
    </row>
    <row r="7518" spans="28:28">
      <c r="AB7518" s="669"/>
    </row>
    <row r="7519" spans="28:28">
      <c r="AB7519" s="669"/>
    </row>
    <row r="7520" spans="28:28">
      <c r="AB7520" s="669"/>
    </row>
    <row r="7521" spans="28:28">
      <c r="AB7521" s="669"/>
    </row>
    <row r="7522" spans="28:28">
      <c r="AB7522" s="669"/>
    </row>
    <row r="7523" spans="28:28">
      <c r="AB7523" s="669"/>
    </row>
    <row r="7524" spans="28:28">
      <c r="AB7524" s="669"/>
    </row>
    <row r="7525" spans="28:28">
      <c r="AB7525" s="669"/>
    </row>
    <row r="7526" spans="28:28">
      <c r="AB7526" s="669"/>
    </row>
    <row r="7527" spans="28:28">
      <c r="AB7527" s="669"/>
    </row>
    <row r="7528" spans="28:28">
      <c r="AB7528" s="669"/>
    </row>
    <row r="7529" spans="28:28">
      <c r="AB7529" s="669"/>
    </row>
    <row r="7530" spans="28:28">
      <c r="AB7530" s="669"/>
    </row>
    <row r="7531" spans="28:28">
      <c r="AB7531" s="669"/>
    </row>
    <row r="7532" spans="28:28">
      <c r="AB7532" s="669"/>
    </row>
    <row r="7533" spans="28:28">
      <c r="AB7533" s="669"/>
    </row>
    <row r="7534" spans="28:28">
      <c r="AB7534" s="669"/>
    </row>
    <row r="7535" spans="28:28">
      <c r="AB7535" s="669"/>
    </row>
    <row r="7536" spans="28:28">
      <c r="AB7536" s="669"/>
    </row>
    <row r="7537" spans="28:28">
      <c r="AB7537" s="669"/>
    </row>
    <row r="7538" spans="28:28">
      <c r="AB7538" s="669"/>
    </row>
    <row r="7539" spans="28:28">
      <c r="AB7539" s="669"/>
    </row>
    <row r="7540" spans="28:28">
      <c r="AB7540" s="669"/>
    </row>
    <row r="7541" spans="28:28">
      <c r="AB7541" s="669"/>
    </row>
    <row r="7542" spans="28:28">
      <c r="AB7542" s="669"/>
    </row>
    <row r="7543" spans="28:28">
      <c r="AB7543" s="669"/>
    </row>
    <row r="7544" spans="28:28">
      <c r="AB7544" s="669"/>
    </row>
    <row r="7545" spans="28:28">
      <c r="AB7545" s="669"/>
    </row>
    <row r="7546" spans="28:28">
      <c r="AB7546" s="669"/>
    </row>
    <row r="7547" spans="28:28">
      <c r="AB7547" s="669"/>
    </row>
    <row r="7548" spans="28:28">
      <c r="AB7548" s="669"/>
    </row>
    <row r="7549" spans="28:28">
      <c r="AB7549" s="669"/>
    </row>
    <row r="7550" spans="28:28">
      <c r="AB7550" s="669"/>
    </row>
    <row r="7551" spans="28:28">
      <c r="AB7551" s="669"/>
    </row>
    <row r="7552" spans="28:28">
      <c r="AB7552" s="669"/>
    </row>
    <row r="7553" spans="28:28">
      <c r="AB7553" s="669"/>
    </row>
    <row r="7554" spans="28:28">
      <c r="AB7554" s="669"/>
    </row>
    <row r="7555" spans="28:28">
      <c r="AB7555" s="669"/>
    </row>
    <row r="7556" spans="28:28">
      <c r="AB7556" s="669"/>
    </row>
    <row r="7557" spans="28:28">
      <c r="AB7557" s="669"/>
    </row>
    <row r="7558" spans="28:28">
      <c r="AB7558" s="669"/>
    </row>
    <row r="7559" spans="28:28">
      <c r="AB7559" s="669"/>
    </row>
    <row r="7560" spans="28:28">
      <c r="AB7560" s="669"/>
    </row>
    <row r="7561" spans="28:28">
      <c r="AB7561" s="669"/>
    </row>
    <row r="7562" spans="28:28">
      <c r="AB7562" s="669"/>
    </row>
    <row r="7563" spans="28:28">
      <c r="AB7563" s="669"/>
    </row>
    <row r="7564" spans="28:28">
      <c r="AB7564" s="669"/>
    </row>
    <row r="7565" spans="28:28">
      <c r="AB7565" s="669"/>
    </row>
    <row r="7566" spans="28:28">
      <c r="AB7566" s="669"/>
    </row>
    <row r="7567" spans="28:28">
      <c r="AB7567" s="669"/>
    </row>
    <row r="7568" spans="28:28">
      <c r="AB7568" s="669"/>
    </row>
    <row r="7569" spans="28:28">
      <c r="AB7569" s="669"/>
    </row>
    <row r="7570" spans="28:28">
      <c r="AB7570" s="669"/>
    </row>
    <row r="7571" spans="28:28">
      <c r="AB7571" s="669"/>
    </row>
    <row r="7572" spans="28:28">
      <c r="AB7572" s="669"/>
    </row>
    <row r="7573" spans="28:28">
      <c r="AB7573" s="669"/>
    </row>
    <row r="7574" spans="28:28">
      <c r="AB7574" s="669"/>
    </row>
    <row r="7575" spans="28:28">
      <c r="AB7575" s="669"/>
    </row>
    <row r="7576" spans="28:28">
      <c r="AB7576" s="669"/>
    </row>
    <row r="7577" spans="28:28">
      <c r="AB7577" s="669"/>
    </row>
    <row r="7578" spans="28:28">
      <c r="AB7578" s="669"/>
    </row>
    <row r="7579" spans="28:28">
      <c r="AB7579" s="669"/>
    </row>
    <row r="7580" spans="28:28">
      <c r="AB7580" s="669"/>
    </row>
    <row r="7581" spans="28:28">
      <c r="AB7581" s="669"/>
    </row>
    <row r="7582" spans="28:28">
      <c r="AB7582" s="669"/>
    </row>
    <row r="7583" spans="28:28">
      <c r="AB7583" s="669"/>
    </row>
    <row r="7584" spans="28:28">
      <c r="AB7584" s="669"/>
    </row>
    <row r="7585" spans="28:28">
      <c r="AB7585" s="669"/>
    </row>
    <row r="7586" spans="28:28">
      <c r="AB7586" s="669"/>
    </row>
    <row r="7587" spans="28:28">
      <c r="AB7587" s="669"/>
    </row>
    <row r="7588" spans="28:28">
      <c r="AB7588" s="669"/>
    </row>
    <row r="7589" spans="28:28">
      <c r="AB7589" s="669"/>
    </row>
    <row r="7590" spans="28:28">
      <c r="AB7590" s="669"/>
    </row>
    <row r="7591" spans="28:28">
      <c r="AB7591" s="669"/>
    </row>
    <row r="7592" spans="28:28">
      <c r="AB7592" s="669"/>
    </row>
    <row r="7593" spans="28:28">
      <c r="AB7593" s="669"/>
    </row>
    <row r="7594" spans="28:28">
      <c r="AB7594" s="669"/>
    </row>
    <row r="7595" spans="28:28">
      <c r="AB7595" s="669"/>
    </row>
    <row r="7596" spans="28:28">
      <c r="AB7596" s="669"/>
    </row>
    <row r="7597" spans="28:28">
      <c r="AB7597" s="669"/>
    </row>
    <row r="7598" spans="28:28">
      <c r="AB7598" s="669"/>
    </row>
    <row r="7599" spans="28:28">
      <c r="AB7599" s="669"/>
    </row>
    <row r="7600" spans="28:28">
      <c r="AB7600" s="669"/>
    </row>
    <row r="7601" spans="28:28">
      <c r="AB7601" s="669"/>
    </row>
    <row r="7602" spans="28:28">
      <c r="AB7602" s="669"/>
    </row>
    <row r="7603" spans="28:28">
      <c r="AB7603" s="669"/>
    </row>
    <row r="7604" spans="28:28">
      <c r="AB7604" s="669"/>
    </row>
    <row r="7605" spans="28:28">
      <c r="AB7605" s="669"/>
    </row>
    <row r="7606" spans="28:28">
      <c r="AB7606" s="669"/>
    </row>
    <row r="7607" spans="28:28">
      <c r="AB7607" s="669"/>
    </row>
    <row r="7608" spans="28:28">
      <c r="AB7608" s="669"/>
    </row>
    <row r="7609" spans="28:28">
      <c r="AB7609" s="669"/>
    </row>
    <row r="7610" spans="28:28">
      <c r="AB7610" s="669"/>
    </row>
    <row r="7611" spans="28:28">
      <c r="AB7611" s="669"/>
    </row>
    <row r="7612" spans="28:28">
      <c r="AB7612" s="669"/>
    </row>
    <row r="7613" spans="28:28">
      <c r="AB7613" s="669"/>
    </row>
    <row r="7614" spans="28:28">
      <c r="AB7614" s="669"/>
    </row>
    <row r="7615" spans="28:28">
      <c r="AB7615" s="669"/>
    </row>
    <row r="7616" spans="28:28">
      <c r="AB7616" s="669"/>
    </row>
    <row r="7617" spans="28:28">
      <c r="AB7617" s="669"/>
    </row>
    <row r="7618" spans="28:28">
      <c r="AB7618" s="669"/>
    </row>
    <row r="7619" spans="28:28">
      <c r="AB7619" s="669"/>
    </row>
    <row r="7620" spans="28:28">
      <c r="AB7620" s="669"/>
    </row>
    <row r="7621" spans="28:28">
      <c r="AB7621" s="669"/>
    </row>
    <row r="7622" spans="28:28">
      <c r="AB7622" s="669"/>
    </row>
    <row r="7623" spans="28:28">
      <c r="AB7623" s="669"/>
    </row>
    <row r="7624" spans="28:28">
      <c r="AB7624" s="669"/>
    </row>
    <row r="7625" spans="28:28">
      <c r="AB7625" s="669"/>
    </row>
    <row r="7626" spans="28:28">
      <c r="AB7626" s="669"/>
    </row>
    <row r="7627" spans="28:28">
      <c r="AB7627" s="669"/>
    </row>
    <row r="7628" spans="28:28">
      <c r="AB7628" s="669"/>
    </row>
    <row r="7629" spans="28:28">
      <c r="AB7629" s="669"/>
    </row>
    <row r="7630" spans="28:28">
      <c r="AB7630" s="669"/>
    </row>
    <row r="7631" spans="28:28">
      <c r="AB7631" s="669"/>
    </row>
    <row r="7632" spans="28:28">
      <c r="AB7632" s="669"/>
    </row>
    <row r="7633" spans="28:28">
      <c r="AB7633" s="669"/>
    </row>
    <row r="7634" spans="28:28">
      <c r="AB7634" s="669"/>
    </row>
    <row r="7635" spans="28:28">
      <c r="AB7635" s="669"/>
    </row>
    <row r="7636" spans="28:28">
      <c r="AB7636" s="669"/>
    </row>
    <row r="7637" spans="28:28">
      <c r="AB7637" s="669"/>
    </row>
    <row r="7638" spans="28:28">
      <c r="AB7638" s="669"/>
    </row>
    <row r="7639" spans="28:28">
      <c r="AB7639" s="669"/>
    </row>
    <row r="7640" spans="28:28">
      <c r="AB7640" s="669"/>
    </row>
    <row r="7641" spans="28:28">
      <c r="AB7641" s="669"/>
    </row>
    <row r="7642" spans="28:28">
      <c r="AB7642" s="669"/>
    </row>
    <row r="7643" spans="28:28">
      <c r="AB7643" s="669"/>
    </row>
    <row r="7644" spans="28:28">
      <c r="AB7644" s="669"/>
    </row>
    <row r="7645" spans="28:28">
      <c r="AB7645" s="669"/>
    </row>
    <row r="7646" spans="28:28">
      <c r="AB7646" s="669"/>
    </row>
    <row r="7647" spans="28:28">
      <c r="AB7647" s="669"/>
    </row>
    <row r="7648" spans="28:28">
      <c r="AB7648" s="669"/>
    </row>
    <row r="7649" spans="28:28">
      <c r="AB7649" s="669"/>
    </row>
    <row r="7650" spans="28:28">
      <c r="AB7650" s="669"/>
    </row>
    <row r="7651" spans="28:28">
      <c r="AB7651" s="669"/>
    </row>
    <row r="7652" spans="28:28">
      <c r="AB7652" s="669"/>
    </row>
    <row r="7653" spans="28:28">
      <c r="AB7653" s="669"/>
    </row>
    <row r="7654" spans="28:28">
      <c r="AB7654" s="669"/>
    </row>
    <row r="7655" spans="28:28">
      <c r="AB7655" s="669"/>
    </row>
    <row r="7656" spans="28:28">
      <c r="AB7656" s="669"/>
    </row>
    <row r="7657" spans="28:28">
      <c r="AB7657" s="669"/>
    </row>
    <row r="7658" spans="28:28">
      <c r="AB7658" s="669"/>
    </row>
    <row r="7659" spans="28:28">
      <c r="AB7659" s="669"/>
    </row>
    <row r="7660" spans="28:28">
      <c r="AB7660" s="669"/>
    </row>
    <row r="7661" spans="28:28">
      <c r="AB7661" s="669"/>
    </row>
    <row r="7662" spans="28:28">
      <c r="AB7662" s="669"/>
    </row>
    <row r="7663" spans="28:28">
      <c r="AB7663" s="669"/>
    </row>
    <row r="7664" spans="28:28">
      <c r="AB7664" s="669"/>
    </row>
    <row r="7665" spans="28:28">
      <c r="AB7665" s="669"/>
    </row>
    <row r="7666" spans="28:28">
      <c r="AB7666" s="669"/>
    </row>
    <row r="7667" spans="28:28">
      <c r="AB7667" s="669"/>
    </row>
    <row r="7668" spans="28:28">
      <c r="AB7668" s="669"/>
    </row>
    <row r="7669" spans="28:28">
      <c r="AB7669" s="669"/>
    </row>
    <row r="7670" spans="28:28">
      <c r="AB7670" s="669"/>
    </row>
    <row r="7671" spans="28:28">
      <c r="AB7671" s="669"/>
    </row>
    <row r="7672" spans="28:28">
      <c r="AB7672" s="669"/>
    </row>
    <row r="7673" spans="28:28">
      <c r="AB7673" s="669"/>
    </row>
    <row r="7674" spans="28:28">
      <c r="AB7674" s="669"/>
    </row>
    <row r="7675" spans="28:28">
      <c r="AB7675" s="669"/>
    </row>
    <row r="7676" spans="28:28">
      <c r="AB7676" s="669"/>
    </row>
    <row r="7677" spans="28:28">
      <c r="AB7677" s="669"/>
    </row>
    <row r="7678" spans="28:28">
      <c r="AB7678" s="669"/>
    </row>
    <row r="7679" spans="28:28">
      <c r="AB7679" s="669"/>
    </row>
    <row r="7680" spans="28:28">
      <c r="AB7680" s="669"/>
    </row>
    <row r="7681" spans="28:28">
      <c r="AB7681" s="669"/>
    </row>
    <row r="7682" spans="28:28">
      <c r="AB7682" s="669"/>
    </row>
    <row r="7683" spans="28:28">
      <c r="AB7683" s="669"/>
    </row>
    <row r="7684" spans="28:28">
      <c r="AB7684" s="669"/>
    </row>
    <row r="7685" spans="28:28">
      <c r="AB7685" s="669"/>
    </row>
    <row r="7686" spans="28:28">
      <c r="AB7686" s="669"/>
    </row>
    <row r="7687" spans="28:28">
      <c r="AB7687" s="669"/>
    </row>
    <row r="7688" spans="28:28">
      <c r="AB7688" s="669"/>
    </row>
    <row r="7689" spans="28:28">
      <c r="AB7689" s="669"/>
    </row>
    <row r="7690" spans="28:28">
      <c r="AB7690" s="669"/>
    </row>
    <row r="7691" spans="28:28">
      <c r="AB7691" s="669"/>
    </row>
    <row r="7692" spans="28:28">
      <c r="AB7692" s="669"/>
    </row>
    <row r="7693" spans="28:28">
      <c r="AB7693" s="669"/>
    </row>
    <row r="7694" spans="28:28">
      <c r="AB7694" s="669"/>
    </row>
    <row r="7695" spans="28:28">
      <c r="AB7695" s="669"/>
    </row>
    <row r="7696" spans="28:28">
      <c r="AB7696" s="669"/>
    </row>
    <row r="7697" spans="28:28">
      <c r="AB7697" s="669"/>
    </row>
    <row r="7698" spans="28:28">
      <c r="AB7698" s="669"/>
    </row>
    <row r="7699" spans="28:28">
      <c r="AB7699" s="669"/>
    </row>
    <row r="7700" spans="28:28">
      <c r="AB7700" s="669"/>
    </row>
    <row r="7701" spans="28:28">
      <c r="AB7701" s="669"/>
    </row>
    <row r="7702" spans="28:28">
      <c r="AB7702" s="669"/>
    </row>
    <row r="7703" spans="28:28">
      <c r="AB7703" s="669"/>
    </row>
    <row r="7704" spans="28:28">
      <c r="AB7704" s="669"/>
    </row>
    <row r="7705" spans="28:28">
      <c r="AB7705" s="669"/>
    </row>
    <row r="7706" spans="28:28">
      <c r="AB7706" s="669"/>
    </row>
    <row r="7707" spans="28:28">
      <c r="AB7707" s="669"/>
    </row>
    <row r="7708" spans="28:28">
      <c r="AB7708" s="669"/>
    </row>
    <row r="7709" spans="28:28">
      <c r="AB7709" s="669"/>
    </row>
    <row r="7710" spans="28:28">
      <c r="AB7710" s="669"/>
    </row>
    <row r="7711" spans="28:28">
      <c r="AB7711" s="669"/>
    </row>
    <row r="7712" spans="28:28">
      <c r="AB7712" s="669"/>
    </row>
    <row r="7713" spans="28:28">
      <c r="AB7713" s="669"/>
    </row>
    <row r="7714" spans="28:28">
      <c r="AB7714" s="669"/>
    </row>
    <row r="7715" spans="28:28">
      <c r="AB7715" s="669"/>
    </row>
    <row r="7716" spans="28:28">
      <c r="AB7716" s="669"/>
    </row>
    <row r="7717" spans="28:28">
      <c r="AB7717" s="669"/>
    </row>
    <row r="7718" spans="28:28">
      <c r="AB7718" s="669"/>
    </row>
    <row r="7719" spans="28:28">
      <c r="AB7719" s="669"/>
    </row>
    <row r="7720" spans="28:28">
      <c r="AB7720" s="669"/>
    </row>
    <row r="7721" spans="28:28">
      <c r="AB7721" s="669"/>
    </row>
    <row r="7722" spans="28:28">
      <c r="AB7722" s="669"/>
    </row>
    <row r="7723" spans="28:28">
      <c r="AB7723" s="669"/>
    </row>
    <row r="7724" spans="28:28">
      <c r="AB7724" s="669"/>
    </row>
    <row r="7725" spans="28:28">
      <c r="AB7725" s="669"/>
    </row>
    <row r="7726" spans="28:28">
      <c r="AB7726" s="669"/>
    </row>
    <row r="7727" spans="28:28">
      <c r="AB7727" s="669"/>
    </row>
    <row r="7728" spans="28:28">
      <c r="AB7728" s="669"/>
    </row>
    <row r="7729" spans="28:28">
      <c r="AB7729" s="669"/>
    </row>
    <row r="7730" spans="28:28">
      <c r="AB7730" s="669"/>
    </row>
    <row r="7731" spans="28:28">
      <c r="AB7731" s="669"/>
    </row>
    <row r="7732" spans="28:28">
      <c r="AB7732" s="669"/>
    </row>
    <row r="7733" spans="28:28">
      <c r="AB7733" s="669"/>
    </row>
    <row r="7734" spans="28:28">
      <c r="AB7734" s="669"/>
    </row>
    <row r="7735" spans="28:28">
      <c r="AB7735" s="669"/>
    </row>
    <row r="7736" spans="28:28">
      <c r="AB7736" s="669"/>
    </row>
    <row r="7737" spans="28:28">
      <c r="AB7737" s="669"/>
    </row>
    <row r="7738" spans="28:28">
      <c r="AB7738" s="669"/>
    </row>
    <row r="7739" spans="28:28">
      <c r="AB7739" s="669"/>
    </row>
    <row r="7740" spans="28:28">
      <c r="AB7740" s="669"/>
    </row>
    <row r="7741" spans="28:28">
      <c r="AB7741" s="669"/>
    </row>
    <row r="7742" spans="28:28">
      <c r="AB7742" s="669"/>
    </row>
    <row r="7743" spans="28:28">
      <c r="AB7743" s="669"/>
    </row>
    <row r="7744" spans="28:28">
      <c r="AB7744" s="669"/>
    </row>
    <row r="7745" spans="28:28">
      <c r="AB7745" s="669"/>
    </row>
    <row r="7746" spans="28:28">
      <c r="AB7746" s="669"/>
    </row>
    <row r="7747" spans="28:28">
      <c r="AB7747" s="669"/>
    </row>
    <row r="7748" spans="28:28">
      <c r="AB7748" s="669"/>
    </row>
    <row r="7749" spans="28:28">
      <c r="AB7749" s="669"/>
    </row>
    <row r="7750" spans="28:28">
      <c r="AB7750" s="669"/>
    </row>
    <row r="7751" spans="28:28">
      <c r="AB7751" s="669"/>
    </row>
    <row r="7752" spans="28:28">
      <c r="AB7752" s="669"/>
    </row>
    <row r="7753" spans="28:28">
      <c r="AB7753" s="669"/>
    </row>
    <row r="7754" spans="28:28">
      <c r="AB7754" s="669"/>
    </row>
    <row r="7755" spans="28:28">
      <c r="AB7755" s="669"/>
    </row>
    <row r="7756" spans="28:28">
      <c r="AB7756" s="669"/>
    </row>
    <row r="7757" spans="28:28">
      <c r="AB7757" s="669"/>
    </row>
    <row r="7758" spans="28:28">
      <c r="AB7758" s="669"/>
    </row>
    <row r="7759" spans="28:28">
      <c r="AB7759" s="669"/>
    </row>
    <row r="7760" spans="28:28">
      <c r="AB7760" s="669"/>
    </row>
    <row r="7761" spans="28:28">
      <c r="AB7761" s="669"/>
    </row>
    <row r="7762" spans="28:28">
      <c r="AB7762" s="669"/>
    </row>
    <row r="7763" spans="28:28">
      <c r="AB7763" s="669"/>
    </row>
    <row r="7764" spans="28:28">
      <c r="AB7764" s="669"/>
    </row>
    <row r="7765" spans="28:28">
      <c r="AB7765" s="669"/>
    </row>
    <row r="7766" spans="28:28">
      <c r="AB7766" s="669"/>
    </row>
    <row r="7767" spans="28:28">
      <c r="AB7767" s="669"/>
    </row>
    <row r="7768" spans="28:28">
      <c r="AB7768" s="669"/>
    </row>
    <row r="7769" spans="28:28">
      <c r="AB7769" s="669"/>
    </row>
    <row r="7770" spans="28:28">
      <c r="AB7770" s="669"/>
    </row>
    <row r="7771" spans="28:28">
      <c r="AB7771" s="669"/>
    </row>
    <row r="7772" spans="28:28">
      <c r="AB7772" s="669"/>
    </row>
    <row r="7773" spans="28:28">
      <c r="AB7773" s="669"/>
    </row>
    <row r="7774" spans="28:28">
      <c r="AB7774" s="669"/>
    </row>
    <row r="7775" spans="28:28">
      <c r="AB7775" s="669"/>
    </row>
    <row r="7776" spans="28:28">
      <c r="AB7776" s="669"/>
    </row>
    <row r="7777" spans="28:28">
      <c r="AB7777" s="669"/>
    </row>
    <row r="7778" spans="28:28">
      <c r="AB7778" s="669"/>
    </row>
    <row r="7779" spans="28:28">
      <c r="AB7779" s="669"/>
    </row>
    <row r="7780" spans="28:28">
      <c r="AB7780" s="669"/>
    </row>
    <row r="7781" spans="28:28">
      <c r="AB7781" s="669"/>
    </row>
    <row r="7782" spans="28:28">
      <c r="AB7782" s="669"/>
    </row>
    <row r="7783" spans="28:28">
      <c r="AB7783" s="669"/>
    </row>
    <row r="7784" spans="28:28">
      <c r="AB7784" s="669"/>
    </row>
    <row r="7785" spans="28:28">
      <c r="AB7785" s="669"/>
    </row>
    <row r="7786" spans="28:28">
      <c r="AB7786" s="669"/>
    </row>
    <row r="7787" spans="28:28">
      <c r="AB7787" s="669"/>
    </row>
    <row r="7788" spans="28:28">
      <c r="AB7788" s="669"/>
    </row>
    <row r="7789" spans="28:28">
      <c r="AB7789" s="669"/>
    </row>
    <row r="7790" spans="28:28">
      <c r="AB7790" s="669"/>
    </row>
    <row r="7791" spans="28:28">
      <c r="AB7791" s="669"/>
    </row>
    <row r="7792" spans="28:28">
      <c r="AB7792" s="669"/>
    </row>
    <row r="7793" spans="28:28">
      <c r="AB7793" s="669"/>
    </row>
    <row r="7794" spans="28:28">
      <c r="AB7794" s="669"/>
    </row>
    <row r="7795" spans="28:28">
      <c r="AB7795" s="669"/>
    </row>
    <row r="7796" spans="28:28">
      <c r="AB7796" s="669"/>
    </row>
    <row r="7797" spans="28:28">
      <c r="AB7797" s="669"/>
    </row>
    <row r="7798" spans="28:28">
      <c r="AB7798" s="669"/>
    </row>
    <row r="7799" spans="28:28">
      <c r="AB7799" s="669"/>
    </row>
    <row r="7800" spans="28:28">
      <c r="AB7800" s="669"/>
    </row>
    <row r="7801" spans="28:28">
      <c r="AB7801" s="669"/>
    </row>
    <row r="7802" spans="28:28">
      <c r="AB7802" s="669"/>
    </row>
    <row r="7803" spans="28:28">
      <c r="AB7803" s="669"/>
    </row>
    <row r="7804" spans="28:28">
      <c r="AB7804" s="669"/>
    </row>
    <row r="7805" spans="28:28">
      <c r="AB7805" s="669"/>
    </row>
    <row r="7806" spans="28:28">
      <c r="AB7806" s="669"/>
    </row>
    <row r="7807" spans="28:28">
      <c r="AB7807" s="669"/>
    </row>
    <row r="7808" spans="28:28">
      <c r="AB7808" s="669"/>
    </row>
    <row r="7809" spans="28:28">
      <c r="AB7809" s="669"/>
    </row>
    <row r="7810" spans="28:28">
      <c r="AB7810" s="669"/>
    </row>
    <row r="7811" spans="28:28">
      <c r="AB7811" s="669"/>
    </row>
    <row r="7812" spans="28:28">
      <c r="AB7812" s="669"/>
    </row>
    <row r="7813" spans="28:28">
      <c r="AB7813" s="669"/>
    </row>
    <row r="7814" spans="28:28">
      <c r="AB7814" s="669"/>
    </row>
    <row r="7815" spans="28:28">
      <c r="AB7815" s="669"/>
    </row>
    <row r="7816" spans="28:28">
      <c r="AB7816" s="669"/>
    </row>
    <row r="7817" spans="28:28">
      <c r="AB7817" s="669"/>
    </row>
    <row r="7818" spans="28:28">
      <c r="AB7818" s="669"/>
    </row>
    <row r="7819" spans="28:28">
      <c r="AB7819" s="669"/>
    </row>
    <row r="7820" spans="28:28">
      <c r="AB7820" s="669"/>
    </row>
    <row r="7821" spans="28:28">
      <c r="AB7821" s="669"/>
    </row>
    <row r="7822" spans="28:28">
      <c r="AB7822" s="669"/>
    </row>
    <row r="7823" spans="28:28">
      <c r="AB7823" s="669"/>
    </row>
    <row r="7824" spans="28:28">
      <c r="AB7824" s="669"/>
    </row>
    <row r="7825" spans="28:28">
      <c r="AB7825" s="669"/>
    </row>
    <row r="7826" spans="28:28">
      <c r="AB7826" s="669"/>
    </row>
    <row r="7827" spans="28:28">
      <c r="AB7827" s="669"/>
    </row>
    <row r="7828" spans="28:28">
      <c r="AB7828" s="669"/>
    </row>
    <row r="7829" spans="28:28" hidden="1"/>
    <row r="7830" spans="28:28" hidden="1"/>
    <row r="7831" spans="28:28" hidden="1"/>
    <row r="7832" spans="28:28" hidden="1"/>
    <row r="7833" spans="28:28" hidden="1"/>
    <row r="7834" spans="28:28" hidden="1"/>
    <row r="7835" spans="28:28" hidden="1"/>
    <row r="7836" spans="28:28" hidden="1"/>
    <row r="7837" spans="28:28" hidden="1"/>
    <row r="7838" spans="28:28" hidden="1"/>
    <row r="7839" spans="28:28" hidden="1"/>
    <row r="7840" spans="28:28"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sheetData>
  <sheetProtection algorithmName="SHA-512" hashValue="p5zdF7M+J5CqpJTL5Z/rzcexQf/xWa4M+PMwEL1EMychanrqv1mjwzY9wlu10HT33QH8veYRodvlNY7wSoCPtw==" saltValue="D4gDs6bC6yyJWxiREZGtHQ==" spinCount="100000" sheet="1" objects="1" scenarios="1"/>
  <mergeCells count="602">
    <mergeCell ref="B209:D209"/>
    <mergeCell ref="B210:D210"/>
    <mergeCell ref="B213:D213"/>
    <mergeCell ref="B214:D214"/>
    <mergeCell ref="B211:D211"/>
    <mergeCell ref="A104:A106"/>
    <mergeCell ref="B104:B106"/>
    <mergeCell ref="C104:C106"/>
    <mergeCell ref="A202:A204"/>
    <mergeCell ref="A184:A187"/>
    <mergeCell ref="B184:B187"/>
    <mergeCell ref="C184:C187"/>
    <mergeCell ref="A173:A175"/>
    <mergeCell ref="B173:B175"/>
    <mergeCell ref="B119:B120"/>
    <mergeCell ref="C119:C120"/>
    <mergeCell ref="A121:A123"/>
    <mergeCell ref="B121:B123"/>
    <mergeCell ref="C121:C123"/>
    <mergeCell ref="A124:A126"/>
    <mergeCell ref="A137:A144"/>
    <mergeCell ref="L224:L226"/>
    <mergeCell ref="S37:S40"/>
    <mergeCell ref="S16:S17"/>
    <mergeCell ref="T16:T17"/>
    <mergeCell ref="S184:S187"/>
    <mergeCell ref="S130:S131"/>
    <mergeCell ref="U55:U56"/>
    <mergeCell ref="U67:U69"/>
    <mergeCell ref="V74:V76"/>
    <mergeCell ref="V37:V38"/>
    <mergeCell ref="V45:V47"/>
    <mergeCell ref="V48:V50"/>
    <mergeCell ref="U62:U64"/>
    <mergeCell ref="U16:U17"/>
    <mergeCell ref="V32:V33"/>
    <mergeCell ref="V34:V35"/>
    <mergeCell ref="T48:T50"/>
    <mergeCell ref="U48:U50"/>
    <mergeCell ref="S45:S50"/>
    <mergeCell ref="S51:S52"/>
    <mergeCell ref="U45:U47"/>
    <mergeCell ref="T30:T31"/>
    <mergeCell ref="U34:U35"/>
    <mergeCell ref="V127:V128"/>
    <mergeCell ref="Z202:Z204"/>
    <mergeCell ref="Z205:Z206"/>
    <mergeCell ref="Z114:Z115"/>
    <mergeCell ref="Z116:Z117"/>
    <mergeCell ref="Z119:Z120"/>
    <mergeCell ref="Z121:Z123"/>
    <mergeCell ref="Z124:Z126"/>
    <mergeCell ref="Z127:Z128"/>
    <mergeCell ref="Z130:Z131"/>
    <mergeCell ref="Z133:Z136"/>
    <mergeCell ref="Z158:Z162"/>
    <mergeCell ref="Z168:Z169"/>
    <mergeCell ref="Z170:Z172"/>
    <mergeCell ref="Z173:Z175"/>
    <mergeCell ref="Z179:Z182"/>
    <mergeCell ref="Z184:Z187"/>
    <mergeCell ref="Z198:Z199"/>
    <mergeCell ref="Z190:Z191"/>
    <mergeCell ref="Z45:Z47"/>
    <mergeCell ref="Z48:Z50"/>
    <mergeCell ref="Z51:Z52"/>
    <mergeCell ref="W32:W33"/>
    <mergeCell ref="X32:X33"/>
    <mergeCell ref="Y32:Y33"/>
    <mergeCell ref="W34:W35"/>
    <mergeCell ref="Y45:Y47"/>
    <mergeCell ref="W51:W52"/>
    <mergeCell ref="W45:W47"/>
    <mergeCell ref="X34:X35"/>
    <mergeCell ref="W48:W50"/>
    <mergeCell ref="X48:X50"/>
    <mergeCell ref="X37:X38"/>
    <mergeCell ref="W39:W40"/>
    <mergeCell ref="X39:X40"/>
    <mergeCell ref="X51:X52"/>
    <mergeCell ref="Y116:Y117"/>
    <mergeCell ref="Y114:Y115"/>
    <mergeCell ref="X96:X98"/>
    <mergeCell ref="Y80:Y81"/>
    <mergeCell ref="W89:W91"/>
    <mergeCell ref="X89:X91"/>
    <mergeCell ref="V114:V115"/>
    <mergeCell ref="X119:X120"/>
    <mergeCell ref="Y119:Y120"/>
    <mergeCell ref="V87:V88"/>
    <mergeCell ref="V119:V120"/>
    <mergeCell ref="X80:X81"/>
    <mergeCell ref="W114:W115"/>
    <mergeCell ref="W80:W81"/>
    <mergeCell ref="X104:X106"/>
    <mergeCell ref="X85:X86"/>
    <mergeCell ref="W57:W58"/>
    <mergeCell ref="V57:V58"/>
    <mergeCell ref="U65:U66"/>
    <mergeCell ref="X67:X69"/>
    <mergeCell ref="T72:T73"/>
    <mergeCell ref="U72:U73"/>
    <mergeCell ref="Y59:Y61"/>
    <mergeCell ref="X65:X66"/>
    <mergeCell ref="T62:T64"/>
    <mergeCell ref="T67:T69"/>
    <mergeCell ref="T65:T66"/>
    <mergeCell ref="X62:X64"/>
    <mergeCell ref="V67:V69"/>
    <mergeCell ref="W67:W69"/>
    <mergeCell ref="V62:V64"/>
    <mergeCell ref="W62:W64"/>
    <mergeCell ref="U59:U61"/>
    <mergeCell ref="V59:V61"/>
    <mergeCell ref="W59:W61"/>
    <mergeCell ref="Y67:Y69"/>
    <mergeCell ref="X59:X61"/>
    <mergeCell ref="T59:T61"/>
    <mergeCell ref="X57:X58"/>
    <mergeCell ref="Y57:Y58"/>
    <mergeCell ref="T34:T35"/>
    <mergeCell ref="T37:T40"/>
    <mergeCell ref="U37:U40"/>
    <mergeCell ref="T45:T47"/>
    <mergeCell ref="T32:T33"/>
    <mergeCell ref="U32:U33"/>
    <mergeCell ref="U30:U31"/>
    <mergeCell ref="X45:X47"/>
    <mergeCell ref="V51:V52"/>
    <mergeCell ref="T51:T52"/>
    <mergeCell ref="S32:S33"/>
    <mergeCell ref="S34:S35"/>
    <mergeCell ref="W16:AA16"/>
    <mergeCell ref="W74:W75"/>
    <mergeCell ref="V104:V106"/>
    <mergeCell ref="X82:X84"/>
    <mergeCell ref="W104:W106"/>
    <mergeCell ref="W96:W98"/>
    <mergeCell ref="W85:W86"/>
    <mergeCell ref="V92:V94"/>
    <mergeCell ref="W92:W94"/>
    <mergeCell ref="W82:W84"/>
    <mergeCell ref="T53:T54"/>
    <mergeCell ref="U53:U54"/>
    <mergeCell ref="U57:U58"/>
    <mergeCell ref="S30:S31"/>
    <mergeCell ref="X19:X23"/>
    <mergeCell ref="Y19:Y23"/>
    <mergeCell ref="S19:S23"/>
    <mergeCell ref="T19:T23"/>
    <mergeCell ref="U19:U23"/>
    <mergeCell ref="V19:V23"/>
    <mergeCell ref="W19:W23"/>
    <mergeCell ref="V80:V81"/>
    <mergeCell ref="AB130:AB131"/>
    <mergeCell ref="AB119:AB128"/>
    <mergeCell ref="X158:X162"/>
    <mergeCell ref="Y158:Y162"/>
    <mergeCell ref="W127:W128"/>
    <mergeCell ref="W168:W169"/>
    <mergeCell ref="Y168:Y169"/>
    <mergeCell ref="X130:X131"/>
    <mergeCell ref="Y130:Y131"/>
    <mergeCell ref="X168:X169"/>
    <mergeCell ref="X133:X136"/>
    <mergeCell ref="W130:W131"/>
    <mergeCell ref="W133:W136"/>
    <mergeCell ref="Y133:Y136"/>
    <mergeCell ref="X170:X172"/>
    <mergeCell ref="Y170:Y172"/>
    <mergeCell ref="W158:W162"/>
    <mergeCell ref="AB114:AB117"/>
    <mergeCell ref="Z57:Z58"/>
    <mergeCell ref="Y89:Y91"/>
    <mergeCell ref="Z59:Z61"/>
    <mergeCell ref="Z62:Z64"/>
    <mergeCell ref="Z65:Z66"/>
    <mergeCell ref="Z74:Z76"/>
    <mergeCell ref="Y104:Y106"/>
    <mergeCell ref="AB133:AB136"/>
    <mergeCell ref="AB158:AB175"/>
    <mergeCell ref="W170:W172"/>
    <mergeCell ref="W119:W120"/>
    <mergeCell ref="X163:X167"/>
    <mergeCell ref="Y163:Y167"/>
    <mergeCell ref="Z163:Z167"/>
    <mergeCell ref="Y124:Y126"/>
    <mergeCell ref="X127:X128"/>
    <mergeCell ref="Y127:Y128"/>
    <mergeCell ref="X121:X123"/>
    <mergeCell ref="Y121:Y123"/>
    <mergeCell ref="W121:W123"/>
    <mergeCell ref="Z89:Z91"/>
    <mergeCell ref="Z96:Z98"/>
    <mergeCell ref="Z104:Z106"/>
    <mergeCell ref="AB53:AB71"/>
    <mergeCell ref="AB96:AB106"/>
    <mergeCell ref="Y72:Y73"/>
    <mergeCell ref="Z77:Z79"/>
    <mergeCell ref="Z80:Z81"/>
    <mergeCell ref="Z82:Z84"/>
    <mergeCell ref="Z85:Z86"/>
    <mergeCell ref="Z72:Z73"/>
    <mergeCell ref="Z53:Z54"/>
    <mergeCell ref="Z55:Z56"/>
    <mergeCell ref="Y87:Y88"/>
    <mergeCell ref="AA82:AA84"/>
    <mergeCell ref="AA85:AA86"/>
    <mergeCell ref="AA87:AA88"/>
    <mergeCell ref="AA89:AA91"/>
    <mergeCell ref="AA92:AA94"/>
    <mergeCell ref="AA96:AA98"/>
    <mergeCell ref="AA104:AA106"/>
    <mergeCell ref="Y70:Y71"/>
    <mergeCell ref="AB30:AB33"/>
    <mergeCell ref="Y34:Y35"/>
    <mergeCell ref="Z32:Z33"/>
    <mergeCell ref="Z34:Z35"/>
    <mergeCell ref="AB72:AB76"/>
    <mergeCell ref="Y96:Y98"/>
    <mergeCell ref="Y65:Y66"/>
    <mergeCell ref="Y74:Y76"/>
    <mergeCell ref="Y92:Y94"/>
    <mergeCell ref="Z92:Z94"/>
    <mergeCell ref="AB77:AB94"/>
    <mergeCell ref="AB45:AB50"/>
    <mergeCell ref="Y51:Y52"/>
    <mergeCell ref="Y48:Y50"/>
    <mergeCell ref="Y37:Y38"/>
    <mergeCell ref="Z37:Z38"/>
    <mergeCell ref="Y62:Y64"/>
    <mergeCell ref="Y82:Y84"/>
    <mergeCell ref="Y85:Y86"/>
    <mergeCell ref="Z67:Z69"/>
    <mergeCell ref="Z70:Z71"/>
    <mergeCell ref="Y77:Y79"/>
    <mergeCell ref="AB37:AB40"/>
    <mergeCell ref="Z87:Z88"/>
    <mergeCell ref="B215:D215"/>
    <mergeCell ref="B216:D216"/>
    <mergeCell ref="B217:D217"/>
    <mergeCell ref="B218:D218"/>
    <mergeCell ref="B212:D212"/>
    <mergeCell ref="A170:A172"/>
    <mergeCell ref="B207:D207"/>
    <mergeCell ref="C124:C126"/>
    <mergeCell ref="B124:B126"/>
    <mergeCell ref="C127:C128"/>
    <mergeCell ref="B205:B206"/>
    <mergeCell ref="A205:A206"/>
    <mergeCell ref="B168:B169"/>
    <mergeCell ref="A163:A167"/>
    <mergeCell ref="B163:B167"/>
    <mergeCell ref="C163:C167"/>
    <mergeCell ref="C170:C172"/>
    <mergeCell ref="A198:A199"/>
    <mergeCell ref="B198:B199"/>
    <mergeCell ref="C205:C206"/>
    <mergeCell ref="A207:A220"/>
    <mergeCell ref="B219:D219"/>
    <mergeCell ref="B220:D220"/>
    <mergeCell ref="B208:D208"/>
    <mergeCell ref="T205:T206"/>
    <mergeCell ref="U205:U206"/>
    <mergeCell ref="V205:V206"/>
    <mergeCell ref="V168:V169"/>
    <mergeCell ref="T170:T172"/>
    <mergeCell ref="T198:T199"/>
    <mergeCell ref="U198:U199"/>
    <mergeCell ref="V198:V199"/>
    <mergeCell ref="T184:T187"/>
    <mergeCell ref="U184:U187"/>
    <mergeCell ref="V184:V187"/>
    <mergeCell ref="U173:U175"/>
    <mergeCell ref="V173:V175"/>
    <mergeCell ref="S198:S199"/>
    <mergeCell ref="T163:T167"/>
    <mergeCell ref="U163:U167"/>
    <mergeCell ref="V163:V167"/>
    <mergeCell ref="S179:S182"/>
    <mergeCell ref="W205:W206"/>
    <mergeCell ref="X205:X206"/>
    <mergeCell ref="Y205:Y206"/>
    <mergeCell ref="B202:B204"/>
    <mergeCell ref="C202:C204"/>
    <mergeCell ref="T202:T204"/>
    <mergeCell ref="U202:U204"/>
    <mergeCell ref="V202:V204"/>
    <mergeCell ref="W202:W204"/>
    <mergeCell ref="X202:X204"/>
    <mergeCell ref="Y202:Y204"/>
    <mergeCell ref="S202:S204"/>
    <mergeCell ref="S205:S206"/>
    <mergeCell ref="Y184:Y187"/>
    <mergeCell ref="X173:X175"/>
    <mergeCell ref="Y173:Y175"/>
    <mergeCell ref="X179:X182"/>
    <mergeCell ref="Y179:Y182"/>
    <mergeCell ref="W173:W175"/>
    <mergeCell ref="W184:W187"/>
    <mergeCell ref="X184:X187"/>
    <mergeCell ref="W179:W182"/>
    <mergeCell ref="T173:T175"/>
    <mergeCell ref="A190:A191"/>
    <mergeCell ref="B190:B191"/>
    <mergeCell ref="C190:C191"/>
    <mergeCell ref="T190:T191"/>
    <mergeCell ref="U190:U191"/>
    <mergeCell ref="V190:V191"/>
    <mergeCell ref="W190:W191"/>
    <mergeCell ref="X190:X191"/>
    <mergeCell ref="Y190:Y191"/>
    <mergeCell ref="S190:S191"/>
    <mergeCell ref="C173:C175"/>
    <mergeCell ref="C198:C199"/>
    <mergeCell ref="S158:S175"/>
    <mergeCell ref="U170:U172"/>
    <mergeCell ref="V170:V172"/>
    <mergeCell ref="A179:A182"/>
    <mergeCell ref="B179:B182"/>
    <mergeCell ref="C179:C182"/>
    <mergeCell ref="T179:T182"/>
    <mergeCell ref="U179:U182"/>
    <mergeCell ref="V179:V182"/>
    <mergeCell ref="A158:A162"/>
    <mergeCell ref="B158:B162"/>
    <mergeCell ref="C158:C162"/>
    <mergeCell ref="T158:T162"/>
    <mergeCell ref="U158:U162"/>
    <mergeCell ref="V158:V162"/>
    <mergeCell ref="B170:B172"/>
    <mergeCell ref="A168:A169"/>
    <mergeCell ref="T168:T169"/>
    <mergeCell ref="U168:U169"/>
    <mergeCell ref="C168:C169"/>
    <mergeCell ref="V130:V131"/>
    <mergeCell ref="V133:V136"/>
    <mergeCell ref="A133:A136"/>
    <mergeCell ref="B133:B136"/>
    <mergeCell ref="C133:C136"/>
    <mergeCell ref="T133:T136"/>
    <mergeCell ref="U133:U136"/>
    <mergeCell ref="S133:S136"/>
    <mergeCell ref="A130:A131"/>
    <mergeCell ref="B130:B131"/>
    <mergeCell ref="C130:C131"/>
    <mergeCell ref="T124:T126"/>
    <mergeCell ref="A127:A128"/>
    <mergeCell ref="B127:B128"/>
    <mergeCell ref="T127:T128"/>
    <mergeCell ref="A119:A120"/>
    <mergeCell ref="T119:T120"/>
    <mergeCell ref="T130:T131"/>
    <mergeCell ref="U130:U131"/>
    <mergeCell ref="U127:U128"/>
    <mergeCell ref="U119:U120"/>
    <mergeCell ref="U124:U126"/>
    <mergeCell ref="A96:A98"/>
    <mergeCell ref="B96:B98"/>
    <mergeCell ref="C96:C98"/>
    <mergeCell ref="T96:T98"/>
    <mergeCell ref="U96:U98"/>
    <mergeCell ref="V96:V98"/>
    <mergeCell ref="T89:T91"/>
    <mergeCell ref="U89:U91"/>
    <mergeCell ref="V89:V91"/>
    <mergeCell ref="S96:S98"/>
    <mergeCell ref="A89:A91"/>
    <mergeCell ref="B89:B91"/>
    <mergeCell ref="C89:C91"/>
    <mergeCell ref="A92:A94"/>
    <mergeCell ref="B92:B94"/>
    <mergeCell ref="C92:C94"/>
    <mergeCell ref="T92:T94"/>
    <mergeCell ref="U92:U94"/>
    <mergeCell ref="S77:S94"/>
    <mergeCell ref="A87:A88"/>
    <mergeCell ref="B87:B88"/>
    <mergeCell ref="A85:A86"/>
    <mergeCell ref="B85:B86"/>
    <mergeCell ref="C85:C86"/>
    <mergeCell ref="T85:T86"/>
    <mergeCell ref="A82:A84"/>
    <mergeCell ref="B82:B84"/>
    <mergeCell ref="C82:C84"/>
    <mergeCell ref="T82:T84"/>
    <mergeCell ref="C87:C88"/>
    <mergeCell ref="T87:T88"/>
    <mergeCell ref="A59:A61"/>
    <mergeCell ref="B59:B61"/>
    <mergeCell ref="S53:S71"/>
    <mergeCell ref="T57:T58"/>
    <mergeCell ref="T55:T56"/>
    <mergeCell ref="A55:A56"/>
    <mergeCell ref="B55:B56"/>
    <mergeCell ref="C55:C56"/>
    <mergeCell ref="C59:C61"/>
    <mergeCell ref="C65:C66"/>
    <mergeCell ref="B62:B64"/>
    <mergeCell ref="C62:C64"/>
    <mergeCell ref="A65:A66"/>
    <mergeCell ref="B65:B66"/>
    <mergeCell ref="A57:A58"/>
    <mergeCell ref="B57:B58"/>
    <mergeCell ref="C57:C58"/>
    <mergeCell ref="A62:A64"/>
    <mergeCell ref="A67:A69"/>
    <mergeCell ref="B67:B69"/>
    <mergeCell ref="C67:C69"/>
    <mergeCell ref="A53:A54"/>
    <mergeCell ref="B53:B54"/>
    <mergeCell ref="C53:C54"/>
    <mergeCell ref="A80:A81"/>
    <mergeCell ref="B80:B81"/>
    <mergeCell ref="A72:A73"/>
    <mergeCell ref="A74:A76"/>
    <mergeCell ref="A70:A71"/>
    <mergeCell ref="T70:T71"/>
    <mergeCell ref="U70:U71"/>
    <mergeCell ref="B74:B76"/>
    <mergeCell ref="C74:C76"/>
    <mergeCell ref="D74:D75"/>
    <mergeCell ref="S72:S76"/>
    <mergeCell ref="T74:T76"/>
    <mergeCell ref="B72:B73"/>
    <mergeCell ref="C72:C73"/>
    <mergeCell ref="B70:B71"/>
    <mergeCell ref="C70:C71"/>
    <mergeCell ref="U74:U76"/>
    <mergeCell ref="T77:T79"/>
    <mergeCell ref="A77:A79"/>
    <mergeCell ref="B77:B79"/>
    <mergeCell ref="C77:C79"/>
    <mergeCell ref="C80:C81"/>
    <mergeCell ref="T80:T81"/>
    <mergeCell ref="B43:B44"/>
    <mergeCell ref="C43:C44"/>
    <mergeCell ref="A16:A17"/>
    <mergeCell ref="A34:A35"/>
    <mergeCell ref="B34:B35"/>
    <mergeCell ref="C34:C35"/>
    <mergeCell ref="C48:C50"/>
    <mergeCell ref="A51:A52"/>
    <mergeCell ref="B51:B52"/>
    <mergeCell ref="A37:A40"/>
    <mergeCell ref="B37:B40"/>
    <mergeCell ref="C37:C40"/>
    <mergeCell ref="A41:A42"/>
    <mergeCell ref="A43:A44"/>
    <mergeCell ref="B41:B42"/>
    <mergeCell ref="C41:C42"/>
    <mergeCell ref="C51:C52"/>
    <mergeCell ref="A45:A47"/>
    <mergeCell ref="B45:B47"/>
    <mergeCell ref="A48:A50"/>
    <mergeCell ref="B48:B50"/>
    <mergeCell ref="C45:C47"/>
    <mergeCell ref="A32:A33"/>
    <mergeCell ref="B32:B33"/>
    <mergeCell ref="C32:C33"/>
    <mergeCell ref="I16:I17"/>
    <mergeCell ref="J16:J17"/>
    <mergeCell ref="A30:A31"/>
    <mergeCell ref="B30:B31"/>
    <mergeCell ref="C30:C31"/>
    <mergeCell ref="B16:B17"/>
    <mergeCell ref="A24:A27"/>
    <mergeCell ref="B26:B27"/>
    <mergeCell ref="C26:C27"/>
    <mergeCell ref="A19:A23"/>
    <mergeCell ref="B19:B23"/>
    <mergeCell ref="C19:C23"/>
    <mergeCell ref="A1:T1"/>
    <mergeCell ref="H16:H17"/>
    <mergeCell ref="B5:T5"/>
    <mergeCell ref="B4:L4"/>
    <mergeCell ref="B8:K8"/>
    <mergeCell ref="B9:K9"/>
    <mergeCell ref="A12:L12"/>
    <mergeCell ref="W1:AB1"/>
    <mergeCell ref="AB16:AB17"/>
    <mergeCell ref="V16:V17"/>
    <mergeCell ref="L16:L17"/>
    <mergeCell ref="U15:X15"/>
    <mergeCell ref="K16:K17"/>
    <mergeCell ref="G16:G17"/>
    <mergeCell ref="F16:F17"/>
    <mergeCell ref="E16:E17"/>
    <mergeCell ref="D16:D17"/>
    <mergeCell ref="C16:C17"/>
    <mergeCell ref="AB19:AB23"/>
    <mergeCell ref="A2:AB2"/>
    <mergeCell ref="A11:AB11"/>
    <mergeCell ref="Z19:Z23"/>
    <mergeCell ref="AA19:AA23"/>
    <mergeCell ref="O16:O17"/>
    <mergeCell ref="AB190:AB204"/>
    <mergeCell ref="AB205:AB206"/>
    <mergeCell ref="AB179:AB187"/>
    <mergeCell ref="AB34:AB35"/>
    <mergeCell ref="W37:W38"/>
    <mergeCell ref="U51:U52"/>
    <mergeCell ref="V53:V54"/>
    <mergeCell ref="W53:W54"/>
    <mergeCell ref="X53:X54"/>
    <mergeCell ref="Y53:Y54"/>
    <mergeCell ref="V55:V56"/>
    <mergeCell ref="W55:W56"/>
    <mergeCell ref="X55:X56"/>
    <mergeCell ref="Y55:Y56"/>
    <mergeCell ref="V65:V66"/>
    <mergeCell ref="W65:W66"/>
    <mergeCell ref="V72:V73"/>
    <mergeCell ref="U80:U81"/>
    <mergeCell ref="Y198:Y199"/>
    <mergeCell ref="W198:W199"/>
    <mergeCell ref="X198:X199"/>
    <mergeCell ref="A99:A101"/>
    <mergeCell ref="X114:X115"/>
    <mergeCell ref="U116:U117"/>
    <mergeCell ref="V116:V117"/>
    <mergeCell ref="W116:W117"/>
    <mergeCell ref="X116:X117"/>
    <mergeCell ref="S114:S117"/>
    <mergeCell ref="T104:T106"/>
    <mergeCell ref="U104:U106"/>
    <mergeCell ref="A116:A117"/>
    <mergeCell ref="B116:B117"/>
    <mergeCell ref="C116:C117"/>
    <mergeCell ref="T116:T117"/>
    <mergeCell ref="A102:A103"/>
    <mergeCell ref="A114:A115"/>
    <mergeCell ref="B114:B115"/>
    <mergeCell ref="C114:C115"/>
    <mergeCell ref="T114:T115"/>
    <mergeCell ref="U114:U115"/>
    <mergeCell ref="T121:T123"/>
    <mergeCell ref="S119:S128"/>
    <mergeCell ref="V70:V71"/>
    <mergeCell ref="W70:W71"/>
    <mergeCell ref="V124:V126"/>
    <mergeCell ref="W124:W126"/>
    <mergeCell ref="X124:X126"/>
    <mergeCell ref="W87:W88"/>
    <mergeCell ref="X87:X88"/>
    <mergeCell ref="U121:U123"/>
    <mergeCell ref="V121:V123"/>
    <mergeCell ref="X70:X71"/>
    <mergeCell ref="X74:X76"/>
    <mergeCell ref="X92:X94"/>
    <mergeCell ref="U85:U86"/>
    <mergeCell ref="V85:V86"/>
    <mergeCell ref="U82:U84"/>
    <mergeCell ref="V82:V84"/>
    <mergeCell ref="W77:W79"/>
    <mergeCell ref="X77:X79"/>
    <mergeCell ref="W72:W73"/>
    <mergeCell ref="X72:X73"/>
    <mergeCell ref="U77:U79"/>
    <mergeCell ref="V77:V79"/>
    <mergeCell ref="U87:U88"/>
    <mergeCell ref="AA32:AA33"/>
    <mergeCell ref="AA34:AA35"/>
    <mergeCell ref="AA37:AA38"/>
    <mergeCell ref="AA45:AA47"/>
    <mergeCell ref="AA48:AA50"/>
    <mergeCell ref="AA51:AA52"/>
    <mergeCell ref="AA53:AA54"/>
    <mergeCell ref="AA80:AA81"/>
    <mergeCell ref="AA55:AA56"/>
    <mergeCell ref="AA57:AA58"/>
    <mergeCell ref="AA59:AA61"/>
    <mergeCell ref="AA62:AA64"/>
    <mergeCell ref="AA65:AA66"/>
    <mergeCell ref="AA67:AA69"/>
    <mergeCell ref="AA70:AA71"/>
    <mergeCell ref="AA72:AA73"/>
    <mergeCell ref="AA74:AA76"/>
    <mergeCell ref="AA205:AA206"/>
    <mergeCell ref="Q16:Q17"/>
    <mergeCell ref="M16:M17"/>
    <mergeCell ref="P16:P17"/>
    <mergeCell ref="R16:R17"/>
    <mergeCell ref="AA163:AA167"/>
    <mergeCell ref="AA168:AA169"/>
    <mergeCell ref="AA170:AA172"/>
    <mergeCell ref="AA173:AA175"/>
    <mergeCell ref="AA179:AA182"/>
    <mergeCell ref="AA184:AA187"/>
    <mergeCell ref="AA190:AA191"/>
    <mergeCell ref="AA198:AA199"/>
    <mergeCell ref="AA202:AA204"/>
    <mergeCell ref="AA114:AA115"/>
    <mergeCell ref="AA116:AA117"/>
    <mergeCell ref="AA119:AA120"/>
    <mergeCell ref="AA121:AA123"/>
    <mergeCell ref="AA124:AA126"/>
    <mergeCell ref="AA127:AA128"/>
    <mergeCell ref="AA130:AA131"/>
    <mergeCell ref="AA133:AA136"/>
    <mergeCell ref="AA158:AA162"/>
    <mergeCell ref="AA77:AA79"/>
  </mergeCells>
  <conditionalFormatting sqref="E16:T16">
    <cfRule type="dataBar" priority="10">
      <dataBar>
        <cfvo type="min"/>
        <cfvo type="max"/>
        <color rgb="FF638EC6"/>
      </dataBar>
      <extLst>
        <ext xmlns:x14="http://schemas.microsoft.com/office/spreadsheetml/2009/9/main" uri="{B025F937-C7B1-47D3-B67F-A62EFF666E3E}">
          <x14:id>{DCB5C597-70A0-4956-A0D6-544419C84697}</x14:id>
        </ext>
      </extLst>
    </cfRule>
  </conditionalFormatting>
  <conditionalFormatting sqref="G17:H17 J17:R17">
    <cfRule type="dataBar" priority="1">
      <dataBar>
        <cfvo type="min"/>
        <cfvo type="max"/>
        <color rgb="FF638EC6"/>
      </dataBar>
      <extLst>
        <ext xmlns:x14="http://schemas.microsoft.com/office/spreadsheetml/2009/9/main" uri="{B025F937-C7B1-47D3-B67F-A62EFF666E3E}">
          <x14:id>{FDA0D415-FDFD-42FC-8E4B-A493A892B18A}</x14:id>
        </ext>
      </extLst>
    </cfRule>
  </conditionalFormatting>
  <pageMargins left="0.70866141732283472" right="0.70866141732283472" top="0.74803149606299213" bottom="0.74803149606299213" header="0.31496062992125984" footer="0.31496062992125984"/>
  <pageSetup paperSize="8" scale="51" fitToHeight="0" pageOrder="overThenDown"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DCB5C597-70A0-4956-A0D6-544419C84697}">
            <x14:dataBar minLength="0" maxLength="100" border="1" negativeBarBorderColorSameAsPositive="0">
              <x14:cfvo type="autoMin"/>
              <x14:cfvo type="autoMax"/>
              <x14:borderColor rgb="FF638EC6"/>
              <x14:negativeFillColor rgb="FFFF0000"/>
              <x14:negativeBorderColor rgb="FFFF0000"/>
              <x14:axisColor rgb="FF000000"/>
            </x14:dataBar>
          </x14:cfRule>
          <xm:sqref>E16:T16</xm:sqref>
        </x14:conditionalFormatting>
        <x14:conditionalFormatting xmlns:xm="http://schemas.microsoft.com/office/excel/2006/main">
          <x14:cfRule type="dataBar" id="{FDA0D415-FDFD-42FC-8E4B-A493A892B18A}">
            <x14:dataBar minLength="0" maxLength="100" border="1" negativeBarBorderColorSameAsPositive="0">
              <x14:cfvo type="autoMin"/>
              <x14:cfvo type="autoMax"/>
              <x14:borderColor rgb="FF638EC6"/>
              <x14:negativeFillColor rgb="FFFF0000"/>
              <x14:negativeBorderColor rgb="FFFF0000"/>
              <x14:axisColor rgb="FF000000"/>
            </x14:dataBar>
          </x14:cfRule>
          <xm:sqref>G17:H17 J17:R17</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9E7FE-B2C4-481E-AFB2-F5535D568119}">
  <sheetPr>
    <pageSetUpPr fitToPage="1"/>
  </sheetPr>
  <dimension ref="A1:EF1413"/>
  <sheetViews>
    <sheetView zoomScale="102" zoomScaleNormal="102" zoomScaleSheetLayoutView="89" workbookViewId="0">
      <selection activeCell="A433" sqref="A433:XFD435"/>
    </sheetView>
  </sheetViews>
  <sheetFormatPr defaultColWidth="9.109375" defaultRowHeight="39" customHeight="1"/>
  <cols>
    <col min="1" max="1" width="15.44140625" style="274" customWidth="1"/>
    <col min="2" max="2" width="39.33203125" style="669" customWidth="1"/>
    <col min="3" max="3" width="4.33203125" style="274" customWidth="1"/>
    <col min="4" max="4" width="7.33203125" style="274" customWidth="1"/>
    <col min="5" max="6" width="10.6640625" style="317" hidden="1" customWidth="1"/>
    <col min="7" max="7" width="10.6640625" style="274" hidden="1" customWidth="1"/>
    <col min="8" max="9" width="19.5546875" style="274" hidden="1" customWidth="1"/>
    <col min="10" max="10" width="19.5546875" style="450" hidden="1" customWidth="1"/>
    <col min="11" max="11" width="18.6640625" style="274" hidden="1" customWidth="1"/>
    <col min="12" max="12" width="20.109375" style="274" customWidth="1"/>
    <col min="13" max="13" width="13.88671875" style="1540" hidden="1" customWidth="1"/>
    <col min="14" max="14" width="11.33203125" style="274" hidden="1" customWidth="1"/>
    <col min="15" max="15" width="20.109375" style="274" customWidth="1"/>
    <col min="16" max="16" width="20.109375" style="1540" hidden="1" customWidth="1"/>
    <col min="17" max="17" width="20.109375" style="274" customWidth="1"/>
    <col min="18" max="18" width="20.109375" style="1540" hidden="1" customWidth="1"/>
    <col min="19" max="19" width="14.109375" style="884" customWidth="1"/>
    <col min="20" max="20" width="80.33203125" style="274" customWidth="1"/>
    <col min="21" max="21" width="4" style="274" hidden="1" customWidth="1"/>
    <col min="22" max="22" width="12.88671875" style="274" customWidth="1"/>
    <col min="23" max="23" width="39.5546875" style="274" customWidth="1"/>
    <col min="24" max="25" width="6.33203125" style="274" hidden="1" customWidth="1"/>
    <col min="26" max="27" width="7.109375" style="274" customWidth="1"/>
    <col min="28" max="28" width="7.5546875" style="274" customWidth="1"/>
    <col min="29" max="29" width="29.44140625" style="274" customWidth="1"/>
    <col min="30" max="30" width="29.6640625" style="274" hidden="1" customWidth="1"/>
    <col min="31" max="31" width="44" style="274" customWidth="1"/>
    <col min="32" max="16384" width="9.109375" style="274"/>
  </cols>
  <sheetData>
    <row r="1" spans="1:29" ht="27" customHeight="1">
      <c r="A1" s="284" t="s">
        <v>2084</v>
      </c>
      <c r="B1" s="660"/>
      <c r="C1" s="103"/>
      <c r="D1" s="103"/>
      <c r="E1" s="103"/>
      <c r="F1" s="103"/>
      <c r="G1" s="103"/>
      <c r="H1" s="103"/>
      <c r="I1" s="103"/>
      <c r="J1" s="448"/>
      <c r="K1" s="103"/>
      <c r="L1" s="103"/>
      <c r="M1" s="1492"/>
      <c r="N1" s="103"/>
      <c r="O1" s="103"/>
      <c r="P1" s="1492"/>
      <c r="Q1" s="103"/>
      <c r="R1" s="1492"/>
      <c r="S1" s="825"/>
      <c r="T1" s="103"/>
      <c r="U1" s="103"/>
      <c r="V1" s="103"/>
      <c r="W1" s="103"/>
      <c r="X1" s="103"/>
      <c r="Y1" s="103"/>
      <c r="Z1" s="103"/>
      <c r="AA1" s="103"/>
      <c r="AB1" s="103"/>
      <c r="AC1" s="103"/>
    </row>
    <row r="2" spans="1:29" ht="31.5" customHeight="1">
      <c r="A2" s="2857" t="s">
        <v>2619</v>
      </c>
      <c r="B2" s="2711"/>
      <c r="C2" s="2711"/>
      <c r="D2" s="2711"/>
      <c r="E2" s="2711"/>
      <c r="F2" s="2711"/>
      <c r="G2" s="2711"/>
      <c r="H2" s="2711"/>
      <c r="I2" s="2711"/>
      <c r="J2" s="2711"/>
      <c r="K2" s="2711"/>
      <c r="L2" s="2711"/>
      <c r="M2" s="2711"/>
      <c r="N2" s="2711"/>
      <c r="O2" s="2711"/>
      <c r="P2" s="2711"/>
      <c r="Q2" s="2711"/>
      <c r="R2" s="2711"/>
      <c r="S2" s="2711"/>
      <c r="T2" s="2711"/>
      <c r="U2" s="2711"/>
      <c r="V2" s="2711"/>
      <c r="W2" s="2711"/>
      <c r="X2" s="2711"/>
      <c r="Y2" s="2711"/>
      <c r="Z2" s="2711"/>
      <c r="AA2" s="2711"/>
      <c r="AB2" s="2711"/>
      <c r="AC2" s="2711"/>
    </row>
    <row r="3" spans="1:29" ht="15.75" customHeight="1">
      <c r="A3" s="649"/>
      <c r="B3" s="103"/>
      <c r="C3" s="103"/>
      <c r="D3" s="103"/>
      <c r="E3" s="103"/>
      <c r="F3" s="103"/>
      <c r="G3" s="103"/>
      <c r="H3" s="103"/>
      <c r="I3" s="103"/>
      <c r="J3" s="103"/>
      <c r="K3" s="103"/>
      <c r="L3" s="103"/>
      <c r="M3" s="1492"/>
      <c r="N3" s="103"/>
      <c r="O3" s="103"/>
      <c r="P3" s="1492"/>
      <c r="Q3" s="103"/>
      <c r="R3" s="1492"/>
      <c r="S3" s="825"/>
      <c r="T3" s="103"/>
      <c r="U3" s="103"/>
      <c r="V3" s="103"/>
      <c r="W3" s="103"/>
      <c r="X3" s="103"/>
      <c r="Y3" s="103"/>
      <c r="Z3" s="103"/>
      <c r="AA3" s="103"/>
      <c r="AB3" s="103"/>
      <c r="AC3" s="103"/>
    </row>
    <row r="4" spans="1:29" s="221" customFormat="1" ht="18" customHeight="1">
      <c r="A4" s="221" t="str">
        <f>A14</f>
        <v>02.01.01. (T)</v>
      </c>
      <c r="B4" s="2711" t="str">
        <f>B14</f>
        <v>Sudaryti sąlygas  ugdyti vaikus ikimokyklinio, bendrojo ugdymo ir neformalaus vaikų švietimo įstaigose pagal patvirtintas ugdymo programas, teikti pedagoginę, psichologinę, metodinę, aprūpinimo transportu ir kitą pagalbą mokiniams, mokytojams ir mokykloms</v>
      </c>
      <c r="C4" s="2711"/>
      <c r="D4" s="2711"/>
      <c r="E4" s="2711"/>
      <c r="F4" s="2711"/>
      <c r="G4" s="2711"/>
      <c r="H4" s="2711"/>
      <c r="I4" s="2711"/>
      <c r="J4" s="2711"/>
      <c r="K4" s="2711"/>
      <c r="L4" s="2711"/>
      <c r="M4" s="2711"/>
      <c r="N4" s="2711"/>
      <c r="O4" s="2711"/>
      <c r="P4" s="2711"/>
      <c r="Q4" s="2711"/>
      <c r="R4" s="2711"/>
      <c r="S4" s="2711"/>
      <c r="T4" s="2711"/>
      <c r="U4" s="103"/>
      <c r="V4" s="103"/>
      <c r="W4" s="103"/>
    </row>
    <row r="5" spans="1:29" s="221" customFormat="1" ht="13.5" customHeight="1">
      <c r="A5" s="221" t="str">
        <f>A167</f>
        <v>02.01.02. (T)</v>
      </c>
      <c r="B5" s="2711" t="str">
        <f>B167</f>
        <v>Įgyvendinti priemones turinčias įtakos, ugdymo proceso kokybei, skirtas tęstiniam mokymuisi</v>
      </c>
      <c r="C5" s="2711"/>
      <c r="D5" s="2711"/>
      <c r="E5" s="2711"/>
      <c r="F5" s="2711"/>
      <c r="G5" s="2711"/>
      <c r="H5" s="2711"/>
      <c r="I5" s="2711"/>
      <c r="J5" s="2711"/>
      <c r="K5" s="2711"/>
      <c r="L5" s="2711"/>
      <c r="M5" s="2711"/>
      <c r="N5" s="2711"/>
      <c r="O5" s="2711"/>
      <c r="P5" s="2711"/>
      <c r="Q5" s="2711"/>
      <c r="R5" s="2711"/>
      <c r="S5" s="2711"/>
      <c r="T5" s="2711"/>
      <c r="U5" s="2711"/>
      <c r="V5" s="2711"/>
      <c r="W5" s="2711"/>
    </row>
    <row r="6" spans="1:29" s="221" customFormat="1" ht="18.75" customHeight="1">
      <c r="A6" s="285" t="str">
        <f>A262</f>
        <v>02.01.03. (P)</v>
      </c>
      <c r="B6" s="2711" t="str">
        <f>B262</f>
        <v>Sukurti įtraukias, tinklaveiką ir 
socialines inovacijas skatinančias, kiekvieno mokinio geresnius pasiekimus lemiančias ir šiuolaikiškas kokybiško ugdymo(si) sąlygas</v>
      </c>
      <c r="C6" s="2711"/>
      <c r="D6" s="2711"/>
      <c r="E6" s="2711"/>
      <c r="F6" s="2711"/>
      <c r="G6" s="2711"/>
      <c r="H6" s="2711"/>
      <c r="I6" s="2711"/>
      <c r="J6" s="2711"/>
      <c r="K6" s="2711"/>
      <c r="L6" s="2711"/>
      <c r="M6" s="2711"/>
      <c r="N6" s="2711"/>
      <c r="O6" s="2711"/>
      <c r="P6" s="2711"/>
      <c r="Q6" s="2711"/>
      <c r="R6" s="2711"/>
      <c r="S6" s="2711"/>
      <c r="T6" s="2711"/>
      <c r="U6" s="2711"/>
      <c r="V6" s="2711"/>
      <c r="W6" s="2711"/>
    </row>
    <row r="7" spans="1:29" s="221" customFormat="1" ht="15" customHeight="1">
      <c r="A7" s="285" t="str">
        <f>A350</f>
        <v>02.02.01. (T)</v>
      </c>
      <c r="B7" s="2711" t="str">
        <f>B350</f>
        <v>Didinti vaikų ir jaunimo socioedukacinių veiklų, socialiai prasmingo užimtumo, profesinio mokymo, saviraiškos bei švietimo pagalbos įvairovę ir prieinamumą</v>
      </c>
      <c r="C7" s="2711"/>
      <c r="D7" s="2711"/>
      <c r="E7" s="2711"/>
      <c r="F7" s="2711"/>
      <c r="G7" s="2711"/>
      <c r="H7" s="2711"/>
      <c r="I7" s="2711"/>
      <c r="J7" s="2711"/>
      <c r="K7" s="2711"/>
      <c r="L7" s="2711"/>
      <c r="M7" s="2711"/>
      <c r="N7" s="2711"/>
      <c r="O7" s="2711"/>
      <c r="P7" s="2711"/>
      <c r="Q7" s="2711"/>
      <c r="R7" s="2711"/>
      <c r="S7" s="2711"/>
      <c r="T7" s="2711"/>
      <c r="U7" s="103"/>
      <c r="V7" s="103"/>
      <c r="W7" s="103"/>
    </row>
    <row r="8" spans="1:29" ht="15.75" customHeight="1">
      <c r="A8" s="103"/>
      <c r="B8" s="662"/>
      <c r="C8" s="103"/>
      <c r="D8" s="103"/>
      <c r="E8" s="103"/>
      <c r="F8" s="103"/>
      <c r="G8" s="103"/>
      <c r="H8" s="103"/>
      <c r="I8" s="103"/>
      <c r="J8" s="448"/>
      <c r="K8" s="103"/>
      <c r="L8" s="103"/>
      <c r="M8" s="1492"/>
      <c r="N8" s="103"/>
      <c r="O8" s="103"/>
      <c r="P8" s="1492"/>
      <c r="Q8" s="103"/>
      <c r="R8" s="1492"/>
      <c r="S8" s="825"/>
      <c r="T8" s="103"/>
      <c r="U8" s="103"/>
      <c r="V8" s="103"/>
      <c r="W8" s="103"/>
      <c r="X8" s="103"/>
      <c r="Y8" s="103"/>
      <c r="Z8" s="103"/>
      <c r="AA8" s="103"/>
      <c r="AB8" s="103"/>
      <c r="AC8" s="103"/>
    </row>
    <row r="9" spans="1:29" ht="18" customHeight="1">
      <c r="A9" s="103" t="s">
        <v>3828</v>
      </c>
      <c r="B9" s="101"/>
      <c r="C9" s="2822"/>
      <c r="D9" s="2822"/>
      <c r="E9" s="2822"/>
      <c r="F9" s="2822"/>
      <c r="G9" s="2822"/>
      <c r="H9" s="2822"/>
      <c r="I9" s="2822"/>
      <c r="J9" s="2822"/>
      <c r="K9" s="2822"/>
      <c r="L9" s="2822"/>
      <c r="M9" s="2822"/>
      <c r="N9" s="2822"/>
      <c r="O9" s="2822"/>
      <c r="P9" s="2822"/>
      <c r="Q9" s="2822"/>
      <c r="R9" s="2822"/>
      <c r="S9" s="2822"/>
      <c r="T9" s="2822"/>
      <c r="U9" s="103"/>
      <c r="V9" s="103"/>
      <c r="W9" s="103"/>
      <c r="X9" s="103"/>
      <c r="Y9" s="103"/>
      <c r="Z9" s="103"/>
      <c r="AA9" s="103"/>
      <c r="AB9" s="103"/>
      <c r="AC9" s="103"/>
    </row>
    <row r="10" spans="1:29" ht="24" customHeight="1">
      <c r="A10" s="2857" t="s">
        <v>3657</v>
      </c>
      <c r="B10" s="2857"/>
      <c r="C10" s="2857"/>
      <c r="D10" s="2857"/>
      <c r="E10" s="2857"/>
      <c r="F10" s="2857"/>
      <c r="G10" s="2857"/>
      <c r="H10" s="2857"/>
      <c r="I10" s="2857"/>
      <c r="J10" s="2857"/>
      <c r="K10" s="2857"/>
      <c r="L10" s="2857"/>
      <c r="M10" s="2857"/>
      <c r="N10" s="2857"/>
      <c r="O10" s="2857"/>
      <c r="P10" s="2857"/>
      <c r="Q10" s="2857"/>
      <c r="R10" s="2857"/>
      <c r="S10" s="2857"/>
      <c r="T10" s="2857"/>
      <c r="U10" s="103"/>
      <c r="V10" s="103"/>
      <c r="W10" s="103"/>
      <c r="X10" s="103"/>
      <c r="Y10" s="103"/>
      <c r="Z10" s="103"/>
      <c r="AA10" s="103"/>
      <c r="AB10" s="103"/>
      <c r="AC10" s="103"/>
    </row>
    <row r="11" spans="1:29" ht="21" customHeight="1">
      <c r="A11" s="221" t="s">
        <v>3614</v>
      </c>
      <c r="B11" s="877"/>
      <c r="C11" s="354"/>
      <c r="D11" s="354"/>
      <c r="E11" s="354"/>
      <c r="F11" s="354"/>
      <c r="G11" s="354"/>
      <c r="H11" s="354"/>
      <c r="I11" s="354"/>
      <c r="J11" s="513"/>
      <c r="K11" s="221"/>
      <c r="L11" s="278"/>
      <c r="M11" s="1525"/>
      <c r="N11" s="278"/>
      <c r="O11" s="278"/>
      <c r="P11" s="1525"/>
      <c r="Q11" s="278"/>
      <c r="R11" s="1525"/>
      <c r="S11" s="878"/>
      <c r="T11" s="103"/>
      <c r="U11" s="286"/>
      <c r="V11" s="2858"/>
      <c r="W11" s="2858"/>
      <c r="X11" s="2858"/>
      <c r="Y11" s="2858"/>
      <c r="Z11" s="286"/>
      <c r="AA11" s="286"/>
      <c r="AB11" s="1548"/>
      <c r="AC11" s="103"/>
    </row>
    <row r="12" spans="1:29" s="287" customFormat="1" ht="39" customHeight="1">
      <c r="A12" s="2691" t="s">
        <v>728</v>
      </c>
      <c r="B12" s="2691" t="s">
        <v>1899</v>
      </c>
      <c r="C12" s="2717" t="s">
        <v>1064</v>
      </c>
      <c r="D12" s="2717" t="s">
        <v>1065</v>
      </c>
      <c r="E12" s="2715" t="s">
        <v>1081</v>
      </c>
      <c r="F12" s="2715" t="s">
        <v>1173</v>
      </c>
      <c r="G12" s="2820" t="s">
        <v>2335</v>
      </c>
      <c r="H12" s="2821" t="s">
        <v>2042</v>
      </c>
      <c r="I12" s="2715" t="s">
        <v>2882</v>
      </c>
      <c r="J12" s="2715" t="s">
        <v>2883</v>
      </c>
      <c r="K12" s="2691" t="s">
        <v>1915</v>
      </c>
      <c r="L12" s="2691" t="s">
        <v>1917</v>
      </c>
      <c r="M12" s="2692" t="s">
        <v>3824</v>
      </c>
      <c r="N12" s="2818" t="s">
        <v>3835</v>
      </c>
      <c r="O12" s="2691" t="s">
        <v>2881</v>
      </c>
      <c r="P12" s="2692" t="s">
        <v>3825</v>
      </c>
      <c r="Q12" s="2691" t="s">
        <v>3823</v>
      </c>
      <c r="R12" s="2692" t="s">
        <v>3826</v>
      </c>
      <c r="S12" s="2691" t="s">
        <v>1937</v>
      </c>
      <c r="T12" s="2691" t="s">
        <v>2731</v>
      </c>
      <c r="U12" s="2829"/>
      <c r="V12" s="2713" t="s">
        <v>729</v>
      </c>
      <c r="W12" s="2713" t="s">
        <v>1083</v>
      </c>
      <c r="X12" s="2713" t="s">
        <v>730</v>
      </c>
      <c r="Y12" s="2713"/>
      <c r="Z12" s="2713"/>
      <c r="AA12" s="2713"/>
      <c r="AB12" s="2713"/>
      <c r="AC12" s="2829" t="s">
        <v>731</v>
      </c>
    </row>
    <row r="13" spans="1:29" s="287" customFormat="1" ht="32.4" customHeight="1">
      <c r="A13" s="2691"/>
      <c r="B13" s="2691"/>
      <c r="C13" s="2717"/>
      <c r="D13" s="2717"/>
      <c r="E13" s="2715"/>
      <c r="F13" s="2715"/>
      <c r="G13" s="2820"/>
      <c r="H13" s="2821"/>
      <c r="I13" s="2715"/>
      <c r="J13" s="2715"/>
      <c r="K13" s="2691"/>
      <c r="L13" s="2691"/>
      <c r="M13" s="2692"/>
      <c r="N13" s="2819"/>
      <c r="O13" s="2691"/>
      <c r="P13" s="2692"/>
      <c r="Q13" s="2691"/>
      <c r="R13" s="2692"/>
      <c r="S13" s="2796"/>
      <c r="T13" s="2691"/>
      <c r="U13" s="2829"/>
      <c r="V13" s="2713"/>
      <c r="W13" s="2713"/>
      <c r="X13" s="203">
        <v>2024</v>
      </c>
      <c r="Y13" s="203">
        <v>2025</v>
      </c>
      <c r="Z13" s="203">
        <v>2026</v>
      </c>
      <c r="AA13" s="404">
        <v>2027</v>
      </c>
      <c r="AB13" s="404">
        <v>2028</v>
      </c>
      <c r="AC13" s="2829"/>
    </row>
    <row r="14" spans="1:29" ht="87.75" customHeight="1">
      <c r="A14" s="196" t="s">
        <v>1939</v>
      </c>
      <c r="B14" s="663" t="s">
        <v>3951</v>
      </c>
      <c r="C14" s="196"/>
      <c r="D14" s="196"/>
      <c r="E14" s="196">
        <f>SUM(E20,E85)</f>
        <v>14896.321999999998</v>
      </c>
      <c r="F14" s="288">
        <f>(H14-E14)/E14</f>
        <v>2.9956589284254223E-2</v>
      </c>
      <c r="G14" s="196">
        <f>SUM(G20,G85)</f>
        <v>14280.704000000002</v>
      </c>
      <c r="H14" s="289">
        <f>SUM(H20,H85)</f>
        <v>15342.564999999999</v>
      </c>
      <c r="I14" s="289"/>
      <c r="J14" s="322"/>
      <c r="K14" s="289">
        <f>SUM(K20,K85)</f>
        <v>17458.853999999999</v>
      </c>
      <c r="L14" s="289">
        <f>SUM(L20,L85)</f>
        <v>19012.040999999997</v>
      </c>
      <c r="M14" s="1526">
        <f>SUM(M20,M85)</f>
        <v>17294.881000000001</v>
      </c>
      <c r="N14" s="2078">
        <f>SUM(L14-K14)/K14</f>
        <v>8.89627119855632E-2</v>
      </c>
      <c r="O14" s="289">
        <f>SUM(O20,O85)</f>
        <v>19337.942249999996</v>
      </c>
      <c r="P14" s="1526">
        <f>SUM(P20,P85)</f>
        <v>10741.134999999998</v>
      </c>
      <c r="Q14" s="289">
        <f>SUM(Q20,Q85)</f>
        <v>19724.636362499998</v>
      </c>
      <c r="R14" s="1526">
        <f>SUM(R20,R85)</f>
        <v>18252.800999999999</v>
      </c>
      <c r="S14" s="173" t="s">
        <v>852</v>
      </c>
      <c r="T14" s="196"/>
      <c r="U14" s="2829"/>
      <c r="V14" s="290" t="s">
        <v>1746</v>
      </c>
      <c r="W14" s="663" t="s">
        <v>3952</v>
      </c>
      <c r="X14" s="290">
        <v>34</v>
      </c>
      <c r="Y14" s="290">
        <v>34</v>
      </c>
      <c r="Z14" s="290">
        <v>34</v>
      </c>
      <c r="AA14" s="290">
        <v>34</v>
      </c>
      <c r="AB14" s="196">
        <v>34</v>
      </c>
      <c r="AC14" s="2766" t="s">
        <v>2161</v>
      </c>
    </row>
    <row r="15" spans="1:29" ht="39" customHeight="1">
      <c r="A15" s="2791" t="s">
        <v>1924</v>
      </c>
      <c r="B15" s="2695" t="s">
        <v>1102</v>
      </c>
      <c r="C15" s="2817" t="s">
        <v>1071</v>
      </c>
      <c r="D15" s="292" t="s">
        <v>470</v>
      </c>
      <c r="E15" s="213">
        <f>SUM(E21,E26,E31,E36,E41,E46,E51,E55,E60,E66,E71,E75)</f>
        <v>5936.5099999999993</v>
      </c>
      <c r="F15" s="291">
        <f>H15/E15-1</f>
        <v>-0.13804575415521902</v>
      </c>
      <c r="G15" s="213">
        <f>SUM(G21,G26,G31,G36,G41,G46,G51,G55,G60,G66,G71,G75)</f>
        <v>4657.0030000000006</v>
      </c>
      <c r="H15" s="213">
        <f>SUM(H21,H26,H31,H36,H41,H46,H51,H55,H60,H66,H71,H75)</f>
        <v>5117</v>
      </c>
      <c r="I15" s="442">
        <f>K15/H15-1</f>
        <v>8.7754543677936114E-2</v>
      </c>
      <c r="J15" s="216">
        <f t="shared" ref="J15:M15" si="0">SUM(J21,J26,J31,J36,J41,J46,J51,J55,J60,J66,J71,J75)</f>
        <v>5557.47</v>
      </c>
      <c r="K15" s="213">
        <f t="shared" si="0"/>
        <v>5566.0399999999991</v>
      </c>
      <c r="L15" s="213">
        <f>SUM(L21,L26,L31,L36,L41,L46,L51,L55,L60,L66,L71,L75)</f>
        <v>5475.329999999999</v>
      </c>
      <c r="M15" s="1527">
        <f t="shared" si="0"/>
        <v>5007.8080000000009</v>
      </c>
      <c r="N15" s="2079">
        <f t="shared" ref="N15:N78" si="1">SUM(L15-K15)/K15</f>
        <v>-1.6297044218151514E-2</v>
      </c>
      <c r="O15" s="213">
        <f>L15+(L15*5%)</f>
        <v>5749.0964999999987</v>
      </c>
      <c r="P15" s="1527">
        <f>SUM(P21,P26,P31,P36,P41,P46,P51,P55,P60,P66,P71,P75)</f>
        <v>0</v>
      </c>
      <c r="Q15" s="213">
        <f>O15+(O15*5%)</f>
        <v>6036.5513249999985</v>
      </c>
      <c r="R15" s="1527">
        <f>SUM(R21,R26,R31,R36,R41,R46,R51,R55,R60,R66,R71,R75)</f>
        <v>4985.6880000000001</v>
      </c>
      <c r="S15" s="2796" t="s">
        <v>2144</v>
      </c>
      <c r="T15" s="2704" t="s">
        <v>3953</v>
      </c>
      <c r="U15" s="2829"/>
      <c r="V15" s="2766" t="s">
        <v>1603</v>
      </c>
      <c r="W15" s="2694" t="s">
        <v>2790</v>
      </c>
      <c r="X15" s="2766" t="s">
        <v>577</v>
      </c>
      <c r="Y15" s="2766" t="s">
        <v>577</v>
      </c>
      <c r="Z15" s="2766" t="s">
        <v>3347</v>
      </c>
      <c r="AA15" s="2764" t="s">
        <v>3347</v>
      </c>
      <c r="AB15" s="2764" t="s">
        <v>3347</v>
      </c>
      <c r="AC15" s="2766"/>
    </row>
    <row r="16" spans="1:29" ht="30.75" customHeight="1">
      <c r="A16" s="2791"/>
      <c r="B16" s="2695"/>
      <c r="C16" s="2817"/>
      <c r="D16" s="292" t="s">
        <v>1070</v>
      </c>
      <c r="E16" s="213">
        <f>SUM(E22,E27,E32,E37,E42,E47,E52,E56,E61,E67,E72,E76)</f>
        <v>774.452</v>
      </c>
      <c r="F16" s="291">
        <f t="shared" ref="F16:F20" si="2">H16/E16-1</f>
        <v>4.6933831922443492E-2</v>
      </c>
      <c r="G16" s="213">
        <f>SUM(G22,G27,G32,G37,G42,G47,G52,G56,G61,G67,G72,G76)</f>
        <v>804.84500000000003</v>
      </c>
      <c r="H16" s="213">
        <f>SUM(H22,H27,H32,H37,H42,H47,H52,H56,H61,H67,H72,H76)</f>
        <v>810.80000000000018</v>
      </c>
      <c r="I16" s="442">
        <f t="shared" ref="I16:I19" si="3">K16/H16-1</f>
        <v>-9.8791317217563068E-2</v>
      </c>
      <c r="J16" s="216">
        <f>SUM(J22,J27,J32,J37,J42,J47,J52,J56,J61,J67,J72,J76)</f>
        <v>755.05000000000007</v>
      </c>
      <c r="K16" s="213">
        <f>SUM(K22,K27,K32,K37,K42,K47,K52,K56,K61,K67,K72,K76)</f>
        <v>730.7</v>
      </c>
      <c r="L16" s="213">
        <f>SUM(L22,L27,L32,L37,L42,L47,L52,L56,L61,L67,L72,L76)</f>
        <v>655.4</v>
      </c>
      <c r="M16" s="1527">
        <f>SUM(M22,M27,M32,M37,M42,M47,M52,M56,M61,M67,M72,M76)</f>
        <v>655.4</v>
      </c>
      <c r="N16" s="2079">
        <f t="shared" si="1"/>
        <v>-0.10305186807171214</v>
      </c>
      <c r="O16" s="213">
        <f>SUM(O22,O27,O32,O37,O42,O47,O52,O56,O61,O67,O72,O76)</f>
        <v>669</v>
      </c>
      <c r="P16" s="1527">
        <f>SUM(P22,P27,P32,P37,P42,P47,P52,P56,P61,P67,P72,P76)</f>
        <v>669</v>
      </c>
      <c r="Q16" s="213">
        <f>SUM(Q22,Q27,Q32,Q37,Q42,Q47,Q52,Q56,Q61,Q67,Q72,Q76)</f>
        <v>687</v>
      </c>
      <c r="R16" s="1527">
        <f>SUM(R22,R27,R32,R37,R42,R47,R52,R56,R61,R67,R72,R76)</f>
        <v>687</v>
      </c>
      <c r="S16" s="2796"/>
      <c r="T16" s="2704"/>
      <c r="U16" s="2829"/>
      <c r="V16" s="2766"/>
      <c r="W16" s="2694"/>
      <c r="X16" s="2766"/>
      <c r="Y16" s="2766"/>
      <c r="Z16" s="2766"/>
      <c r="AA16" s="2764"/>
      <c r="AB16" s="2764"/>
      <c r="AC16" s="2766"/>
    </row>
    <row r="17" spans="1:29" ht="28.5" customHeight="1">
      <c r="A17" s="2791"/>
      <c r="B17" s="2695"/>
      <c r="C17" s="2817"/>
      <c r="D17" s="292" t="s">
        <v>2824</v>
      </c>
      <c r="E17" s="213"/>
      <c r="F17" s="291"/>
      <c r="G17" s="213"/>
      <c r="H17" s="213">
        <f>SUM(H28,H38,H48,H57,H62,H68,)</f>
        <v>13.554000000000002</v>
      </c>
      <c r="I17" s="442">
        <f>K17/H17-1</f>
        <v>1.1464512321086024</v>
      </c>
      <c r="J17" s="216">
        <f t="shared" ref="J17" si="4">SUM(J28,J38,J48,J57,J62,J68,)</f>
        <v>0</v>
      </c>
      <c r="K17" s="213">
        <f>SUM(K28,K38,K48,K57,K62,K68,K33,K43,)</f>
        <v>29.093</v>
      </c>
      <c r="L17" s="213">
        <f>SUM(L28,L38,L48,L57,L62,L68,L33,L43,L23,)</f>
        <v>38.835999999999999</v>
      </c>
      <c r="M17" s="1527">
        <f>SUM(M28,M38,M48,M57,M62,M68,M33,M43,)</f>
        <v>0</v>
      </c>
      <c r="N17" s="2079">
        <f t="shared" si="1"/>
        <v>0.3348915546695081</v>
      </c>
      <c r="O17" s="213">
        <f t="shared" ref="O17" si="5">SUM(O28,O38,O48,O57,O62,O68,O33,O43,)</f>
        <v>0</v>
      </c>
      <c r="P17" s="1527">
        <f>SUM(P28,P38,P48,P57,P62,P68,P33,P43,)</f>
        <v>0</v>
      </c>
      <c r="Q17" s="213">
        <f t="shared" ref="Q17" si="6">SUM(Q28,Q38,Q48,Q57,Q62,Q68,Q33,Q43,)</f>
        <v>0</v>
      </c>
      <c r="R17" s="1527">
        <f>SUM(R28,R38,R48,R57,R62,R68,R33,R43,)</f>
        <v>0</v>
      </c>
      <c r="S17" s="2796"/>
      <c r="T17" s="2704"/>
      <c r="U17" s="2829"/>
      <c r="V17" s="2766"/>
      <c r="W17" s="2694"/>
      <c r="X17" s="2766"/>
      <c r="Y17" s="2766"/>
      <c r="Z17" s="2766"/>
      <c r="AA17" s="2764"/>
      <c r="AB17" s="2764"/>
      <c r="AC17" s="2766"/>
    </row>
    <row r="18" spans="1:29" ht="27.75" customHeight="1">
      <c r="A18" s="2791"/>
      <c r="B18" s="2695"/>
      <c r="C18" s="2817"/>
      <c r="D18" s="292" t="s">
        <v>1111</v>
      </c>
      <c r="E18" s="213">
        <f>SUM(E24,E29,E34,E39,E44,E49,E53,E58,E63,E69,E73,E77)</f>
        <v>35</v>
      </c>
      <c r="F18" s="291">
        <f t="shared" si="2"/>
        <v>-1</v>
      </c>
      <c r="G18" s="213">
        <f>SUM(G24,G29,G34,G39,G44,G49,G53,G58,G63,G69,G73,G77)</f>
        <v>36.332999999999998</v>
      </c>
      <c r="H18" s="213">
        <v>0</v>
      </c>
      <c r="I18" s="442"/>
      <c r="J18" s="216"/>
      <c r="K18" s="213"/>
      <c r="L18" s="213"/>
      <c r="M18" s="1527"/>
      <c r="N18" s="2079"/>
      <c r="O18" s="213"/>
      <c r="P18" s="1527"/>
      <c r="Q18" s="213"/>
      <c r="R18" s="1527"/>
      <c r="S18" s="2796"/>
      <c r="T18" s="2704"/>
      <c r="U18" s="2829"/>
      <c r="V18" s="2766"/>
      <c r="W18" s="2694"/>
      <c r="X18" s="2766"/>
      <c r="Y18" s="2766"/>
      <c r="Z18" s="2766"/>
      <c r="AA18" s="2764"/>
      <c r="AB18" s="2764"/>
      <c r="AC18" s="2766"/>
    </row>
    <row r="19" spans="1:29" ht="27.75" customHeight="1">
      <c r="A19" s="2791"/>
      <c r="B19" s="2695"/>
      <c r="C19" s="2817"/>
      <c r="D19" s="292" t="s">
        <v>710</v>
      </c>
      <c r="E19" s="213"/>
      <c r="F19" s="291"/>
      <c r="G19" s="213">
        <f>G77</f>
        <v>0.33300000000000002</v>
      </c>
      <c r="H19" s="213">
        <f t="shared" ref="H19" si="7">H77</f>
        <v>0.33300000000000002</v>
      </c>
      <c r="I19" s="442">
        <f t="shared" si="3"/>
        <v>10.984984984984985</v>
      </c>
      <c r="J19" s="216">
        <f>SUM(J24,J29,J34,J39,J44,J49,J53,J58,J64,J69,J73,J77,)</f>
        <v>3.9910000000000001</v>
      </c>
      <c r="K19" s="213">
        <f>SUM(K24,K29,K34,K39,K44,K49,K53,K58,K64,K69,K73,K77,)</f>
        <v>3.9910000000000001</v>
      </c>
      <c r="L19" s="213">
        <f>SUM(L24,L29,L34,L39,L44,L49,L53,L58,L64,L69,L73,L77,)</f>
        <v>4.07</v>
      </c>
      <c r="M19" s="1527">
        <f>SUM(M24,M29,M34,M39,M44,M49,M53,M58,M64,M69,M73,M77,)</f>
        <v>2.2319999999999998</v>
      </c>
      <c r="N19" s="2079">
        <f t="shared" si="1"/>
        <v>1.9794537709847199E-2</v>
      </c>
      <c r="O19" s="213">
        <f>SUM(O24,O29,O34,O39,O44,O49,O53,O58,O64,O69,O73,O77,)</f>
        <v>4.07</v>
      </c>
      <c r="P19" s="1527">
        <f>SUM(P24,P29,P34,P39,P44,P49,P53,P58,P64,P69,P73,P77,)</f>
        <v>1.7</v>
      </c>
      <c r="Q19" s="213">
        <f>SUM(Q24,Q29,Q34,Q39,Q44,Q49,Q53,Q58,Q64,Q69,Q73,Q77,)</f>
        <v>4.07</v>
      </c>
      <c r="R19" s="1527">
        <f>SUM(R24,R29,R34,R39,R44,R49,R53,R58,R64,R69,R73,R77,)</f>
        <v>1.61</v>
      </c>
      <c r="S19" s="2796"/>
      <c r="T19" s="2704"/>
      <c r="U19" s="2829"/>
      <c r="V19" s="2766"/>
      <c r="W19" s="2694"/>
      <c r="X19" s="2766"/>
      <c r="Y19" s="2766"/>
      <c r="Z19" s="2766"/>
      <c r="AA19" s="2764"/>
      <c r="AB19" s="2764"/>
      <c r="AC19" s="2766"/>
    </row>
    <row r="20" spans="1:29" ht="39" customHeight="1">
      <c r="A20" s="2791"/>
      <c r="B20" s="2695"/>
      <c r="C20" s="2817"/>
      <c r="D20" s="293" t="s">
        <v>1110</v>
      </c>
      <c r="E20" s="212">
        <f>SUM(E15:E19)</f>
        <v>6745.9619999999995</v>
      </c>
      <c r="F20" s="294">
        <f t="shared" si="2"/>
        <v>-0.11922317380382508</v>
      </c>
      <c r="G20" s="212">
        <f>SUM(G15:G19)</f>
        <v>5498.5140000000001</v>
      </c>
      <c r="H20" s="212">
        <f>SUM(H15:H19)</f>
        <v>5941.6869999999999</v>
      </c>
      <c r="I20" s="452">
        <f>K20/H20-1</f>
        <v>6.5324376730042877E-2</v>
      </c>
      <c r="J20" s="257">
        <f t="shared" ref="J20" si="8">SUM(J15:J19)</f>
        <v>6316.5110000000004</v>
      </c>
      <c r="K20" s="212">
        <f>SUM(K15:K19)</f>
        <v>6329.8239999999987</v>
      </c>
      <c r="L20" s="212">
        <f t="shared" ref="L20:O20" si="9">SUM(L15:L19)</f>
        <v>6173.6359999999986</v>
      </c>
      <c r="M20" s="1528">
        <f t="shared" ref="M20" si="10">SUM(M15:M19)</f>
        <v>5665.4400000000005</v>
      </c>
      <c r="N20" s="2080">
        <f t="shared" si="1"/>
        <v>-2.4674935669617374E-2</v>
      </c>
      <c r="O20" s="212">
        <f>SUM(O15:O19)</f>
        <v>6422.1664999999985</v>
      </c>
      <c r="P20" s="1528">
        <f t="shared" ref="P20:Q20" si="11">SUM(P15:P19)</f>
        <v>670.7</v>
      </c>
      <c r="Q20" s="212">
        <f>SUM(Q15:Q19)</f>
        <v>6727.6213249999983</v>
      </c>
      <c r="R20" s="1528">
        <f t="shared" ref="R20" si="12">SUM(R15:R19)</f>
        <v>5674.2979999999998</v>
      </c>
      <c r="S20" s="2796"/>
      <c r="T20" s="2704"/>
      <c r="U20" s="2829"/>
      <c r="V20" s="2766"/>
      <c r="W20" s="2694"/>
      <c r="X20" s="2766"/>
      <c r="Y20" s="2766"/>
      <c r="Z20" s="2766"/>
      <c r="AA20" s="2764"/>
      <c r="AB20" s="2764"/>
      <c r="AC20" s="2766"/>
    </row>
    <row r="21" spans="1:29" ht="39" hidden="1" customHeight="1">
      <c r="A21" s="2843"/>
      <c r="B21" s="2826" t="s">
        <v>4000</v>
      </c>
      <c r="C21" s="2847" t="s">
        <v>1614</v>
      </c>
      <c r="D21" s="2090" t="s">
        <v>470</v>
      </c>
      <c r="E21" s="456">
        <v>482.56</v>
      </c>
      <c r="F21" s="457"/>
      <c r="G21" s="445">
        <v>401.17500000000001</v>
      </c>
      <c r="H21" s="445">
        <f>506.28-0.08</f>
        <v>506.2</v>
      </c>
      <c r="I21" s="445"/>
      <c r="J21" s="447">
        <v>578.95000000000005</v>
      </c>
      <c r="K21" s="445">
        <v>513.92999999999995</v>
      </c>
      <c r="L21" s="1824">
        <v>424.29</v>
      </c>
      <c r="M21" s="1529">
        <v>438.99</v>
      </c>
      <c r="N21" s="557">
        <f t="shared" si="1"/>
        <v>-0.17442064094331902</v>
      </c>
      <c r="O21" s="1529"/>
      <c r="P21" s="1529"/>
      <c r="Q21" s="1529"/>
      <c r="R21" s="1529">
        <v>455.57100000000003</v>
      </c>
      <c r="S21" s="2796"/>
      <c r="T21" s="2767"/>
      <c r="U21" s="2829"/>
      <c r="V21" s="2770"/>
      <c r="W21" s="2771"/>
      <c r="X21" s="2771"/>
      <c r="Y21" s="2771"/>
      <c r="Z21" s="2771"/>
      <c r="AA21" s="2771"/>
      <c r="AB21" s="2772"/>
      <c r="AC21" s="2766"/>
    </row>
    <row r="22" spans="1:29" ht="39" hidden="1" customHeight="1">
      <c r="A22" s="2843"/>
      <c r="B22" s="2826"/>
      <c r="C22" s="2847"/>
      <c r="D22" s="2090" t="s">
        <v>1070</v>
      </c>
      <c r="E22" s="456">
        <f>92.3+0.865</f>
        <v>93.164999999999992</v>
      </c>
      <c r="F22" s="457"/>
      <c r="G22" s="445">
        <v>81.599999999999994</v>
      </c>
      <c r="H22" s="445">
        <v>98.4</v>
      </c>
      <c r="I22" s="445"/>
      <c r="J22" s="447">
        <v>85.2</v>
      </c>
      <c r="K22" s="445">
        <v>81.900000000000006</v>
      </c>
      <c r="L22" s="445">
        <v>67.8</v>
      </c>
      <c r="M22" s="1529">
        <v>67.8</v>
      </c>
      <c r="N22" s="557">
        <f t="shared" si="1"/>
        <v>-0.17216117216117224</v>
      </c>
      <c r="O22" s="445">
        <f>P22</f>
        <v>69.099999999999994</v>
      </c>
      <c r="P22" s="1529">
        <v>69.099999999999994</v>
      </c>
      <c r="Q22" s="445">
        <f>R22</f>
        <v>71.099999999999994</v>
      </c>
      <c r="R22" s="1958">
        <v>71.099999999999994</v>
      </c>
      <c r="S22" s="2796"/>
      <c r="T22" s="2768"/>
      <c r="U22" s="2829"/>
      <c r="V22" s="2773"/>
      <c r="W22" s="2774"/>
      <c r="X22" s="2774"/>
      <c r="Y22" s="2774"/>
      <c r="Z22" s="2774"/>
      <c r="AA22" s="2774"/>
      <c r="AB22" s="2775"/>
      <c r="AC22" s="2766"/>
    </row>
    <row r="23" spans="1:29" ht="39" hidden="1" customHeight="1">
      <c r="A23" s="2843"/>
      <c r="B23" s="2826"/>
      <c r="C23" s="2847"/>
      <c r="D23" s="2090" t="s">
        <v>3440</v>
      </c>
      <c r="E23" s="456"/>
      <c r="F23" s="457"/>
      <c r="G23" s="445"/>
      <c r="H23" s="445"/>
      <c r="I23" s="445"/>
      <c r="J23" s="447"/>
      <c r="K23" s="445"/>
      <c r="L23" s="445">
        <v>5.5060000000000002</v>
      </c>
      <c r="M23" s="1529"/>
      <c r="N23" s="557" t="e">
        <f t="shared" si="1"/>
        <v>#DIV/0!</v>
      </c>
      <c r="O23" s="445"/>
      <c r="P23" s="1529"/>
      <c r="Q23" s="445"/>
      <c r="R23" s="1958"/>
      <c r="S23" s="2796"/>
      <c r="T23" s="2768"/>
      <c r="U23" s="2829"/>
      <c r="V23" s="2773"/>
      <c r="W23" s="2774"/>
      <c r="X23" s="2774"/>
      <c r="Y23" s="2774"/>
      <c r="Z23" s="2774"/>
      <c r="AA23" s="2774"/>
      <c r="AB23" s="2775"/>
      <c r="AC23" s="2766"/>
    </row>
    <row r="24" spans="1:29" ht="39" hidden="1" customHeight="1">
      <c r="A24" s="2843"/>
      <c r="B24" s="2826"/>
      <c r="C24" s="2847"/>
      <c r="D24" s="2090" t="s">
        <v>710</v>
      </c>
      <c r="E24" s="445"/>
      <c r="F24" s="457"/>
      <c r="G24" s="445"/>
      <c r="H24" s="458"/>
      <c r="I24" s="458"/>
      <c r="J24" s="447">
        <v>0.621</v>
      </c>
      <c r="K24" s="445">
        <v>0.621</v>
      </c>
      <c r="L24" s="445">
        <v>0.7</v>
      </c>
      <c r="M24" s="1529"/>
      <c r="N24" s="557">
        <f t="shared" si="1"/>
        <v>0.12721417069243149</v>
      </c>
      <c r="O24" s="1529">
        <v>0.7</v>
      </c>
      <c r="P24" s="1529"/>
      <c r="Q24" s="1529">
        <v>0.7</v>
      </c>
      <c r="R24" s="1529"/>
      <c r="S24" s="2796"/>
      <c r="T24" s="2768"/>
      <c r="U24" s="2829"/>
      <c r="V24" s="2773"/>
      <c r="W24" s="2774"/>
      <c r="X24" s="2774"/>
      <c r="Y24" s="2774"/>
      <c r="Z24" s="2774"/>
      <c r="AA24" s="2774"/>
      <c r="AB24" s="2775"/>
      <c r="AC24" s="2766"/>
    </row>
    <row r="25" spans="1:29" ht="39" hidden="1" customHeight="1">
      <c r="A25" s="2843"/>
      <c r="B25" s="2826"/>
      <c r="C25" s="2847"/>
      <c r="D25" s="1825" t="s">
        <v>1110</v>
      </c>
      <c r="E25" s="1826">
        <f>SUM(E21:E24)</f>
        <v>575.72500000000002</v>
      </c>
      <c r="F25" s="1827"/>
      <c r="G25" s="1826">
        <f>SUM(G21:G24)</f>
        <v>482.77499999999998</v>
      </c>
      <c r="H25" s="1826">
        <f>SUM(H21:H24)</f>
        <v>604.6</v>
      </c>
      <c r="I25" s="1826"/>
      <c r="J25" s="1828">
        <f>SUM(J21:J24)</f>
        <v>664.77100000000007</v>
      </c>
      <c r="K25" s="1826">
        <f t="shared" ref="K25:O25" si="13">SUM(K21:K24)</f>
        <v>596.45099999999991</v>
      </c>
      <c r="L25" s="1826">
        <f t="shared" si="13"/>
        <v>498.29599999999999</v>
      </c>
      <c r="M25" s="1829">
        <f>SUM(M21:M24)</f>
        <v>506.79</v>
      </c>
      <c r="N25" s="2072">
        <f t="shared" si="1"/>
        <v>-0.16456506905009788</v>
      </c>
      <c r="O25" s="1826">
        <f t="shared" si="13"/>
        <v>69.8</v>
      </c>
      <c r="P25" s="1829">
        <f t="shared" ref="P25:Q25" si="14">SUM(P21:P24)</f>
        <v>69.099999999999994</v>
      </c>
      <c r="Q25" s="1826">
        <f t="shared" si="14"/>
        <v>71.8</v>
      </c>
      <c r="R25" s="1829">
        <f t="shared" ref="R25" si="15">SUM(R21:R24)</f>
        <v>526.67100000000005</v>
      </c>
      <c r="S25" s="2796"/>
      <c r="T25" s="2768"/>
      <c r="U25" s="2829"/>
      <c r="V25" s="2773"/>
      <c r="W25" s="2774"/>
      <c r="X25" s="2774"/>
      <c r="Y25" s="2774"/>
      <c r="Z25" s="2774"/>
      <c r="AA25" s="2774"/>
      <c r="AB25" s="2775"/>
      <c r="AC25" s="2766"/>
    </row>
    <row r="26" spans="1:29" ht="39" hidden="1" customHeight="1">
      <c r="A26" s="2843"/>
      <c r="B26" s="2826" t="s">
        <v>4001</v>
      </c>
      <c r="C26" s="2847" t="s">
        <v>1615</v>
      </c>
      <c r="D26" s="2090" t="s">
        <v>470</v>
      </c>
      <c r="E26" s="445">
        <v>508.43</v>
      </c>
      <c r="F26" s="468"/>
      <c r="G26" s="445">
        <v>412.685</v>
      </c>
      <c r="H26" s="445">
        <f>576.08-0.1</f>
        <v>575.98</v>
      </c>
      <c r="I26" s="445"/>
      <c r="J26" s="445">
        <v>661.11599999999999</v>
      </c>
      <c r="K26" s="445">
        <v>635.16999999999996</v>
      </c>
      <c r="L26" s="445">
        <v>853.51</v>
      </c>
      <c r="M26" s="445">
        <v>487.63499999999999</v>
      </c>
      <c r="N26" s="557">
        <f t="shared" si="1"/>
        <v>0.34375049199426932</v>
      </c>
      <c r="O26" s="445"/>
      <c r="P26" s="445"/>
      <c r="Q26" s="445"/>
      <c r="R26" s="1529">
        <v>487.63499999999999</v>
      </c>
      <c r="S26" s="2796"/>
      <c r="T26" s="2768"/>
      <c r="U26" s="2829"/>
      <c r="V26" s="2773"/>
      <c r="W26" s="2774"/>
      <c r="X26" s="2774"/>
      <c r="Y26" s="2774"/>
      <c r="Z26" s="2774"/>
      <c r="AA26" s="2774"/>
      <c r="AB26" s="2775"/>
      <c r="AC26" s="2766"/>
    </row>
    <row r="27" spans="1:29" ht="39" hidden="1" customHeight="1">
      <c r="A27" s="2843"/>
      <c r="B27" s="2826"/>
      <c r="C27" s="2847"/>
      <c r="D27" s="2090" t="s">
        <v>1070</v>
      </c>
      <c r="E27" s="445">
        <f>122.2+7.272</f>
        <v>129.47200000000001</v>
      </c>
      <c r="F27" s="468"/>
      <c r="G27" s="445">
        <v>133</v>
      </c>
      <c r="H27" s="445">
        <f>125.9</f>
        <v>125.9</v>
      </c>
      <c r="I27" s="445"/>
      <c r="J27" s="445">
        <v>148</v>
      </c>
      <c r="K27" s="445">
        <v>148</v>
      </c>
      <c r="L27" s="445">
        <v>149.87</v>
      </c>
      <c r="M27" s="445">
        <v>149.87</v>
      </c>
      <c r="N27" s="557">
        <f t="shared" si="1"/>
        <v>1.2635135135135166E-2</v>
      </c>
      <c r="O27" s="445">
        <f>P27</f>
        <v>152.55000000000001</v>
      </c>
      <c r="P27" s="445">
        <v>152.55000000000001</v>
      </c>
      <c r="Q27" s="445">
        <f>R27</f>
        <v>156.69999999999999</v>
      </c>
      <c r="R27" s="1958">
        <v>156.69999999999999</v>
      </c>
      <c r="S27" s="2796"/>
      <c r="T27" s="2768"/>
      <c r="U27" s="2829"/>
      <c r="V27" s="2773"/>
      <c r="W27" s="2774"/>
      <c r="X27" s="2774"/>
      <c r="Y27" s="2774"/>
      <c r="Z27" s="2774"/>
      <c r="AA27" s="2774"/>
      <c r="AB27" s="2775"/>
      <c r="AC27" s="2766"/>
    </row>
    <row r="28" spans="1:29" ht="39" hidden="1" customHeight="1">
      <c r="A28" s="2843"/>
      <c r="B28" s="2826"/>
      <c r="C28" s="2847"/>
      <c r="D28" s="2090" t="s">
        <v>3440</v>
      </c>
      <c r="E28" s="445"/>
      <c r="F28" s="468"/>
      <c r="G28" s="445"/>
      <c r="H28" s="445">
        <v>9.6470000000000002</v>
      </c>
      <c r="I28" s="445"/>
      <c r="J28" s="445"/>
      <c r="K28" s="445">
        <v>11.135</v>
      </c>
      <c r="L28" s="445">
        <v>17.600999999999999</v>
      </c>
      <c r="M28" s="445">
        <v>0</v>
      </c>
      <c r="N28" s="557">
        <f t="shared" si="1"/>
        <v>0.58069151324651991</v>
      </c>
      <c r="O28" s="445"/>
      <c r="P28" s="445"/>
      <c r="Q28" s="445"/>
      <c r="R28" s="1529">
        <v>0</v>
      </c>
      <c r="S28" s="2796"/>
      <c r="T28" s="2768"/>
      <c r="U28" s="2829"/>
      <c r="V28" s="2773"/>
      <c r="W28" s="2774"/>
      <c r="X28" s="2774"/>
      <c r="Y28" s="2774"/>
      <c r="Z28" s="2774"/>
      <c r="AA28" s="2774"/>
      <c r="AB28" s="2775"/>
      <c r="AC28" s="2766"/>
    </row>
    <row r="29" spans="1:29" ht="39" hidden="1" customHeight="1">
      <c r="A29" s="2843"/>
      <c r="B29" s="2826"/>
      <c r="C29" s="2847"/>
      <c r="D29" s="455" t="s">
        <v>710</v>
      </c>
      <c r="E29" s="445"/>
      <c r="F29" s="457"/>
      <c r="G29" s="445"/>
      <c r="H29" s="445"/>
      <c r="I29" s="445"/>
      <c r="J29" s="447"/>
      <c r="K29" s="445"/>
      <c r="L29" s="445"/>
      <c r="M29" s="1529"/>
      <c r="N29" s="557" t="e">
        <f t="shared" si="1"/>
        <v>#DIV/0!</v>
      </c>
      <c r="O29" s="445"/>
      <c r="P29" s="1529">
        <v>0</v>
      </c>
      <c r="Q29" s="445"/>
      <c r="R29" s="1529"/>
      <c r="S29" s="2796"/>
      <c r="T29" s="2768"/>
      <c r="U29" s="2829"/>
      <c r="V29" s="2773"/>
      <c r="W29" s="2774"/>
      <c r="X29" s="2774"/>
      <c r="Y29" s="2774"/>
      <c r="Z29" s="2774"/>
      <c r="AA29" s="2774"/>
      <c r="AB29" s="2775"/>
      <c r="AC29" s="2766"/>
    </row>
    <row r="30" spans="1:29" ht="39" hidden="1" customHeight="1">
      <c r="A30" s="2843"/>
      <c r="B30" s="2826"/>
      <c r="C30" s="2847"/>
      <c r="D30" s="1825" t="s">
        <v>1110</v>
      </c>
      <c r="E30" s="1826">
        <f>SUM(E26:E29)</f>
        <v>637.90200000000004</v>
      </c>
      <c r="F30" s="1827"/>
      <c r="G30" s="1826">
        <f t="shared" ref="G30" si="16">SUM(G26:G29)</f>
        <v>545.68499999999995</v>
      </c>
      <c r="H30" s="1826">
        <f t="shared" ref="H30:O30" si="17">SUM(H26:H29)</f>
        <v>711.52700000000004</v>
      </c>
      <c r="I30" s="1826"/>
      <c r="J30" s="1828">
        <f t="shared" si="17"/>
        <v>809.11599999999999</v>
      </c>
      <c r="K30" s="1826">
        <f t="shared" si="17"/>
        <v>794.30499999999995</v>
      </c>
      <c r="L30" s="1826">
        <f t="shared" si="17"/>
        <v>1020.981</v>
      </c>
      <c r="M30" s="1829">
        <f t="shared" ref="M30" si="18">SUM(M26:M29)</f>
        <v>637.505</v>
      </c>
      <c r="N30" s="2072">
        <f t="shared" si="1"/>
        <v>0.28537652413115877</v>
      </c>
      <c r="O30" s="1826">
        <f t="shared" si="17"/>
        <v>152.55000000000001</v>
      </c>
      <c r="P30" s="1829">
        <f t="shared" ref="P30:Q30" si="19">SUM(P26:P29)</f>
        <v>152.55000000000001</v>
      </c>
      <c r="Q30" s="1826">
        <f t="shared" si="19"/>
        <v>156.69999999999999</v>
      </c>
      <c r="R30" s="1829">
        <f t="shared" ref="R30" si="20">SUM(R26:R29)</f>
        <v>644.33500000000004</v>
      </c>
      <c r="S30" s="2796"/>
      <c r="T30" s="2768"/>
      <c r="U30" s="2829"/>
      <c r="V30" s="2773"/>
      <c r="W30" s="2774"/>
      <c r="X30" s="2774"/>
      <c r="Y30" s="2774"/>
      <c r="Z30" s="2774"/>
      <c r="AA30" s="2774"/>
      <c r="AB30" s="2775"/>
      <c r="AC30" s="2766"/>
    </row>
    <row r="31" spans="1:29" ht="39" hidden="1" customHeight="1">
      <c r="A31" s="2843"/>
      <c r="B31" s="2826" t="s">
        <v>1105</v>
      </c>
      <c r="C31" s="2847" t="s">
        <v>1616</v>
      </c>
      <c r="D31" s="2090" t="s">
        <v>470</v>
      </c>
      <c r="E31" s="445">
        <v>447.77</v>
      </c>
      <c r="F31" s="468"/>
      <c r="G31" s="445">
        <v>349.54</v>
      </c>
      <c r="H31" s="445">
        <v>487.73</v>
      </c>
      <c r="I31" s="445"/>
      <c r="J31" s="447">
        <v>503.17</v>
      </c>
      <c r="K31" s="445">
        <v>544.25</v>
      </c>
      <c r="L31" s="1824">
        <v>472.63</v>
      </c>
      <c r="M31" s="1529">
        <v>471.72</v>
      </c>
      <c r="N31" s="557">
        <f t="shared" si="1"/>
        <v>-0.13159393661001378</v>
      </c>
      <c r="O31" s="445"/>
      <c r="P31" s="1529"/>
      <c r="Q31" s="445"/>
      <c r="R31" s="1530">
        <v>463</v>
      </c>
      <c r="S31" s="2796"/>
      <c r="T31" s="2768"/>
      <c r="U31" s="2829"/>
      <c r="V31" s="2773"/>
      <c r="W31" s="2774"/>
      <c r="X31" s="2774"/>
      <c r="Y31" s="2774"/>
      <c r="Z31" s="2774"/>
      <c r="AA31" s="2774"/>
      <c r="AB31" s="2775"/>
      <c r="AC31" s="2766"/>
    </row>
    <row r="32" spans="1:29" ht="39" hidden="1" customHeight="1">
      <c r="A32" s="2843"/>
      <c r="B32" s="2826"/>
      <c r="C32" s="2847"/>
      <c r="D32" s="2090" t="s">
        <v>1070</v>
      </c>
      <c r="E32" s="2092">
        <f>96.7+2.28</f>
        <v>98.98</v>
      </c>
      <c r="F32" s="468"/>
      <c r="G32" s="445">
        <v>102.69</v>
      </c>
      <c r="H32" s="445">
        <v>104</v>
      </c>
      <c r="I32" s="445"/>
      <c r="J32" s="447">
        <v>100.1</v>
      </c>
      <c r="K32" s="445">
        <v>100.1</v>
      </c>
      <c r="L32" s="445">
        <v>83.85</v>
      </c>
      <c r="M32" s="1529">
        <v>83.85</v>
      </c>
      <c r="N32" s="557">
        <f t="shared" si="1"/>
        <v>-0.16233766233766234</v>
      </c>
      <c r="O32" s="445">
        <v>85.5</v>
      </c>
      <c r="P32" s="1529">
        <v>85.5</v>
      </c>
      <c r="Q32" s="445">
        <f>R32</f>
        <v>87.95</v>
      </c>
      <c r="R32" s="1959">
        <v>87.95</v>
      </c>
      <c r="S32" s="2796"/>
      <c r="T32" s="2768"/>
      <c r="U32" s="2829"/>
      <c r="V32" s="2773"/>
      <c r="W32" s="2774"/>
      <c r="X32" s="2774"/>
      <c r="Y32" s="2774"/>
      <c r="Z32" s="2774"/>
      <c r="AA32" s="2774"/>
      <c r="AB32" s="2775"/>
      <c r="AC32" s="2766"/>
    </row>
    <row r="33" spans="1:29" ht="39" hidden="1" customHeight="1">
      <c r="A33" s="2843"/>
      <c r="B33" s="2826"/>
      <c r="C33" s="2847"/>
      <c r="D33" s="2090" t="s">
        <v>2824</v>
      </c>
      <c r="E33" s="2092"/>
      <c r="F33" s="468"/>
      <c r="G33" s="445"/>
      <c r="H33" s="445"/>
      <c r="I33" s="445"/>
      <c r="J33" s="447"/>
      <c r="K33" s="445">
        <v>9.0449999999999999</v>
      </c>
      <c r="L33" s="445">
        <v>3.2309999999999999</v>
      </c>
      <c r="M33" s="1529"/>
      <c r="N33" s="557">
        <f t="shared" si="1"/>
        <v>-0.64278606965174134</v>
      </c>
      <c r="O33" s="445"/>
      <c r="P33" s="1529"/>
      <c r="Q33" s="445"/>
      <c r="R33" s="1530"/>
      <c r="S33" s="2796"/>
      <c r="T33" s="2768"/>
      <c r="U33" s="2829"/>
      <c r="V33" s="2773"/>
      <c r="W33" s="2774"/>
      <c r="X33" s="2774"/>
      <c r="Y33" s="2774"/>
      <c r="Z33" s="2774"/>
      <c r="AA33" s="2774"/>
      <c r="AB33" s="2775"/>
      <c r="AC33" s="2766"/>
    </row>
    <row r="34" spans="1:29" ht="39" hidden="1" customHeight="1">
      <c r="A34" s="2843"/>
      <c r="B34" s="2826"/>
      <c r="C34" s="2847"/>
      <c r="D34" s="455" t="s">
        <v>710</v>
      </c>
      <c r="E34" s="445"/>
      <c r="F34" s="457"/>
      <c r="G34" s="445"/>
      <c r="H34" s="445"/>
      <c r="I34" s="445"/>
      <c r="J34" s="447"/>
      <c r="K34" s="445"/>
      <c r="L34" s="445"/>
      <c r="M34" s="1529"/>
      <c r="N34" s="557" t="e">
        <f t="shared" si="1"/>
        <v>#DIV/0!</v>
      </c>
      <c r="O34" s="445"/>
      <c r="P34" s="1529"/>
      <c r="Q34" s="445"/>
      <c r="R34" s="1529"/>
      <c r="S34" s="2796"/>
      <c r="T34" s="2768"/>
      <c r="U34" s="2829"/>
      <c r="V34" s="2773"/>
      <c r="W34" s="2774"/>
      <c r="X34" s="2774"/>
      <c r="Y34" s="2774"/>
      <c r="Z34" s="2774"/>
      <c r="AA34" s="2774"/>
      <c r="AB34" s="2775"/>
      <c r="AC34" s="2766"/>
    </row>
    <row r="35" spans="1:29" ht="39" hidden="1" customHeight="1">
      <c r="A35" s="2843"/>
      <c r="B35" s="2826"/>
      <c r="C35" s="2847"/>
      <c r="D35" s="1825" t="s">
        <v>1110</v>
      </c>
      <c r="E35" s="1826">
        <f>SUM(E31:E34)</f>
        <v>546.75</v>
      </c>
      <c r="F35" s="1827"/>
      <c r="G35" s="1826">
        <f t="shared" ref="G35" si="21">SUM(G31:G34)</f>
        <v>452.23</v>
      </c>
      <c r="H35" s="1826">
        <f t="shared" ref="H35:O35" si="22">SUM(H31:H34)</f>
        <v>591.73</v>
      </c>
      <c r="I35" s="1826">
        <f t="shared" si="22"/>
        <v>0</v>
      </c>
      <c r="J35" s="1828">
        <f t="shared" si="22"/>
        <v>603.27</v>
      </c>
      <c r="K35" s="1826">
        <f t="shared" si="22"/>
        <v>653.39499999999998</v>
      </c>
      <c r="L35" s="1826">
        <f t="shared" si="22"/>
        <v>559.71100000000001</v>
      </c>
      <c r="M35" s="1829">
        <f t="shared" ref="M35" si="23">SUM(M31:M34)</f>
        <v>555.57000000000005</v>
      </c>
      <c r="N35" s="2072">
        <f t="shared" si="1"/>
        <v>-0.14338034420220536</v>
      </c>
      <c r="O35" s="1826">
        <f t="shared" si="22"/>
        <v>85.5</v>
      </c>
      <c r="P35" s="1829">
        <f t="shared" ref="P35:Q35" si="24">SUM(P31:P34)</f>
        <v>85.5</v>
      </c>
      <c r="Q35" s="1826">
        <f t="shared" si="24"/>
        <v>87.95</v>
      </c>
      <c r="R35" s="1829">
        <f t="shared" ref="R35" si="25">SUM(R31:R34)</f>
        <v>550.95000000000005</v>
      </c>
      <c r="S35" s="2796"/>
      <c r="T35" s="2768"/>
      <c r="U35" s="2829"/>
      <c r="V35" s="2773"/>
      <c r="W35" s="2774"/>
      <c r="X35" s="2774"/>
      <c r="Y35" s="2774"/>
      <c r="Z35" s="2774"/>
      <c r="AA35" s="2774"/>
      <c r="AB35" s="2775"/>
      <c r="AC35" s="2766"/>
    </row>
    <row r="36" spans="1:29" ht="39" hidden="1" customHeight="1">
      <c r="A36" s="2843"/>
      <c r="B36" s="2826" t="s">
        <v>1130</v>
      </c>
      <c r="C36" s="2847" t="s">
        <v>1617</v>
      </c>
      <c r="D36" s="2090" t="s">
        <v>470</v>
      </c>
      <c r="E36" s="445">
        <v>447.55</v>
      </c>
      <c r="F36" s="468"/>
      <c r="G36" s="445">
        <v>337.88</v>
      </c>
      <c r="H36" s="445">
        <f>469.53-1</f>
        <v>468.53</v>
      </c>
      <c r="I36" s="445"/>
      <c r="J36" s="447">
        <v>489.54199999999997</v>
      </c>
      <c r="K36" s="445">
        <v>487.26</v>
      </c>
      <c r="L36" s="1824">
        <v>406.29</v>
      </c>
      <c r="M36" s="1529">
        <v>421.45</v>
      </c>
      <c r="N36" s="557">
        <f t="shared" si="1"/>
        <v>-0.16617411648811717</v>
      </c>
      <c r="O36" s="445"/>
      <c r="P36" s="1529"/>
      <c r="Q36" s="445"/>
      <c r="R36" s="1530">
        <v>373.53199999999998</v>
      </c>
      <c r="S36" s="2796"/>
      <c r="T36" s="2768"/>
      <c r="U36" s="2829"/>
      <c r="V36" s="2773"/>
      <c r="W36" s="2774"/>
      <c r="X36" s="2774"/>
      <c r="Y36" s="2774"/>
      <c r="Z36" s="2774"/>
      <c r="AA36" s="2774"/>
      <c r="AB36" s="2775"/>
      <c r="AC36" s="2766"/>
    </row>
    <row r="37" spans="1:29" ht="39" hidden="1" customHeight="1">
      <c r="A37" s="2843"/>
      <c r="B37" s="2826"/>
      <c r="C37" s="2847"/>
      <c r="D37" s="2090" t="s">
        <v>1070</v>
      </c>
      <c r="E37" s="2092">
        <v>87.33</v>
      </c>
      <c r="F37" s="468"/>
      <c r="G37" s="445">
        <v>94.49</v>
      </c>
      <c r="H37" s="445">
        <f>94.3</f>
        <v>94.3</v>
      </c>
      <c r="I37" s="445"/>
      <c r="J37" s="447">
        <v>78.900000000000006</v>
      </c>
      <c r="K37" s="445">
        <v>78.900000000000006</v>
      </c>
      <c r="L37" s="445">
        <v>80.13</v>
      </c>
      <c r="M37" s="1529">
        <v>80.13</v>
      </c>
      <c r="N37" s="557">
        <f t="shared" si="1"/>
        <v>1.558935361216717E-2</v>
      </c>
      <c r="O37" s="445">
        <f>P37</f>
        <v>81.7</v>
      </c>
      <c r="P37" s="1529">
        <v>81.7</v>
      </c>
      <c r="Q37" s="445">
        <f>R37</f>
        <v>84.1</v>
      </c>
      <c r="R37" s="1959">
        <v>84.1</v>
      </c>
      <c r="S37" s="2796"/>
      <c r="T37" s="2768"/>
      <c r="U37" s="2829"/>
      <c r="V37" s="2773"/>
      <c r="W37" s="2774"/>
      <c r="X37" s="2774"/>
      <c r="Y37" s="2774"/>
      <c r="Z37" s="2774"/>
      <c r="AA37" s="2774"/>
      <c r="AB37" s="2775"/>
      <c r="AC37" s="2766"/>
    </row>
    <row r="38" spans="1:29" ht="39" hidden="1" customHeight="1">
      <c r="A38" s="2843"/>
      <c r="B38" s="2826"/>
      <c r="C38" s="2847"/>
      <c r="D38" s="2090" t="s">
        <v>4335</v>
      </c>
      <c r="E38" s="2093"/>
      <c r="F38" s="2091"/>
      <c r="G38" s="447"/>
      <c r="H38" s="447">
        <v>2.476</v>
      </c>
      <c r="I38" s="447"/>
      <c r="J38" s="447"/>
      <c r="K38" s="445">
        <v>1.41</v>
      </c>
      <c r="L38" s="445">
        <v>1.508</v>
      </c>
      <c r="M38" s="1529"/>
      <c r="N38" s="557">
        <f t="shared" si="1"/>
        <v>6.9503546099290853E-2</v>
      </c>
      <c r="O38" s="445"/>
      <c r="P38" s="1529"/>
      <c r="Q38" s="445"/>
      <c r="R38" s="1530"/>
      <c r="S38" s="2796"/>
      <c r="T38" s="2768"/>
      <c r="U38" s="2829"/>
      <c r="V38" s="2773"/>
      <c r="W38" s="2774"/>
      <c r="X38" s="2774"/>
      <c r="Y38" s="2774"/>
      <c r="Z38" s="2774"/>
      <c r="AA38" s="2774"/>
      <c r="AB38" s="2775"/>
      <c r="AC38" s="2766"/>
    </row>
    <row r="39" spans="1:29" ht="39" hidden="1" customHeight="1">
      <c r="A39" s="2843"/>
      <c r="B39" s="2826"/>
      <c r="C39" s="2847"/>
      <c r="D39" s="455" t="s">
        <v>710</v>
      </c>
      <c r="E39" s="1550"/>
      <c r="F39" s="1673"/>
      <c r="G39" s="1550"/>
      <c r="H39" s="1550"/>
      <c r="I39" s="1550"/>
      <c r="J39" s="1674"/>
      <c r="K39" s="445"/>
      <c r="L39" s="445"/>
      <c r="M39" s="1529"/>
      <c r="N39" s="557" t="e">
        <f t="shared" si="1"/>
        <v>#DIV/0!</v>
      </c>
      <c r="O39" s="445"/>
      <c r="P39" s="1529"/>
      <c r="Q39" s="445"/>
      <c r="R39" s="1529"/>
      <c r="S39" s="2796"/>
      <c r="T39" s="2768"/>
      <c r="U39" s="2829"/>
      <c r="V39" s="2773"/>
      <c r="W39" s="2774"/>
      <c r="X39" s="2774"/>
      <c r="Y39" s="2774"/>
      <c r="Z39" s="2774"/>
      <c r="AA39" s="2774"/>
      <c r="AB39" s="2775"/>
      <c r="AC39" s="2766"/>
    </row>
    <row r="40" spans="1:29" ht="39" hidden="1" customHeight="1">
      <c r="A40" s="2843"/>
      <c r="B40" s="2826"/>
      <c r="C40" s="2847"/>
      <c r="D40" s="1825" t="s">
        <v>1110</v>
      </c>
      <c r="E40" s="1826">
        <f>SUM(E36:E39)</f>
        <v>534.88</v>
      </c>
      <c r="F40" s="1827"/>
      <c r="G40" s="1826">
        <f>SUM(G36:G39)</f>
        <v>432.37</v>
      </c>
      <c r="H40" s="1826">
        <f>SUM(H36:H39)</f>
        <v>565.30599999999993</v>
      </c>
      <c r="I40" s="1826">
        <f t="shared" ref="I40:O40" si="26">SUM(I36:I39)</f>
        <v>0</v>
      </c>
      <c r="J40" s="1828">
        <f t="shared" si="26"/>
        <v>568.44200000000001</v>
      </c>
      <c r="K40" s="1826">
        <f t="shared" si="26"/>
        <v>567.56999999999994</v>
      </c>
      <c r="L40" s="1826">
        <f t="shared" si="26"/>
        <v>487.928</v>
      </c>
      <c r="M40" s="1829">
        <f t="shared" ref="M40" si="27">SUM(M36:M39)</f>
        <v>501.58</v>
      </c>
      <c r="N40" s="2072">
        <f t="shared" si="1"/>
        <v>-0.14032101767182895</v>
      </c>
      <c r="O40" s="1826">
        <f t="shared" si="26"/>
        <v>81.7</v>
      </c>
      <c r="P40" s="1829">
        <f t="shared" ref="P40:Q40" si="28">SUM(P36:P39)</f>
        <v>81.7</v>
      </c>
      <c r="Q40" s="1826">
        <f t="shared" si="28"/>
        <v>84.1</v>
      </c>
      <c r="R40" s="1829">
        <f t="shared" ref="R40" si="29">SUM(R36:R39)</f>
        <v>457.63199999999995</v>
      </c>
      <c r="S40" s="2796"/>
      <c r="T40" s="2768"/>
      <c r="U40" s="2829"/>
      <c r="V40" s="2773"/>
      <c r="W40" s="2774"/>
      <c r="X40" s="2774"/>
      <c r="Y40" s="2774"/>
      <c r="Z40" s="2774"/>
      <c r="AA40" s="2774"/>
      <c r="AB40" s="2775"/>
      <c r="AC40" s="2766"/>
    </row>
    <row r="41" spans="1:29" ht="39" hidden="1" customHeight="1">
      <c r="A41" s="2843"/>
      <c r="B41" s="2826" t="s">
        <v>1106</v>
      </c>
      <c r="C41" s="2847" t="s">
        <v>1618</v>
      </c>
      <c r="D41" s="455" t="s">
        <v>470</v>
      </c>
      <c r="E41" s="446">
        <v>323.60000000000002</v>
      </c>
      <c r="F41" s="457"/>
      <c r="G41" s="446">
        <v>268.33</v>
      </c>
      <c r="H41" s="446">
        <f>351.52-0.2</f>
        <v>351.32</v>
      </c>
      <c r="I41" s="446"/>
      <c r="J41" s="459">
        <v>413.28</v>
      </c>
      <c r="K41" s="446">
        <v>360.58</v>
      </c>
      <c r="L41" s="446"/>
      <c r="M41" s="1530"/>
      <c r="N41" s="557">
        <f t="shared" si="1"/>
        <v>-1</v>
      </c>
      <c r="O41" s="446"/>
      <c r="P41" s="1530"/>
      <c r="Q41" s="446"/>
      <c r="R41" s="1530"/>
      <c r="S41" s="2796"/>
      <c r="T41" s="2768"/>
      <c r="U41" s="2829"/>
      <c r="V41" s="2773"/>
      <c r="W41" s="2774"/>
      <c r="X41" s="2774"/>
      <c r="Y41" s="2774"/>
      <c r="Z41" s="2774"/>
      <c r="AA41" s="2774"/>
      <c r="AB41" s="2775"/>
      <c r="AC41" s="2766"/>
    </row>
    <row r="42" spans="1:29" ht="39" hidden="1" customHeight="1">
      <c r="A42" s="2843"/>
      <c r="B42" s="2826"/>
      <c r="C42" s="2847"/>
      <c r="D42" s="455" t="s">
        <v>1070</v>
      </c>
      <c r="E42" s="456">
        <f>45.5+0.153</f>
        <v>45.652999999999999</v>
      </c>
      <c r="F42" s="457"/>
      <c r="G42" s="446">
        <v>46.5</v>
      </c>
      <c r="H42" s="446">
        <v>41.7</v>
      </c>
      <c r="I42" s="446"/>
      <c r="J42" s="459">
        <v>29.9</v>
      </c>
      <c r="K42" s="446">
        <v>29.9</v>
      </c>
      <c r="L42" s="446"/>
      <c r="M42" s="1530"/>
      <c r="N42" s="557">
        <f t="shared" si="1"/>
        <v>-1</v>
      </c>
      <c r="O42" s="446"/>
      <c r="P42" s="1530"/>
      <c r="Q42" s="446"/>
      <c r="R42" s="1530"/>
      <c r="S42" s="2796"/>
      <c r="T42" s="2768"/>
      <c r="U42" s="2829"/>
      <c r="V42" s="2773"/>
      <c r="W42" s="2774"/>
      <c r="X42" s="2774"/>
      <c r="Y42" s="2774"/>
      <c r="Z42" s="2774"/>
      <c r="AA42" s="2774"/>
      <c r="AB42" s="2775"/>
      <c r="AC42" s="2766"/>
    </row>
    <row r="43" spans="1:29" ht="39" hidden="1" customHeight="1">
      <c r="A43" s="2843"/>
      <c r="B43" s="2826"/>
      <c r="C43" s="2847"/>
      <c r="D43" s="455" t="s">
        <v>2824</v>
      </c>
      <c r="E43" s="456"/>
      <c r="F43" s="457"/>
      <c r="G43" s="446"/>
      <c r="H43" s="446"/>
      <c r="I43" s="446"/>
      <c r="J43" s="459"/>
      <c r="K43" s="446">
        <v>0.67800000000000005</v>
      </c>
      <c r="L43" s="446"/>
      <c r="M43" s="1530"/>
      <c r="N43" s="557">
        <f t="shared" si="1"/>
        <v>-1</v>
      </c>
      <c r="O43" s="446"/>
      <c r="P43" s="1530"/>
      <c r="Q43" s="446"/>
      <c r="R43" s="1530"/>
      <c r="S43" s="2796"/>
      <c r="T43" s="2768"/>
      <c r="U43" s="2829"/>
      <c r="V43" s="2773"/>
      <c r="W43" s="2774"/>
      <c r="X43" s="2774"/>
      <c r="Y43" s="2774"/>
      <c r="Z43" s="2774"/>
      <c r="AA43" s="2774"/>
      <c r="AB43" s="2775"/>
      <c r="AC43" s="2766"/>
    </row>
    <row r="44" spans="1:29" ht="39" hidden="1" customHeight="1">
      <c r="A44" s="2843"/>
      <c r="B44" s="2826"/>
      <c r="C44" s="2847"/>
      <c r="D44" s="455" t="s">
        <v>710</v>
      </c>
      <c r="E44" s="445"/>
      <c r="F44" s="457"/>
      <c r="G44" s="445"/>
      <c r="H44" s="445"/>
      <c r="I44" s="445"/>
      <c r="J44" s="447"/>
      <c r="K44" s="445"/>
      <c r="L44" s="445"/>
      <c r="M44" s="1529"/>
      <c r="N44" s="557" t="e">
        <f t="shared" si="1"/>
        <v>#DIV/0!</v>
      </c>
      <c r="O44" s="445"/>
      <c r="P44" s="1529"/>
      <c r="Q44" s="445"/>
      <c r="R44" s="1529"/>
      <c r="S44" s="2796"/>
      <c r="T44" s="2768"/>
      <c r="U44" s="2829"/>
      <c r="V44" s="2773"/>
      <c r="W44" s="2774"/>
      <c r="X44" s="2774"/>
      <c r="Y44" s="2774"/>
      <c r="Z44" s="2774"/>
      <c r="AA44" s="2774"/>
      <c r="AB44" s="2775"/>
      <c r="AC44" s="2766"/>
    </row>
    <row r="45" spans="1:29" ht="39" hidden="1" customHeight="1">
      <c r="A45" s="2843"/>
      <c r="B45" s="2826"/>
      <c r="C45" s="2847"/>
      <c r="D45" s="608" t="s">
        <v>1110</v>
      </c>
      <c r="E45" s="599">
        <f>SUM(E41:E44)</f>
        <v>369.25300000000004</v>
      </c>
      <c r="F45" s="598"/>
      <c r="G45" s="599">
        <f t="shared" ref="G45:L45" si="30">SUM(G41:G44)</f>
        <v>314.83</v>
      </c>
      <c r="H45" s="599">
        <f t="shared" ref="H45" si="31">SUM(H41:H44)</f>
        <v>393.02</v>
      </c>
      <c r="I45" s="599"/>
      <c r="J45" s="600"/>
      <c r="K45" s="446">
        <f t="shared" si="30"/>
        <v>391.15799999999996</v>
      </c>
      <c r="L45" s="446">
        <f t="shared" si="30"/>
        <v>0</v>
      </c>
      <c r="M45" s="1530">
        <f t="shared" ref="M45" si="32">SUM(M41:M44)</f>
        <v>0</v>
      </c>
      <c r="N45" s="557">
        <f t="shared" si="1"/>
        <v>-1</v>
      </c>
      <c r="O45" s="446"/>
      <c r="P45" s="1530"/>
      <c r="Q45" s="446"/>
      <c r="R45" s="1530"/>
      <c r="S45" s="2796"/>
      <c r="T45" s="2768"/>
      <c r="U45" s="2829"/>
      <c r="V45" s="2773"/>
      <c r="W45" s="2774"/>
      <c r="X45" s="2774"/>
      <c r="Y45" s="2774"/>
      <c r="Z45" s="2774"/>
      <c r="AA45" s="2774"/>
      <c r="AB45" s="2775"/>
      <c r="AC45" s="2766"/>
    </row>
    <row r="46" spans="1:29" ht="39" hidden="1" customHeight="1">
      <c r="A46" s="2843"/>
      <c r="B46" s="2826" t="s">
        <v>1131</v>
      </c>
      <c r="C46" s="2847" t="s">
        <v>1619</v>
      </c>
      <c r="D46" s="2090" t="s">
        <v>470</v>
      </c>
      <c r="E46" s="445">
        <v>353.8</v>
      </c>
      <c r="F46" s="468"/>
      <c r="G46" s="445">
        <v>378.33</v>
      </c>
      <c r="H46" s="445">
        <f>380.02-0.1</f>
        <v>379.91999999999996</v>
      </c>
      <c r="I46" s="445"/>
      <c r="J46" s="447">
        <v>400.279</v>
      </c>
      <c r="K46" s="445">
        <v>413.51</v>
      </c>
      <c r="L46" s="445">
        <v>462.05</v>
      </c>
      <c r="M46" s="1529">
        <v>433.72300000000001</v>
      </c>
      <c r="N46" s="557">
        <f t="shared" si="1"/>
        <v>0.11738531111702262</v>
      </c>
      <c r="O46" s="445"/>
      <c r="P46" s="1529"/>
      <c r="Q46" s="445"/>
      <c r="R46" s="1530">
        <v>439.41199999999998</v>
      </c>
      <c r="S46" s="2796"/>
      <c r="T46" s="2768"/>
      <c r="U46" s="2829"/>
      <c r="V46" s="2773"/>
      <c r="W46" s="2774"/>
      <c r="X46" s="2774"/>
      <c r="Y46" s="2774"/>
      <c r="Z46" s="2774"/>
      <c r="AA46" s="2774"/>
      <c r="AB46" s="2775"/>
      <c r="AC46" s="2766"/>
    </row>
    <row r="47" spans="1:29" ht="39" hidden="1" customHeight="1">
      <c r="A47" s="2843"/>
      <c r="B47" s="2826"/>
      <c r="C47" s="2847"/>
      <c r="D47" s="2090" t="s">
        <v>1070</v>
      </c>
      <c r="E47" s="2092">
        <v>33.700000000000003</v>
      </c>
      <c r="F47" s="468"/>
      <c r="G47" s="445">
        <v>40.590000000000003</v>
      </c>
      <c r="H47" s="445">
        <f>37.6</f>
        <v>37.6</v>
      </c>
      <c r="I47" s="445"/>
      <c r="J47" s="447">
        <v>39.1</v>
      </c>
      <c r="K47" s="445">
        <v>39</v>
      </c>
      <c r="L47" s="445">
        <f>M47</f>
        <v>40.799999999999997</v>
      </c>
      <c r="M47" s="1529">
        <v>40.799999999999997</v>
      </c>
      <c r="N47" s="557">
        <f t="shared" si="1"/>
        <v>4.615384615384608E-2</v>
      </c>
      <c r="O47" s="445">
        <f>P47</f>
        <v>41.6</v>
      </c>
      <c r="P47" s="1529">
        <v>41.6</v>
      </c>
      <c r="Q47" s="445">
        <f>R47</f>
        <v>42.8</v>
      </c>
      <c r="R47" s="1959">
        <v>42.8</v>
      </c>
      <c r="S47" s="2796"/>
      <c r="T47" s="2768"/>
      <c r="U47" s="2829"/>
      <c r="V47" s="2773"/>
      <c r="W47" s="2774"/>
      <c r="X47" s="2774"/>
      <c r="Y47" s="2774"/>
      <c r="Z47" s="2774"/>
      <c r="AA47" s="2774"/>
      <c r="AB47" s="2775"/>
      <c r="AC47" s="2766"/>
    </row>
    <row r="48" spans="1:29" ht="39" hidden="1" customHeight="1">
      <c r="A48" s="2843"/>
      <c r="B48" s="2826"/>
      <c r="C48" s="2847"/>
      <c r="D48" s="2090" t="s">
        <v>2748</v>
      </c>
      <c r="E48" s="2092"/>
      <c r="F48" s="468"/>
      <c r="G48" s="445"/>
      <c r="H48" s="445">
        <v>0.58499999999999996</v>
      </c>
      <c r="I48" s="447"/>
      <c r="J48" s="447"/>
      <c r="K48" s="445">
        <v>0.96199999999999997</v>
      </c>
      <c r="L48" s="445">
        <v>0.23</v>
      </c>
      <c r="M48" s="1529"/>
      <c r="N48" s="557">
        <f t="shared" si="1"/>
        <v>-0.76091476091476096</v>
      </c>
      <c r="O48" s="445"/>
      <c r="P48" s="1529"/>
      <c r="Q48" s="445"/>
      <c r="R48" s="1530"/>
      <c r="S48" s="2796"/>
      <c r="T48" s="2768"/>
      <c r="U48" s="2829"/>
      <c r="V48" s="2773"/>
      <c r="W48" s="2774"/>
      <c r="X48" s="2774"/>
      <c r="Y48" s="2774"/>
      <c r="Z48" s="2774"/>
      <c r="AA48" s="2774"/>
      <c r="AB48" s="2775"/>
      <c r="AC48" s="2766"/>
    </row>
    <row r="49" spans="1:29" ht="39" hidden="1" customHeight="1">
      <c r="A49" s="2843"/>
      <c r="B49" s="2826"/>
      <c r="C49" s="2847"/>
      <c r="D49" s="2090" t="s">
        <v>710</v>
      </c>
      <c r="E49" s="445"/>
      <c r="F49" s="468"/>
      <c r="G49" s="445"/>
      <c r="H49" s="445"/>
      <c r="I49" s="445"/>
      <c r="J49" s="447">
        <v>0.87</v>
      </c>
      <c r="K49" s="445">
        <v>0.87</v>
      </c>
      <c r="L49" s="445">
        <v>0.87</v>
      </c>
      <c r="M49" s="1529"/>
      <c r="N49" s="557">
        <f t="shared" si="1"/>
        <v>0</v>
      </c>
      <c r="O49" s="445">
        <v>0.87</v>
      </c>
      <c r="P49" s="1529"/>
      <c r="Q49" s="445">
        <v>0.87</v>
      </c>
      <c r="R49" s="1529"/>
      <c r="S49" s="2796"/>
      <c r="T49" s="2768"/>
      <c r="U49" s="2829"/>
      <c r="V49" s="2773"/>
      <c r="W49" s="2774"/>
      <c r="X49" s="2774"/>
      <c r="Y49" s="2774"/>
      <c r="Z49" s="2774"/>
      <c r="AA49" s="2774"/>
      <c r="AB49" s="2775"/>
      <c r="AC49" s="2766"/>
    </row>
    <row r="50" spans="1:29" ht="39" hidden="1" customHeight="1">
      <c r="A50" s="2843"/>
      <c r="B50" s="2826"/>
      <c r="C50" s="2847"/>
      <c r="D50" s="1825" t="s">
        <v>1110</v>
      </c>
      <c r="E50" s="1826">
        <f>SUM(E46:E49)</f>
        <v>387.5</v>
      </c>
      <c r="F50" s="1827"/>
      <c r="G50" s="1826">
        <f>SUM(G46:G49)</f>
        <v>418.91999999999996</v>
      </c>
      <c r="H50" s="1826">
        <f>SUM(H46:H49)</f>
        <v>418.10499999999996</v>
      </c>
      <c r="I50" s="1826"/>
      <c r="J50" s="1828">
        <f t="shared" ref="J50:O50" si="33">SUM(J46:J49)</f>
        <v>440.24900000000002</v>
      </c>
      <c r="K50" s="1826">
        <f t="shared" si="33"/>
        <v>454.34199999999998</v>
      </c>
      <c r="L50" s="1826">
        <f t="shared" si="33"/>
        <v>503.95000000000005</v>
      </c>
      <c r="M50" s="1829">
        <f t="shared" ref="M50" si="34">SUM(M46:M49)</f>
        <v>474.52300000000002</v>
      </c>
      <c r="N50" s="2072">
        <f t="shared" si="1"/>
        <v>0.10918647186480683</v>
      </c>
      <c r="O50" s="1826">
        <f t="shared" si="33"/>
        <v>42.47</v>
      </c>
      <c r="P50" s="1829">
        <f t="shared" ref="P50:Q50" si="35">SUM(P46:P49)</f>
        <v>41.6</v>
      </c>
      <c r="Q50" s="1826">
        <f t="shared" si="35"/>
        <v>43.669999999999995</v>
      </c>
      <c r="R50" s="1829">
        <f t="shared" ref="R50" si="36">SUM(R46:R49)</f>
        <v>482.21199999999999</v>
      </c>
      <c r="S50" s="2796"/>
      <c r="T50" s="2768"/>
      <c r="U50" s="2829"/>
      <c r="V50" s="2773"/>
      <c r="W50" s="2774"/>
      <c r="X50" s="2774"/>
      <c r="Y50" s="2774"/>
      <c r="Z50" s="2774"/>
      <c r="AA50" s="2774"/>
      <c r="AB50" s="2775"/>
      <c r="AC50" s="2766"/>
    </row>
    <row r="51" spans="1:29" ht="39" hidden="1" customHeight="1">
      <c r="A51" s="2843"/>
      <c r="B51" s="2826" t="s">
        <v>1107</v>
      </c>
      <c r="C51" s="2847" t="s">
        <v>1620</v>
      </c>
      <c r="D51" s="2090" t="s">
        <v>470</v>
      </c>
      <c r="E51" s="445">
        <v>410</v>
      </c>
      <c r="F51" s="468"/>
      <c r="G51" s="445">
        <v>433.351</v>
      </c>
      <c r="H51" s="445">
        <f>448.25-0.76</f>
        <v>447.49</v>
      </c>
      <c r="I51" s="445"/>
      <c r="J51" s="447">
        <v>470.87400000000002</v>
      </c>
      <c r="K51" s="445">
        <v>481.03</v>
      </c>
      <c r="L51" s="445">
        <v>520.80999999999995</v>
      </c>
      <c r="M51" s="1529">
        <v>501.97500000000002</v>
      </c>
      <c r="N51" s="557">
        <f t="shared" si="1"/>
        <v>8.2697544851672397E-2</v>
      </c>
      <c r="O51" s="445"/>
      <c r="P51" s="1529"/>
      <c r="Q51" s="445"/>
      <c r="R51" s="1530">
        <v>448.18299999999999</v>
      </c>
      <c r="S51" s="2796"/>
      <c r="T51" s="2768"/>
      <c r="U51" s="2829"/>
      <c r="V51" s="2773"/>
      <c r="W51" s="2774"/>
      <c r="X51" s="2774"/>
      <c r="Y51" s="2774"/>
      <c r="Z51" s="2774"/>
      <c r="AA51" s="2774"/>
      <c r="AB51" s="2775"/>
      <c r="AC51" s="2766"/>
    </row>
    <row r="52" spans="1:29" ht="39" hidden="1" customHeight="1">
      <c r="A52" s="2843"/>
      <c r="B52" s="2826"/>
      <c r="C52" s="2847"/>
      <c r="D52" s="2090" t="s">
        <v>1070</v>
      </c>
      <c r="E52" s="445">
        <f>38.5+0.829</f>
        <v>39.329000000000001</v>
      </c>
      <c r="F52" s="468"/>
      <c r="G52" s="445">
        <v>59.03</v>
      </c>
      <c r="H52" s="445">
        <v>40.5</v>
      </c>
      <c r="I52" s="445"/>
      <c r="J52" s="447">
        <v>40.5</v>
      </c>
      <c r="K52" s="445">
        <v>40.5</v>
      </c>
      <c r="L52" s="445">
        <v>42.1</v>
      </c>
      <c r="M52" s="1529">
        <v>42.1</v>
      </c>
      <c r="N52" s="557">
        <f t="shared" si="1"/>
        <v>3.9506172839506207E-2</v>
      </c>
      <c r="O52" s="445">
        <f>P52</f>
        <v>42.8</v>
      </c>
      <c r="P52" s="1529">
        <v>42.8</v>
      </c>
      <c r="Q52" s="445">
        <f>R52</f>
        <v>43.9</v>
      </c>
      <c r="R52" s="1959">
        <v>43.9</v>
      </c>
      <c r="S52" s="2796"/>
      <c r="T52" s="2768"/>
      <c r="U52" s="2829"/>
      <c r="V52" s="2773"/>
      <c r="W52" s="2774"/>
      <c r="X52" s="2774"/>
      <c r="Y52" s="2774"/>
      <c r="Z52" s="2774"/>
      <c r="AA52" s="2774"/>
      <c r="AB52" s="2775"/>
      <c r="AC52" s="2766"/>
    </row>
    <row r="53" spans="1:29" ht="39" hidden="1" customHeight="1">
      <c r="A53" s="2843"/>
      <c r="B53" s="2826"/>
      <c r="C53" s="2847"/>
      <c r="D53" s="2090" t="s">
        <v>710</v>
      </c>
      <c r="E53" s="445"/>
      <c r="F53" s="468"/>
      <c r="G53" s="445"/>
      <c r="H53" s="445"/>
      <c r="I53" s="445"/>
      <c r="J53" s="447"/>
      <c r="K53" s="445"/>
      <c r="L53" s="445"/>
      <c r="M53" s="1529">
        <v>1.8819999999999999</v>
      </c>
      <c r="N53" s="557" t="e">
        <f t="shared" si="1"/>
        <v>#DIV/0!</v>
      </c>
      <c r="O53" s="445"/>
      <c r="P53" s="1529">
        <v>1.5</v>
      </c>
      <c r="Q53" s="445"/>
      <c r="R53" s="1529">
        <v>1.5</v>
      </c>
      <c r="S53" s="2796"/>
      <c r="T53" s="2768"/>
      <c r="U53" s="2829"/>
      <c r="V53" s="2773"/>
      <c r="W53" s="2774"/>
      <c r="X53" s="2774"/>
      <c r="Y53" s="2774"/>
      <c r="Z53" s="2774"/>
      <c r="AA53" s="2774"/>
      <c r="AB53" s="2775"/>
      <c r="AC53" s="2766"/>
    </row>
    <row r="54" spans="1:29" ht="39" hidden="1" customHeight="1">
      <c r="A54" s="2843"/>
      <c r="B54" s="2826"/>
      <c r="C54" s="2847"/>
      <c r="D54" s="1825" t="s">
        <v>1110</v>
      </c>
      <c r="E54" s="1826">
        <f>SUM(E51:E53)</f>
        <v>449.32900000000001</v>
      </c>
      <c r="F54" s="1827"/>
      <c r="G54" s="1826">
        <f t="shared" ref="G54" si="37">SUM(G51:G53)</f>
        <v>492.38099999999997</v>
      </c>
      <c r="H54" s="1826">
        <f t="shared" ref="H54:O54" si="38">SUM(H51:H53)</f>
        <v>487.99</v>
      </c>
      <c r="I54" s="1826">
        <f t="shared" si="38"/>
        <v>0</v>
      </c>
      <c r="J54" s="1828">
        <f t="shared" si="38"/>
        <v>511.37400000000002</v>
      </c>
      <c r="K54" s="1826">
        <f t="shared" si="38"/>
        <v>521.53</v>
      </c>
      <c r="L54" s="1826">
        <f t="shared" si="38"/>
        <v>562.91</v>
      </c>
      <c r="M54" s="1829">
        <f t="shared" ref="M54" si="39">SUM(M51:M53)</f>
        <v>545.95699999999999</v>
      </c>
      <c r="N54" s="2072">
        <f t="shared" si="1"/>
        <v>7.9343470174294856E-2</v>
      </c>
      <c r="O54" s="1826">
        <f t="shared" si="38"/>
        <v>42.8</v>
      </c>
      <c r="P54" s="1829">
        <f t="shared" ref="P54:Q54" si="40">SUM(P51:P53)</f>
        <v>44.3</v>
      </c>
      <c r="Q54" s="1826">
        <f t="shared" si="40"/>
        <v>43.9</v>
      </c>
      <c r="R54" s="1829">
        <f t="shared" ref="R54" si="41">SUM(R51:R53)</f>
        <v>493.58299999999997</v>
      </c>
      <c r="S54" s="2796"/>
      <c r="T54" s="2768"/>
      <c r="U54" s="2829"/>
      <c r="V54" s="2773"/>
      <c r="W54" s="2774"/>
      <c r="X54" s="2774"/>
      <c r="Y54" s="2774"/>
      <c r="Z54" s="2774"/>
      <c r="AA54" s="2774"/>
      <c r="AB54" s="2775"/>
      <c r="AC54" s="2766"/>
    </row>
    <row r="55" spans="1:29" ht="39" hidden="1" customHeight="1">
      <c r="A55" s="2843"/>
      <c r="B55" s="2826" t="s">
        <v>1132</v>
      </c>
      <c r="C55" s="2847" t="s">
        <v>1621</v>
      </c>
      <c r="D55" s="2090" t="s">
        <v>470</v>
      </c>
      <c r="E55" s="445">
        <v>482.66</v>
      </c>
      <c r="F55" s="468"/>
      <c r="G55" s="445">
        <v>516.5</v>
      </c>
      <c r="H55" s="445">
        <f>518.62-0.22</f>
        <v>518.4</v>
      </c>
      <c r="I55" s="445"/>
      <c r="J55" s="447">
        <v>560.98099999999999</v>
      </c>
      <c r="K55" s="445">
        <v>563.42999999999995</v>
      </c>
      <c r="L55" s="445">
        <v>649.67999999999995</v>
      </c>
      <c r="M55" s="1529">
        <v>623.79100000000005</v>
      </c>
      <c r="N55" s="557">
        <f t="shared" si="1"/>
        <v>0.153080240668761</v>
      </c>
      <c r="O55" s="445"/>
      <c r="P55" s="1529"/>
      <c r="Q55" s="445"/>
      <c r="R55" s="1530">
        <v>637.06899999999996</v>
      </c>
      <c r="S55" s="2796"/>
      <c r="T55" s="2768"/>
      <c r="U55" s="2829"/>
      <c r="V55" s="2773"/>
      <c r="W55" s="2774"/>
      <c r="X55" s="2774"/>
      <c r="Y55" s="2774"/>
      <c r="Z55" s="2774"/>
      <c r="AA55" s="2774"/>
      <c r="AB55" s="2775"/>
      <c r="AC55" s="2766"/>
    </row>
    <row r="56" spans="1:29" ht="39" hidden="1" customHeight="1">
      <c r="A56" s="2843"/>
      <c r="B56" s="2826"/>
      <c r="C56" s="2847"/>
      <c r="D56" s="2090" t="s">
        <v>1070</v>
      </c>
      <c r="E56" s="2092">
        <f>40.7+1.42</f>
        <v>42.120000000000005</v>
      </c>
      <c r="F56" s="468"/>
      <c r="G56" s="445">
        <v>45.7</v>
      </c>
      <c r="H56" s="445">
        <f>51</f>
        <v>51</v>
      </c>
      <c r="I56" s="445"/>
      <c r="J56" s="447">
        <v>50.7</v>
      </c>
      <c r="K56" s="445">
        <v>50.7</v>
      </c>
      <c r="L56" s="445">
        <f>M56</f>
        <v>50.7</v>
      </c>
      <c r="M56" s="1529">
        <v>50.7</v>
      </c>
      <c r="N56" s="557">
        <f t="shared" si="1"/>
        <v>0</v>
      </c>
      <c r="O56" s="445">
        <f>P56</f>
        <v>51.7</v>
      </c>
      <c r="P56" s="1529">
        <v>51.7</v>
      </c>
      <c r="Q56" s="445">
        <f>R56</f>
        <v>53.2</v>
      </c>
      <c r="R56" s="1959">
        <v>53.2</v>
      </c>
      <c r="S56" s="2796"/>
      <c r="T56" s="2768"/>
      <c r="U56" s="2829"/>
      <c r="V56" s="2773"/>
      <c r="W56" s="2774"/>
      <c r="X56" s="2774"/>
      <c r="Y56" s="2774"/>
      <c r="Z56" s="2774"/>
      <c r="AA56" s="2774"/>
      <c r="AB56" s="2775"/>
      <c r="AC56" s="2766"/>
    </row>
    <row r="57" spans="1:29" ht="39" hidden="1" customHeight="1">
      <c r="A57" s="2843"/>
      <c r="B57" s="2826"/>
      <c r="C57" s="2847"/>
      <c r="D57" s="2094" t="s">
        <v>4335</v>
      </c>
      <c r="E57" s="2092"/>
      <c r="F57" s="468"/>
      <c r="G57" s="445"/>
      <c r="H57" s="445">
        <v>0.67900000000000005</v>
      </c>
      <c r="I57" s="445"/>
      <c r="J57" s="447"/>
      <c r="K57" s="445">
        <v>2.4660000000000002</v>
      </c>
      <c r="L57" s="445">
        <v>3.5459999999999998</v>
      </c>
      <c r="M57" s="1529"/>
      <c r="N57" s="557">
        <f t="shared" si="1"/>
        <v>0.43795620437956184</v>
      </c>
      <c r="O57" s="445"/>
      <c r="P57" s="1529"/>
      <c r="Q57" s="445"/>
      <c r="R57" s="1530"/>
      <c r="S57" s="2796"/>
      <c r="T57" s="2768"/>
      <c r="U57" s="2829"/>
      <c r="V57" s="2773"/>
      <c r="W57" s="2774"/>
      <c r="X57" s="2774"/>
      <c r="Y57" s="2774"/>
      <c r="Z57" s="2774"/>
      <c r="AA57" s="2774"/>
      <c r="AB57" s="2775"/>
      <c r="AC57" s="2766"/>
    </row>
    <row r="58" spans="1:29" ht="39" hidden="1" customHeight="1">
      <c r="A58" s="2843"/>
      <c r="B58" s="2826"/>
      <c r="C58" s="2847"/>
      <c r="D58" s="2090" t="s">
        <v>710</v>
      </c>
      <c r="E58" s="445"/>
      <c r="F58" s="468"/>
      <c r="G58" s="445"/>
      <c r="H58" s="445"/>
      <c r="I58" s="445"/>
      <c r="J58" s="447">
        <v>2</v>
      </c>
      <c r="K58" s="445">
        <v>2</v>
      </c>
      <c r="L58" s="445">
        <v>2</v>
      </c>
      <c r="M58" s="1529"/>
      <c r="N58" s="557">
        <f t="shared" si="1"/>
        <v>0</v>
      </c>
      <c r="O58" s="445">
        <v>2</v>
      </c>
      <c r="P58" s="1529"/>
      <c r="Q58" s="445">
        <v>2</v>
      </c>
      <c r="R58" s="1530"/>
      <c r="S58" s="2796"/>
      <c r="T58" s="2768"/>
      <c r="U58" s="2829"/>
      <c r="V58" s="2773"/>
      <c r="W58" s="2774"/>
      <c r="X58" s="2774"/>
      <c r="Y58" s="2774"/>
      <c r="Z58" s="2774"/>
      <c r="AA58" s="2774"/>
      <c r="AB58" s="2775"/>
      <c r="AC58" s="2766"/>
    </row>
    <row r="59" spans="1:29" ht="39" hidden="1" customHeight="1">
      <c r="A59" s="2843"/>
      <c r="B59" s="2826"/>
      <c r="C59" s="2847"/>
      <c r="D59" s="1825" t="s">
        <v>1110</v>
      </c>
      <c r="E59" s="1826">
        <f>SUM(E55:E58)</f>
        <v>524.78</v>
      </c>
      <c r="F59" s="1827"/>
      <c r="G59" s="1826">
        <f>SUM(G55:G58)</f>
        <v>562.20000000000005</v>
      </c>
      <c r="H59" s="1826">
        <f>SUM(H55:H58)</f>
        <v>570.07899999999995</v>
      </c>
      <c r="I59" s="1826"/>
      <c r="J59" s="1828">
        <f t="shared" ref="J59:O59" si="42">SUM(J55:J58)</f>
        <v>613.68100000000004</v>
      </c>
      <c r="K59" s="1826">
        <f t="shared" si="42"/>
        <v>618.596</v>
      </c>
      <c r="L59" s="1826">
        <f t="shared" si="42"/>
        <v>705.92600000000004</v>
      </c>
      <c r="M59" s="1829">
        <f t="shared" ref="M59" si="43">SUM(M55:M58)</f>
        <v>674.4910000000001</v>
      </c>
      <c r="N59" s="2072">
        <f t="shared" si="1"/>
        <v>0.1411745307114822</v>
      </c>
      <c r="O59" s="1826">
        <f t="shared" si="42"/>
        <v>53.7</v>
      </c>
      <c r="P59" s="1829">
        <f t="shared" ref="P59:Q59" si="44">SUM(P55:P58)</f>
        <v>51.7</v>
      </c>
      <c r="Q59" s="1826">
        <f t="shared" si="44"/>
        <v>55.2</v>
      </c>
      <c r="R59" s="1829">
        <f t="shared" ref="R59" si="45">SUM(R55:R58)</f>
        <v>690.26900000000001</v>
      </c>
      <c r="S59" s="2796"/>
      <c r="T59" s="2768"/>
      <c r="U59" s="2829"/>
      <c r="V59" s="2773"/>
      <c r="W59" s="2774"/>
      <c r="X59" s="2774"/>
      <c r="Y59" s="2774"/>
      <c r="Z59" s="2774"/>
      <c r="AA59" s="2774"/>
      <c r="AB59" s="2775"/>
      <c r="AC59" s="2766"/>
    </row>
    <row r="60" spans="1:29" ht="39" hidden="1" customHeight="1">
      <c r="A60" s="2843"/>
      <c r="B60" s="2826" t="s">
        <v>1108</v>
      </c>
      <c r="C60" s="2847" t="s">
        <v>1622</v>
      </c>
      <c r="D60" s="2090" t="s">
        <v>470</v>
      </c>
      <c r="E60" s="445">
        <v>424.35</v>
      </c>
      <c r="F60" s="468"/>
      <c r="G60" s="445">
        <v>467.52800000000002</v>
      </c>
      <c r="H60" s="445">
        <f>459.67-0.9</f>
        <v>458.77000000000004</v>
      </c>
      <c r="I60" s="445"/>
      <c r="J60" s="447">
        <v>506.40300000000002</v>
      </c>
      <c r="K60" s="445">
        <v>489.6</v>
      </c>
      <c r="L60" s="445">
        <v>581.53</v>
      </c>
      <c r="M60" s="1529">
        <v>574.11500000000001</v>
      </c>
      <c r="N60" s="557">
        <f t="shared" si="1"/>
        <v>0.18776552287581688</v>
      </c>
      <c r="O60" s="445"/>
      <c r="P60" s="1529"/>
      <c r="Q60" s="445"/>
      <c r="R60" s="1530">
        <v>594.93600000000004</v>
      </c>
      <c r="S60" s="2796"/>
      <c r="T60" s="2768"/>
      <c r="U60" s="2829"/>
      <c r="V60" s="2773"/>
      <c r="W60" s="2774"/>
      <c r="X60" s="2774"/>
      <c r="Y60" s="2774"/>
      <c r="Z60" s="2774"/>
      <c r="AA60" s="2774"/>
      <c r="AB60" s="2775"/>
      <c r="AC60" s="2766"/>
    </row>
    <row r="61" spans="1:29" ht="39" hidden="1" customHeight="1">
      <c r="A61" s="2843"/>
      <c r="B61" s="2826"/>
      <c r="C61" s="2847"/>
      <c r="D61" s="2090" t="s">
        <v>1070</v>
      </c>
      <c r="E61" s="2092">
        <v>71.102999999999994</v>
      </c>
      <c r="F61" s="468"/>
      <c r="G61" s="445">
        <v>77.5</v>
      </c>
      <c r="H61" s="445">
        <f>76.5</f>
        <v>76.5</v>
      </c>
      <c r="I61" s="445"/>
      <c r="J61" s="447">
        <v>73</v>
      </c>
      <c r="K61" s="445">
        <v>73</v>
      </c>
      <c r="L61" s="445">
        <f>M61</f>
        <v>73</v>
      </c>
      <c r="M61" s="1529">
        <v>73</v>
      </c>
      <c r="N61" s="557">
        <f t="shared" si="1"/>
        <v>0</v>
      </c>
      <c r="O61" s="445">
        <f>P61</f>
        <v>74.400000000000006</v>
      </c>
      <c r="P61" s="1529">
        <v>74.400000000000006</v>
      </c>
      <c r="Q61" s="445">
        <f>R61</f>
        <v>76.599999999999994</v>
      </c>
      <c r="R61" s="1959">
        <v>76.599999999999994</v>
      </c>
      <c r="S61" s="2796"/>
      <c r="T61" s="2768"/>
      <c r="U61" s="2829"/>
      <c r="V61" s="2773"/>
      <c r="W61" s="2774"/>
      <c r="X61" s="2774"/>
      <c r="Y61" s="2774"/>
      <c r="Z61" s="2774"/>
      <c r="AA61" s="2774"/>
      <c r="AB61" s="2775"/>
      <c r="AC61" s="2766"/>
    </row>
    <row r="62" spans="1:29" ht="39" hidden="1" customHeight="1">
      <c r="A62" s="2843"/>
      <c r="B62" s="2826"/>
      <c r="C62" s="2847"/>
      <c r="D62" s="2090" t="s">
        <v>2748</v>
      </c>
      <c r="E62" s="2092"/>
      <c r="F62" s="468"/>
      <c r="G62" s="445"/>
      <c r="H62" s="447">
        <v>0.159</v>
      </c>
      <c r="I62" s="447"/>
      <c r="J62" s="447"/>
      <c r="K62" s="445">
        <v>3.1890000000000001</v>
      </c>
      <c r="L62" s="445">
        <v>7.2140000000000004</v>
      </c>
      <c r="M62" s="1529"/>
      <c r="N62" s="557">
        <f t="shared" si="1"/>
        <v>1.2621511445594231</v>
      </c>
      <c r="O62" s="445"/>
      <c r="P62" s="1529"/>
      <c r="Q62" s="445"/>
      <c r="R62" s="1530"/>
      <c r="S62" s="2796"/>
      <c r="T62" s="2768"/>
      <c r="U62" s="2829"/>
      <c r="V62" s="2773"/>
      <c r="W62" s="2774"/>
      <c r="X62" s="2774"/>
      <c r="Y62" s="2774"/>
      <c r="Z62" s="2774"/>
      <c r="AA62" s="2774"/>
      <c r="AB62" s="2775"/>
      <c r="AC62" s="2766"/>
    </row>
    <row r="63" spans="1:29" ht="39" hidden="1" customHeight="1">
      <c r="A63" s="2843"/>
      <c r="B63" s="2826"/>
      <c r="C63" s="2847"/>
      <c r="D63" s="2090" t="s">
        <v>1111</v>
      </c>
      <c r="E63" s="445">
        <v>35</v>
      </c>
      <c r="F63" s="468"/>
      <c r="G63" s="445">
        <v>36</v>
      </c>
      <c r="H63" s="445">
        <v>0</v>
      </c>
      <c r="I63" s="445"/>
      <c r="J63" s="447">
        <v>39</v>
      </c>
      <c r="K63" s="445"/>
      <c r="L63" s="445"/>
      <c r="M63" s="1529"/>
      <c r="N63" s="557" t="e">
        <f t="shared" si="1"/>
        <v>#DIV/0!</v>
      </c>
      <c r="O63" s="445"/>
      <c r="P63" s="1529"/>
      <c r="Q63" s="445"/>
      <c r="R63" s="1529"/>
      <c r="S63" s="2796"/>
      <c r="T63" s="2768"/>
      <c r="U63" s="2829"/>
      <c r="V63" s="2773"/>
      <c r="W63" s="2774"/>
      <c r="X63" s="2774"/>
      <c r="Y63" s="2774"/>
      <c r="Z63" s="2774"/>
      <c r="AA63" s="2774"/>
      <c r="AB63" s="2775"/>
      <c r="AC63" s="2766"/>
    </row>
    <row r="64" spans="1:29" ht="39" hidden="1" customHeight="1">
      <c r="A64" s="2843"/>
      <c r="B64" s="2826"/>
      <c r="C64" s="2847"/>
      <c r="D64" s="2090" t="s">
        <v>710</v>
      </c>
      <c r="E64" s="445"/>
      <c r="F64" s="468"/>
      <c r="G64" s="445"/>
      <c r="H64" s="445"/>
      <c r="I64" s="445"/>
      <c r="J64" s="447"/>
      <c r="K64" s="445"/>
      <c r="L64" s="445"/>
      <c r="M64" s="1529"/>
      <c r="N64" s="557" t="e">
        <f t="shared" si="1"/>
        <v>#DIV/0!</v>
      </c>
      <c r="O64" s="445"/>
      <c r="P64" s="1529"/>
      <c r="Q64" s="445"/>
      <c r="R64" s="1529"/>
      <c r="S64" s="2796"/>
      <c r="T64" s="2768"/>
      <c r="U64" s="2829"/>
      <c r="V64" s="2773"/>
      <c r="W64" s="2774"/>
      <c r="X64" s="2774"/>
      <c r="Y64" s="2774"/>
      <c r="Z64" s="2774"/>
      <c r="AA64" s="2774"/>
      <c r="AB64" s="2775"/>
      <c r="AC64" s="2766"/>
    </row>
    <row r="65" spans="1:30" ht="39" hidden="1" customHeight="1">
      <c r="A65" s="2843"/>
      <c r="B65" s="2826"/>
      <c r="C65" s="2847"/>
      <c r="D65" s="1825" t="s">
        <v>1110</v>
      </c>
      <c r="E65" s="1826">
        <f>SUM(E60:E64)</f>
        <v>530.45299999999997</v>
      </c>
      <c r="F65" s="1827"/>
      <c r="G65" s="1826">
        <f t="shared" ref="G65" si="46">SUM(G60:G64)</f>
        <v>581.02800000000002</v>
      </c>
      <c r="H65" s="1826">
        <f t="shared" ref="H65:O65" si="47">SUM(H60:H64)</f>
        <v>535.42899999999997</v>
      </c>
      <c r="I65" s="1826">
        <f t="shared" si="47"/>
        <v>0</v>
      </c>
      <c r="J65" s="1828">
        <f t="shared" si="47"/>
        <v>618.40300000000002</v>
      </c>
      <c r="K65" s="1826">
        <f t="shared" si="47"/>
        <v>565.78899999999999</v>
      </c>
      <c r="L65" s="1826">
        <f t="shared" si="47"/>
        <v>661.74400000000003</v>
      </c>
      <c r="M65" s="1829">
        <f t="shared" ref="M65" si="48">SUM(M60:M64)</f>
        <v>647.11500000000001</v>
      </c>
      <c r="N65" s="2072">
        <f t="shared" si="1"/>
        <v>0.16959502570746346</v>
      </c>
      <c r="O65" s="1826">
        <f t="shared" si="47"/>
        <v>74.400000000000006</v>
      </c>
      <c r="P65" s="1829">
        <f t="shared" ref="P65:Q65" si="49">SUM(P60:P64)</f>
        <v>74.400000000000006</v>
      </c>
      <c r="Q65" s="1826">
        <f t="shared" si="49"/>
        <v>76.599999999999994</v>
      </c>
      <c r="R65" s="1829">
        <f t="shared" ref="R65" si="50">SUM(R60:R64)</f>
        <v>671.53600000000006</v>
      </c>
      <c r="S65" s="2796"/>
      <c r="T65" s="2768"/>
      <c r="U65" s="2829"/>
      <c r="V65" s="2773"/>
      <c r="W65" s="2774"/>
      <c r="X65" s="2774"/>
      <c r="Y65" s="2774"/>
      <c r="Z65" s="2774"/>
      <c r="AA65" s="2774"/>
      <c r="AB65" s="2775"/>
      <c r="AC65" s="2766"/>
    </row>
    <row r="66" spans="1:30" ht="39" hidden="1" customHeight="1">
      <c r="A66" s="2843"/>
      <c r="B66" s="2826" t="s">
        <v>1133</v>
      </c>
      <c r="C66" s="2847" t="s">
        <v>1623</v>
      </c>
      <c r="D66" s="2090" t="s">
        <v>470</v>
      </c>
      <c r="E66" s="445">
        <v>312.13</v>
      </c>
      <c r="F66" s="468"/>
      <c r="G66" s="445">
        <v>371.73</v>
      </c>
      <c r="H66" s="445">
        <v>342.37</v>
      </c>
      <c r="I66" s="445"/>
      <c r="J66" s="447">
        <v>342.55</v>
      </c>
      <c r="K66" s="445">
        <v>376.66</v>
      </c>
      <c r="L66" s="445">
        <v>407.32</v>
      </c>
      <c r="M66" s="1529">
        <v>381.35</v>
      </c>
      <c r="N66" s="557">
        <f t="shared" si="1"/>
        <v>8.1399670790633372E-2</v>
      </c>
      <c r="O66" s="445"/>
      <c r="P66" s="1529"/>
      <c r="Q66" s="445"/>
      <c r="R66" s="1529">
        <v>381.35</v>
      </c>
      <c r="S66" s="2796"/>
      <c r="T66" s="2768"/>
      <c r="U66" s="2829"/>
      <c r="V66" s="2773"/>
      <c r="W66" s="2774"/>
      <c r="X66" s="2774"/>
      <c r="Y66" s="2774"/>
      <c r="Z66" s="2774"/>
      <c r="AA66" s="2774"/>
      <c r="AB66" s="2775"/>
      <c r="AC66" s="2766"/>
    </row>
    <row r="67" spans="1:30" ht="39" hidden="1" customHeight="1">
      <c r="A67" s="2843"/>
      <c r="B67" s="2826"/>
      <c r="C67" s="2847"/>
      <c r="D67" s="2090" t="s">
        <v>1070</v>
      </c>
      <c r="E67" s="2092">
        <v>31</v>
      </c>
      <c r="F67" s="468"/>
      <c r="G67" s="445">
        <v>30</v>
      </c>
      <c r="H67" s="445">
        <f>30.1</f>
        <v>30.1</v>
      </c>
      <c r="I67" s="445"/>
      <c r="J67" s="447">
        <v>31.1</v>
      </c>
      <c r="K67" s="445">
        <v>31.1</v>
      </c>
      <c r="L67" s="445">
        <f>M67</f>
        <v>38.049999999999997</v>
      </c>
      <c r="M67" s="1529">
        <v>38.049999999999997</v>
      </c>
      <c r="N67" s="557">
        <f t="shared" si="1"/>
        <v>0.22347266881028924</v>
      </c>
      <c r="O67" s="2095">
        <f>P67</f>
        <v>38.85</v>
      </c>
      <c r="P67" s="2096">
        <v>38.85</v>
      </c>
      <c r="Q67" s="2095">
        <f>R67</f>
        <v>39.549999999999997</v>
      </c>
      <c r="R67" s="1966">
        <v>39.549999999999997</v>
      </c>
      <c r="S67" s="2796"/>
      <c r="T67" s="2768"/>
      <c r="U67" s="2829"/>
      <c r="V67" s="2773"/>
      <c r="W67" s="2774"/>
      <c r="X67" s="2774"/>
      <c r="Y67" s="2774"/>
      <c r="Z67" s="2774"/>
      <c r="AA67" s="2774"/>
      <c r="AB67" s="2775"/>
      <c r="AC67" s="2766"/>
      <c r="AD67" s="280"/>
    </row>
    <row r="68" spans="1:30" ht="39" hidden="1" customHeight="1">
      <c r="A68" s="2843"/>
      <c r="B68" s="2826"/>
      <c r="C68" s="2847"/>
      <c r="D68" s="2090" t="s">
        <v>2749</v>
      </c>
      <c r="E68" s="2092"/>
      <c r="F68" s="468"/>
      <c r="G68" s="445"/>
      <c r="H68" s="445">
        <v>8.0000000000000002E-3</v>
      </c>
      <c r="I68" s="447"/>
      <c r="J68" s="447"/>
      <c r="K68" s="445">
        <v>0.20799999999999999</v>
      </c>
      <c r="L68" s="445"/>
      <c r="M68" s="1529"/>
      <c r="N68" s="557">
        <f t="shared" si="1"/>
        <v>-1</v>
      </c>
      <c r="O68" s="445"/>
      <c r="P68" s="1529"/>
      <c r="Q68" s="445"/>
      <c r="R68" s="1529"/>
      <c r="S68" s="2796"/>
      <c r="T68" s="2768"/>
      <c r="U68" s="2829"/>
      <c r="V68" s="2773"/>
      <c r="W68" s="2774"/>
      <c r="X68" s="2774"/>
      <c r="Y68" s="2774"/>
      <c r="Z68" s="2774"/>
      <c r="AA68" s="2774"/>
      <c r="AB68" s="2775"/>
      <c r="AC68" s="2766"/>
      <c r="AD68" s="280"/>
    </row>
    <row r="69" spans="1:30" ht="39" hidden="1" customHeight="1">
      <c r="A69" s="2843"/>
      <c r="B69" s="2826"/>
      <c r="C69" s="2847"/>
      <c r="D69" s="455" t="s">
        <v>710</v>
      </c>
      <c r="E69" s="445"/>
      <c r="F69" s="457"/>
      <c r="G69" s="445"/>
      <c r="H69" s="445"/>
      <c r="I69" s="445"/>
      <c r="J69" s="447"/>
      <c r="K69" s="445"/>
      <c r="L69" s="445"/>
      <c r="M69" s="1529"/>
      <c r="N69" s="557" t="e">
        <f t="shared" si="1"/>
        <v>#DIV/0!</v>
      </c>
      <c r="O69" s="445"/>
      <c r="P69" s="1529"/>
      <c r="Q69" s="445"/>
      <c r="R69" s="1529"/>
      <c r="S69" s="2796"/>
      <c r="T69" s="2768"/>
      <c r="U69" s="2829"/>
      <c r="V69" s="2773"/>
      <c r="W69" s="2774"/>
      <c r="X69" s="2774"/>
      <c r="Y69" s="2774"/>
      <c r="Z69" s="2774"/>
      <c r="AA69" s="2774"/>
      <c r="AB69" s="2775"/>
      <c r="AC69" s="2766"/>
    </row>
    <row r="70" spans="1:30" ht="39" hidden="1" customHeight="1">
      <c r="A70" s="2843"/>
      <c r="B70" s="2826"/>
      <c r="C70" s="2847"/>
      <c r="D70" s="1825" t="s">
        <v>1110</v>
      </c>
      <c r="E70" s="1826">
        <f>SUM(E66:E69)</f>
        <v>343.13</v>
      </c>
      <c r="F70" s="1827"/>
      <c r="G70" s="1826">
        <f t="shared" ref="G70" si="51">SUM(G66:G69)</f>
        <v>401.73</v>
      </c>
      <c r="H70" s="1826">
        <f t="shared" ref="H70:O70" si="52">SUM(H66:H69)</f>
        <v>372.47800000000001</v>
      </c>
      <c r="I70" s="1826"/>
      <c r="J70" s="1828">
        <f t="shared" si="52"/>
        <v>373.65000000000003</v>
      </c>
      <c r="K70" s="1826">
        <f t="shared" si="52"/>
        <v>407.96800000000007</v>
      </c>
      <c r="L70" s="1826">
        <f t="shared" si="52"/>
        <v>445.37</v>
      </c>
      <c r="M70" s="1829">
        <f t="shared" ref="M70" si="53">SUM(M66:M69)</f>
        <v>419.40000000000003</v>
      </c>
      <c r="N70" s="2072">
        <f t="shared" si="1"/>
        <v>9.1678759118362041E-2</v>
      </c>
      <c r="O70" s="1826">
        <f t="shared" si="52"/>
        <v>38.85</v>
      </c>
      <c r="P70" s="1829">
        <f t="shared" ref="P70:Q70" si="54">SUM(P66:P69)</f>
        <v>38.85</v>
      </c>
      <c r="Q70" s="1826">
        <f t="shared" si="54"/>
        <v>39.549999999999997</v>
      </c>
      <c r="R70" s="1829">
        <f t="shared" ref="R70" si="55">SUM(R66:R69)</f>
        <v>420.90000000000003</v>
      </c>
      <c r="S70" s="2796"/>
      <c r="T70" s="2768"/>
      <c r="U70" s="2829"/>
      <c r="V70" s="2773"/>
      <c r="W70" s="2774"/>
      <c r="X70" s="2774"/>
      <c r="Y70" s="2774"/>
      <c r="Z70" s="2774"/>
      <c r="AA70" s="2774"/>
      <c r="AB70" s="2775"/>
      <c r="AC70" s="2766"/>
    </row>
    <row r="71" spans="1:30" ht="39" hidden="1" customHeight="1">
      <c r="A71" s="2843"/>
      <c r="B71" s="2826" t="s">
        <v>1109</v>
      </c>
      <c r="C71" s="2847" t="s">
        <v>1624</v>
      </c>
      <c r="D71" s="2090" t="s">
        <v>470</v>
      </c>
      <c r="E71" s="456">
        <v>1644.63</v>
      </c>
      <c r="F71" s="457"/>
      <c r="G71" s="446">
        <v>596.9</v>
      </c>
      <c r="H71" s="446">
        <f>464.86-0.77</f>
        <v>464.09000000000003</v>
      </c>
      <c r="I71" s="459"/>
      <c r="J71" s="459">
        <v>505.69499999999999</v>
      </c>
      <c r="K71" s="1824">
        <v>543.91999999999996</v>
      </c>
      <c r="L71" s="1824">
        <v>594.86</v>
      </c>
      <c r="M71" s="1529">
        <v>568.76900000000001</v>
      </c>
      <c r="N71" s="557">
        <f t="shared" si="1"/>
        <v>9.365347845271374E-2</v>
      </c>
      <c r="O71" s="1824"/>
      <c r="P71" s="1529"/>
      <c r="Q71" s="1824"/>
      <c r="R71" s="1529">
        <v>580.625</v>
      </c>
      <c r="S71" s="2796"/>
      <c r="T71" s="2768"/>
      <c r="U71" s="2829"/>
      <c r="V71" s="2773"/>
      <c r="W71" s="2774"/>
      <c r="X71" s="2774"/>
      <c r="Y71" s="2774"/>
      <c r="Z71" s="2774"/>
      <c r="AA71" s="2774"/>
      <c r="AB71" s="2775"/>
      <c r="AC71" s="2766"/>
    </row>
    <row r="72" spans="1:30" ht="39" hidden="1" customHeight="1">
      <c r="A72" s="2843"/>
      <c r="B72" s="2826"/>
      <c r="C72" s="2847"/>
      <c r="D72" s="455" t="s">
        <v>1070</v>
      </c>
      <c r="E72" s="456">
        <v>92.5</v>
      </c>
      <c r="F72" s="457"/>
      <c r="G72" s="446">
        <v>77.644999999999996</v>
      </c>
      <c r="H72" s="446">
        <v>87.7</v>
      </c>
      <c r="I72" s="446"/>
      <c r="J72" s="459">
        <v>50.95</v>
      </c>
      <c r="K72" s="445"/>
      <c r="L72" s="445"/>
      <c r="M72" s="1529"/>
      <c r="N72" s="557" t="e">
        <f t="shared" si="1"/>
        <v>#DIV/0!</v>
      </c>
      <c r="O72" s="445"/>
      <c r="P72" s="1529"/>
      <c r="Q72" s="445"/>
      <c r="R72" s="1529"/>
      <c r="S72" s="2796"/>
      <c r="T72" s="2768"/>
      <c r="U72" s="2829"/>
      <c r="V72" s="2773"/>
      <c r="W72" s="2774"/>
      <c r="X72" s="2774"/>
      <c r="Y72" s="2774"/>
      <c r="Z72" s="2774"/>
      <c r="AA72" s="2774"/>
      <c r="AB72" s="2775"/>
      <c r="AC72" s="2766"/>
    </row>
    <row r="73" spans="1:30" ht="39" hidden="1" customHeight="1">
      <c r="A73" s="2843"/>
      <c r="B73" s="2826"/>
      <c r="C73" s="2847"/>
      <c r="D73" s="455" t="s">
        <v>710</v>
      </c>
      <c r="E73" s="445"/>
      <c r="F73" s="457"/>
      <c r="G73" s="445"/>
      <c r="H73" s="445"/>
      <c r="I73" s="445"/>
      <c r="J73" s="447"/>
      <c r="K73" s="445"/>
      <c r="L73" s="445"/>
      <c r="M73" s="1529"/>
      <c r="N73" s="557" t="e">
        <f t="shared" si="1"/>
        <v>#DIV/0!</v>
      </c>
      <c r="O73" s="445"/>
      <c r="P73" s="1529"/>
      <c r="Q73" s="445"/>
      <c r="R73" s="1529"/>
      <c r="S73" s="2796"/>
      <c r="T73" s="2768"/>
      <c r="U73" s="2829"/>
      <c r="V73" s="2773"/>
      <c r="W73" s="2774"/>
      <c r="X73" s="2774"/>
      <c r="Y73" s="2774"/>
      <c r="Z73" s="2774"/>
      <c r="AA73" s="2774"/>
      <c r="AB73" s="2775"/>
      <c r="AC73" s="2766"/>
    </row>
    <row r="74" spans="1:30" ht="39" hidden="1" customHeight="1">
      <c r="A74" s="2843"/>
      <c r="B74" s="2826"/>
      <c r="C74" s="2847"/>
      <c r="D74" s="1825" t="s">
        <v>1110</v>
      </c>
      <c r="E74" s="1826">
        <f>SUM(E71:E73)</f>
        <v>1737.13</v>
      </c>
      <c r="F74" s="1827"/>
      <c r="G74" s="1826">
        <f t="shared" ref="G74" si="56">SUM(G71:G73)</f>
        <v>674.54499999999996</v>
      </c>
      <c r="H74" s="1826">
        <f t="shared" ref="H74:O74" si="57">SUM(H71:H73)</f>
        <v>551.79000000000008</v>
      </c>
      <c r="I74" s="1826"/>
      <c r="J74" s="1828">
        <f t="shared" si="57"/>
        <v>556.64499999999998</v>
      </c>
      <c r="K74" s="1826">
        <f t="shared" si="57"/>
        <v>543.91999999999996</v>
      </c>
      <c r="L74" s="1826">
        <f t="shared" si="57"/>
        <v>594.86</v>
      </c>
      <c r="M74" s="1829">
        <f t="shared" ref="M74" si="58">SUM(M71:M73)</f>
        <v>568.76900000000001</v>
      </c>
      <c r="N74" s="2072">
        <f t="shared" si="1"/>
        <v>9.365347845271374E-2</v>
      </c>
      <c r="O74" s="1826">
        <f t="shared" si="57"/>
        <v>0</v>
      </c>
      <c r="P74" s="1829">
        <f t="shared" ref="P74:Q74" si="59">SUM(P71:P73)</f>
        <v>0</v>
      </c>
      <c r="Q74" s="1826">
        <f t="shared" si="59"/>
        <v>0</v>
      </c>
      <c r="R74" s="1829">
        <f t="shared" ref="R74" si="60">SUM(R71:R73)</f>
        <v>580.625</v>
      </c>
      <c r="S74" s="2796"/>
      <c r="T74" s="2768"/>
      <c r="U74" s="2829"/>
      <c r="V74" s="2773"/>
      <c r="W74" s="2774"/>
      <c r="X74" s="2774"/>
      <c r="Y74" s="2774"/>
      <c r="Z74" s="2774"/>
      <c r="AA74" s="2774"/>
      <c r="AB74" s="2775"/>
      <c r="AC74" s="2766"/>
    </row>
    <row r="75" spans="1:30" ht="39" hidden="1" customHeight="1">
      <c r="A75" s="2843"/>
      <c r="B75" s="2826" t="s">
        <v>1134</v>
      </c>
      <c r="C75" s="2847" t="s">
        <v>1625</v>
      </c>
      <c r="D75" s="2090" t="s">
        <v>470</v>
      </c>
      <c r="E75" s="2092">
        <v>99.03</v>
      </c>
      <c r="F75" s="468"/>
      <c r="G75" s="445">
        <v>123.054</v>
      </c>
      <c r="H75" s="445">
        <v>116.2</v>
      </c>
      <c r="I75" s="445"/>
      <c r="J75" s="447">
        <v>124.63</v>
      </c>
      <c r="K75" s="445">
        <f>154.2+2.5</f>
        <v>156.69999999999999</v>
      </c>
      <c r="L75" s="445">
        <v>102.36</v>
      </c>
      <c r="M75" s="1529">
        <v>104.29</v>
      </c>
      <c r="N75" s="557">
        <f t="shared" si="1"/>
        <v>-0.34677728142948305</v>
      </c>
      <c r="O75" s="445"/>
      <c r="P75" s="1529"/>
      <c r="Q75" s="445"/>
      <c r="R75" s="1530">
        <v>124.375</v>
      </c>
      <c r="S75" s="2796"/>
      <c r="T75" s="2768"/>
      <c r="U75" s="2829"/>
      <c r="V75" s="2773"/>
      <c r="W75" s="2774"/>
      <c r="X75" s="2774"/>
      <c r="Y75" s="2774"/>
      <c r="Z75" s="2774"/>
      <c r="AA75" s="2774"/>
      <c r="AB75" s="2775"/>
      <c r="AC75" s="2766"/>
    </row>
    <row r="76" spans="1:30" ht="39" hidden="1" customHeight="1">
      <c r="A76" s="2843"/>
      <c r="B76" s="2826"/>
      <c r="C76" s="2847"/>
      <c r="D76" s="2090" t="s">
        <v>1070</v>
      </c>
      <c r="E76" s="445">
        <v>10.1</v>
      </c>
      <c r="F76" s="468"/>
      <c r="G76" s="445">
        <v>16.100000000000001</v>
      </c>
      <c r="H76" s="445">
        <v>23.1</v>
      </c>
      <c r="I76" s="445"/>
      <c r="J76" s="447">
        <v>27.6</v>
      </c>
      <c r="K76" s="445">
        <f>27.6+30</f>
        <v>57.6</v>
      </c>
      <c r="L76" s="445">
        <v>29.1</v>
      </c>
      <c r="M76" s="1529">
        <v>29.1</v>
      </c>
      <c r="N76" s="557">
        <f t="shared" si="1"/>
        <v>-0.49479166666666663</v>
      </c>
      <c r="O76" s="445">
        <v>30.8</v>
      </c>
      <c r="P76" s="1529">
        <v>30.8</v>
      </c>
      <c r="Q76" s="445">
        <v>31.1</v>
      </c>
      <c r="R76" s="1958">
        <v>31.1</v>
      </c>
      <c r="S76" s="2796"/>
      <c r="T76" s="2768"/>
      <c r="U76" s="2829"/>
      <c r="V76" s="2773"/>
      <c r="W76" s="2774"/>
      <c r="X76" s="2774"/>
      <c r="Y76" s="2774"/>
      <c r="Z76" s="2774"/>
      <c r="AA76" s="2774"/>
      <c r="AB76" s="2775"/>
      <c r="AC76" s="2766"/>
    </row>
    <row r="77" spans="1:30" ht="39" hidden="1" customHeight="1">
      <c r="A77" s="2843"/>
      <c r="B77" s="2826"/>
      <c r="C77" s="2847"/>
      <c r="D77" s="2090" t="s">
        <v>710</v>
      </c>
      <c r="E77" s="445"/>
      <c r="F77" s="468"/>
      <c r="G77" s="445">
        <v>0.33300000000000002</v>
      </c>
      <c r="H77" s="445">
        <v>0.33300000000000002</v>
      </c>
      <c r="I77" s="445"/>
      <c r="J77" s="447">
        <v>0.5</v>
      </c>
      <c r="K77" s="445">
        <v>0.5</v>
      </c>
      <c r="L77" s="445">
        <v>0.5</v>
      </c>
      <c r="M77" s="1529">
        <v>0.35</v>
      </c>
      <c r="N77" s="557">
        <f t="shared" si="1"/>
        <v>0</v>
      </c>
      <c r="O77" s="445">
        <v>0.5</v>
      </c>
      <c r="P77" s="1529">
        <v>0.2</v>
      </c>
      <c r="Q77" s="445">
        <v>0.5</v>
      </c>
      <c r="R77" s="1529">
        <v>0.11</v>
      </c>
      <c r="S77" s="2796"/>
      <c r="T77" s="2768"/>
      <c r="U77" s="2829"/>
      <c r="V77" s="2773"/>
      <c r="W77" s="2774"/>
      <c r="X77" s="2774"/>
      <c r="Y77" s="2774"/>
      <c r="Z77" s="2774"/>
      <c r="AA77" s="2774"/>
      <c r="AB77" s="2775"/>
      <c r="AC77" s="2766"/>
    </row>
    <row r="78" spans="1:30" ht="39" hidden="1" customHeight="1">
      <c r="A78" s="2843"/>
      <c r="B78" s="2826"/>
      <c r="C78" s="2847"/>
      <c r="D78" s="1825" t="s">
        <v>1110</v>
      </c>
      <c r="E78" s="1826">
        <f>SUM(E75:E77)</f>
        <v>109.13</v>
      </c>
      <c r="F78" s="1827"/>
      <c r="G78" s="1826">
        <f t="shared" ref="G78:M78" si="61">SUM(G75:G77)</f>
        <v>139.48699999999999</v>
      </c>
      <c r="H78" s="1826">
        <f t="shared" si="61"/>
        <v>139.63300000000001</v>
      </c>
      <c r="I78" s="1826">
        <f t="shared" si="61"/>
        <v>0</v>
      </c>
      <c r="J78" s="1828">
        <f t="shared" si="61"/>
        <v>152.72999999999999</v>
      </c>
      <c r="K78" s="1826">
        <f t="shared" si="61"/>
        <v>214.79999999999998</v>
      </c>
      <c r="L78" s="1826">
        <f t="shared" si="61"/>
        <v>131.96</v>
      </c>
      <c r="M78" s="1829">
        <f t="shared" si="61"/>
        <v>133.74</v>
      </c>
      <c r="N78" s="2072">
        <f t="shared" si="1"/>
        <v>-0.38566108007448779</v>
      </c>
      <c r="O78" s="1826">
        <f>SUM(O75:O77)</f>
        <v>31.3</v>
      </c>
      <c r="P78" s="1829">
        <f>SUM(P75:P77)</f>
        <v>31</v>
      </c>
      <c r="Q78" s="1826">
        <f>SUM(Q75:Q77)</f>
        <v>31.6</v>
      </c>
      <c r="R78" s="1829">
        <f>SUM(R75:R77)</f>
        <v>155.58500000000001</v>
      </c>
      <c r="S78" s="2796"/>
      <c r="T78" s="2769"/>
      <c r="U78" s="2829"/>
      <c r="V78" s="2776"/>
      <c r="W78" s="2777"/>
      <c r="X78" s="2777"/>
      <c r="Y78" s="2777"/>
      <c r="Z78" s="2777"/>
      <c r="AA78" s="2777"/>
      <c r="AB78" s="2778"/>
      <c r="AC78" s="2766"/>
    </row>
    <row r="79" spans="1:30" ht="34.5" customHeight="1">
      <c r="A79" s="2791" t="s">
        <v>1925</v>
      </c>
      <c r="B79" s="2699" t="s">
        <v>1112</v>
      </c>
      <c r="C79" s="2851" t="s">
        <v>1071</v>
      </c>
      <c r="D79" s="276" t="s">
        <v>1113</v>
      </c>
      <c r="E79" s="213">
        <f>SUM(E86,E93,E100,E107,E114,E120,E126,E132,E138,E144,E150,E156,E165,)</f>
        <v>7901.3199999999988</v>
      </c>
      <c r="F79" s="291">
        <f>H79/E79-1</f>
        <v>0.11304693393002685</v>
      </c>
      <c r="G79" s="213">
        <f>SUM(G86,G93,G100,G107,G114,G120,G126,G132,G138,G144,G150,G156,G165,)</f>
        <v>8096.7530000000015</v>
      </c>
      <c r="H79" s="213">
        <f>SUM(H86,H93,H100,H107,H114,H120,H126,H132,H138,H144,H150,H156,H165,)</f>
        <v>8794.5399999999991</v>
      </c>
      <c r="I79" s="545">
        <f t="shared" ref="I79:I85" si="62">K79/H79-1</f>
        <v>0.19201231673288199</v>
      </c>
      <c r="J79" s="216"/>
      <c r="K79" s="213">
        <f>SUM(K86,K93,K100,K107,K114,K120,K126,K132,K138,K144,K150,K156,K165,)</f>
        <v>10483.199999999999</v>
      </c>
      <c r="L79" s="213">
        <f>SUM(L86,L93,L100,L107,L114,L120,L126,L132,L138,L144,L150,L156,L165,)</f>
        <v>11255.19</v>
      </c>
      <c r="M79" s="1527">
        <f>SUM(M86,M93,M100,M107,M114,M120,M126,M132,M138,M144,M150,M156,M165,)</f>
        <v>10644.105</v>
      </c>
      <c r="N79" s="2079">
        <f>SUM(L79-K79)/K79</f>
        <v>7.3640682234432389E-2</v>
      </c>
      <c r="O79" s="213">
        <f>SUM(O86,O93,O100,O107,O114,O120,O126,O132,O138,O144,O150,O156,O165,)</f>
        <v>11255.19</v>
      </c>
      <c r="P79" s="1527">
        <f t="shared" ref="P79:Q79" si="63">SUM(P86,P93,P100,P107,P114,P120,P126,P132,P138,P144,P150,P156,P165,)</f>
        <v>9702.5899999999983</v>
      </c>
      <c r="Q79" s="213">
        <f t="shared" si="63"/>
        <v>11255.19</v>
      </c>
      <c r="R79" s="1527">
        <f>SUM(R86,R93,R100,R107,R114,R120,R126,R132,R138,R144,R150,R156,R165,)</f>
        <v>11535.917000000001</v>
      </c>
      <c r="S79" s="2796"/>
      <c r="T79" s="2704" t="s">
        <v>3954</v>
      </c>
      <c r="U79" s="2829"/>
      <c r="V79" s="2766" t="s">
        <v>1604</v>
      </c>
      <c r="W79" s="2694" t="s">
        <v>2790</v>
      </c>
      <c r="X79" s="2766" t="s">
        <v>577</v>
      </c>
      <c r="Y79" s="2766" t="s">
        <v>577</v>
      </c>
      <c r="Z79" s="2766" t="s">
        <v>3347</v>
      </c>
      <c r="AA79" s="2766" t="s">
        <v>3347</v>
      </c>
      <c r="AB79" s="2766" t="s">
        <v>3347</v>
      </c>
      <c r="AC79" s="2766"/>
    </row>
    <row r="80" spans="1:30" ht="27.75" hidden="1" customHeight="1">
      <c r="A80" s="2791"/>
      <c r="B80" s="2699"/>
      <c r="C80" s="2851"/>
      <c r="D80" s="276" t="s">
        <v>1070</v>
      </c>
      <c r="E80" s="213"/>
      <c r="F80" s="291"/>
      <c r="G80" s="213"/>
      <c r="H80" s="213"/>
      <c r="I80" s="545"/>
      <c r="J80" s="216"/>
      <c r="K80" s="213"/>
      <c r="L80" s="213"/>
      <c r="M80" s="1527"/>
      <c r="N80" s="2079" t="e">
        <f t="shared" ref="N80:N142" si="64">SUM(L80-K80)/K80</f>
        <v>#DIV/0!</v>
      </c>
      <c r="O80" s="213"/>
      <c r="P80" s="1527"/>
      <c r="Q80" s="213"/>
      <c r="R80" s="1527"/>
      <c r="S80" s="2796"/>
      <c r="T80" s="2734"/>
      <c r="U80" s="2829"/>
      <c r="V80" s="2766"/>
      <c r="W80" s="2694"/>
      <c r="X80" s="2766"/>
      <c r="Y80" s="2766"/>
      <c r="Z80" s="2766"/>
      <c r="AA80" s="2766"/>
      <c r="AB80" s="2766"/>
      <c r="AC80" s="2766"/>
    </row>
    <row r="81" spans="1:29" ht="31.2" customHeight="1">
      <c r="A81" s="2791"/>
      <c r="B81" s="2699"/>
      <c r="C81" s="2851"/>
      <c r="D81" s="276" t="s">
        <v>48</v>
      </c>
      <c r="E81" s="213">
        <f>SUM(E88,E102,E109,E116,E134,E146,E158,E95,E140,)</f>
        <v>249.03999999999996</v>
      </c>
      <c r="F81" s="291">
        <f t="shared" ref="F81:F85" si="65">H81/E81-1</f>
        <v>1.2650578220366211</v>
      </c>
      <c r="G81" s="213">
        <f>SUM(G88,G102,G109,G116,G134,G146,G158,G95,G140,)</f>
        <v>685.43700000000001</v>
      </c>
      <c r="H81" s="213">
        <f>SUM(H88,H102,H109,H116,H134,H146,H158,H95,H140,H128,H163)</f>
        <v>564.09</v>
      </c>
      <c r="I81" s="545">
        <f t="shared" si="62"/>
        <v>-0.16742009253842483</v>
      </c>
      <c r="J81" s="216">
        <v>631.4</v>
      </c>
      <c r="K81" s="213">
        <f>SUM(K88,K95,K102,K109,K116,K122,K128,K134,K140,K146,K158,K163,)</f>
        <v>469.65</v>
      </c>
      <c r="L81" s="213">
        <f>SUM(L88,L95,L102,L109,L116,L158,L89,L96,L103,L110,L122,L128,L134,L140,L146,L161,L163,)</f>
        <v>1547.4149999999997</v>
      </c>
      <c r="M81" s="1527">
        <f>SUM(M88,M95,M102,M109,M116,M122,M128,M134,M140,M146,M158,M163,)</f>
        <v>944.23599999999999</v>
      </c>
      <c r="N81" s="2079">
        <f>SUM(L81-K81)/K81</f>
        <v>2.2948259342063237</v>
      </c>
      <c r="O81" s="213">
        <f>L81+(L81*5%)</f>
        <v>1624.7857499999998</v>
      </c>
      <c r="P81" s="1527">
        <f>SUM(P88,P95,P102,P109,P116,P122,P128,P134,P140,P146,P158,P163,)</f>
        <v>332.04500000000002</v>
      </c>
      <c r="Q81" s="213">
        <f>O81+(O81*5%)</f>
        <v>1706.0250374999998</v>
      </c>
      <c r="R81" s="1527">
        <f>SUM(R88,R95,R102,R109,R116,R122,R128,R134,R140,R146,R158,R163,)</f>
        <v>997.18600000000004</v>
      </c>
      <c r="S81" s="2796"/>
      <c r="T81" s="2734"/>
      <c r="U81" s="2829"/>
      <c r="V81" s="2766"/>
      <c r="W81" s="2694"/>
      <c r="X81" s="2766"/>
      <c r="Y81" s="2766"/>
      <c r="Z81" s="2766"/>
      <c r="AA81" s="2766"/>
      <c r="AB81" s="2766"/>
      <c r="AC81" s="2766"/>
    </row>
    <row r="82" spans="1:29" ht="30" hidden="1" customHeight="1">
      <c r="A82" s="2791"/>
      <c r="B82" s="2699"/>
      <c r="C82" s="2851"/>
      <c r="D82" s="1983" t="s">
        <v>4196</v>
      </c>
      <c r="E82" s="213"/>
      <c r="F82" s="291"/>
      <c r="G82" s="213"/>
      <c r="H82" s="213"/>
      <c r="I82" s="545"/>
      <c r="J82" s="216"/>
      <c r="K82" s="213"/>
      <c r="L82" s="1961"/>
      <c r="M82" s="1527"/>
      <c r="N82" s="2079" t="e">
        <f t="shared" si="64"/>
        <v>#DIV/0!</v>
      </c>
      <c r="O82" s="213"/>
      <c r="P82" s="1527"/>
      <c r="Q82" s="213"/>
      <c r="R82" s="1527"/>
      <c r="S82" s="2796"/>
      <c r="T82" s="2734"/>
      <c r="U82" s="2829"/>
      <c r="V82" s="2766"/>
      <c r="W82" s="2694"/>
      <c r="X82" s="2766"/>
      <c r="Y82" s="2766"/>
      <c r="Z82" s="2766"/>
      <c r="AA82" s="2766"/>
      <c r="AB82" s="2766"/>
      <c r="AC82" s="2766"/>
    </row>
    <row r="83" spans="1:29" ht="34.5" customHeight="1">
      <c r="A83" s="2791"/>
      <c r="B83" s="2699"/>
      <c r="C83" s="2851"/>
      <c r="D83" s="276" t="s">
        <v>1111</v>
      </c>
      <c r="E83" s="213"/>
      <c r="F83" s="291"/>
      <c r="G83" s="213"/>
      <c r="H83" s="213">
        <f>SUM(H90,H97,H104,H111,H117,H123,H129,H135,H141,H147,H153,H159,)</f>
        <v>42.247999999999998</v>
      </c>
      <c r="I83" s="545">
        <f t="shared" si="62"/>
        <v>3.1701382313955691</v>
      </c>
      <c r="J83" s="216"/>
      <c r="K83" s="213">
        <f>SUM(K90,K97,K104,K111,K117,K141,K164)</f>
        <v>176.18</v>
      </c>
      <c r="L83" s="213">
        <f>SUM(L90,L97,L104,L111,L117,L141,L164)</f>
        <v>35.799999999999997</v>
      </c>
      <c r="M83" s="1527">
        <f>SUM(M90,M97,M104,M111,M117,M141,M164)</f>
        <v>41.1</v>
      </c>
      <c r="N83" s="2079">
        <f>SUM(L83-K83)/K83</f>
        <v>-0.79679872857305023</v>
      </c>
      <c r="O83" s="213">
        <f>SUM(O90,O97,O104,O111,O117,O141,O164)</f>
        <v>35.799999999999997</v>
      </c>
      <c r="P83" s="1527">
        <f>SUM(P90,P97,P104,P111,P117,P141,P164)</f>
        <v>35.799999999999997</v>
      </c>
      <c r="Q83" s="213">
        <f>SUM(Q90,Q97,Q104,Q111,Q117,Q141,Q164)</f>
        <v>35.799999999999997</v>
      </c>
      <c r="R83" s="1527">
        <f>SUM(R90,R97,R104,R111,R117,R141,R164)</f>
        <v>45.4</v>
      </c>
      <c r="S83" s="2796"/>
      <c r="T83" s="2734"/>
      <c r="U83" s="2829"/>
      <c r="V83" s="2766"/>
      <c r="W83" s="2694"/>
      <c r="X83" s="2766"/>
      <c r="Y83" s="2766"/>
      <c r="Z83" s="2766"/>
      <c r="AA83" s="2766"/>
      <c r="AB83" s="2766"/>
      <c r="AC83" s="2766"/>
    </row>
    <row r="84" spans="1:29" ht="30" hidden="1" customHeight="1">
      <c r="A84" s="2791"/>
      <c r="B84" s="2699"/>
      <c r="C84" s="2851"/>
      <c r="D84" s="276" t="s">
        <v>710</v>
      </c>
      <c r="E84" s="213"/>
      <c r="F84" s="291"/>
      <c r="G84" s="213"/>
      <c r="H84" s="213"/>
      <c r="I84" s="545"/>
      <c r="J84" s="216"/>
      <c r="K84" s="213"/>
      <c r="L84" s="213"/>
      <c r="M84" s="1527"/>
      <c r="N84" s="2079" t="e">
        <f t="shared" si="64"/>
        <v>#DIV/0!</v>
      </c>
      <c r="O84" s="213"/>
      <c r="P84" s="1527"/>
      <c r="Q84" s="213"/>
      <c r="R84" s="1527"/>
      <c r="S84" s="2796"/>
      <c r="T84" s="2734"/>
      <c r="U84" s="2829"/>
      <c r="V84" s="2766"/>
      <c r="W84" s="2694"/>
      <c r="X84" s="2766"/>
      <c r="Y84" s="2766"/>
      <c r="Z84" s="2766"/>
      <c r="AA84" s="2766"/>
      <c r="AB84" s="2766"/>
      <c r="AC84" s="2766"/>
    </row>
    <row r="85" spans="1:29" ht="39" customHeight="1">
      <c r="A85" s="2791"/>
      <c r="B85" s="2699"/>
      <c r="C85" s="2851"/>
      <c r="D85" s="301" t="s">
        <v>1110</v>
      </c>
      <c r="E85" s="299">
        <f>SUM(E79:E84)</f>
        <v>8150.3599999999988</v>
      </c>
      <c r="F85" s="294">
        <f t="shared" si="65"/>
        <v>0.15343101409017512</v>
      </c>
      <c r="G85" s="299">
        <f>SUM(G79:G84)</f>
        <v>8782.1900000000023</v>
      </c>
      <c r="H85" s="299">
        <f>SUM(H79:H84)</f>
        <v>9400.8779999999988</v>
      </c>
      <c r="I85" s="452">
        <f t="shared" si="62"/>
        <v>0.18382878705584726</v>
      </c>
      <c r="J85" s="299">
        <f>SUM(J79:J84)</f>
        <v>631.4</v>
      </c>
      <c r="K85" s="299">
        <f>SUM(K79:K84)</f>
        <v>11129.029999999999</v>
      </c>
      <c r="L85" s="299">
        <f>SUM(L79:L84)</f>
        <v>12838.404999999999</v>
      </c>
      <c r="M85" s="1531">
        <f>SUM(M79:M84)</f>
        <v>11629.441000000001</v>
      </c>
      <c r="N85" s="2081">
        <f t="shared" si="64"/>
        <v>0.15359604565716869</v>
      </c>
      <c r="O85" s="299">
        <f>SUM(O79:O84)</f>
        <v>12915.775749999999</v>
      </c>
      <c r="P85" s="1531">
        <f>SUM(P79:P84)</f>
        <v>10070.434999999998</v>
      </c>
      <c r="Q85" s="299">
        <f>SUM(Q79:Q84)</f>
        <v>12997.015037499999</v>
      </c>
      <c r="R85" s="1531">
        <f>SUM(R79:R84)</f>
        <v>12578.503000000001</v>
      </c>
      <c r="S85" s="2796"/>
      <c r="T85" s="2734"/>
      <c r="U85" s="2829"/>
      <c r="V85" s="2766"/>
      <c r="W85" s="2694"/>
      <c r="X85" s="2766"/>
      <c r="Y85" s="2766"/>
      <c r="Z85" s="2766"/>
      <c r="AA85" s="2766"/>
      <c r="AB85" s="2766"/>
      <c r="AC85" s="2766"/>
    </row>
    <row r="86" spans="1:29" ht="39" hidden="1" customHeight="1">
      <c r="A86" s="2843"/>
      <c r="B86" s="2826" t="s">
        <v>1103</v>
      </c>
      <c r="C86" s="2824">
        <v>190230641</v>
      </c>
      <c r="D86" s="461" t="s">
        <v>1113</v>
      </c>
      <c r="E86" s="456">
        <v>534.77499999999998</v>
      </c>
      <c r="F86" s="457"/>
      <c r="G86" s="445">
        <v>451.24</v>
      </c>
      <c r="H86" s="445">
        <v>534</v>
      </c>
      <c r="I86" s="445"/>
      <c r="J86" s="447">
        <v>725.78</v>
      </c>
      <c r="K86" s="445">
        <v>552.16</v>
      </c>
      <c r="L86" s="445">
        <v>468.17</v>
      </c>
      <c r="M86" s="1529">
        <v>408.57900000000001</v>
      </c>
      <c r="N86" s="557">
        <f t="shared" si="64"/>
        <v>-0.1521117067516661</v>
      </c>
      <c r="O86" s="445">
        <v>468.17</v>
      </c>
      <c r="P86" s="1529">
        <v>430.27100000000002</v>
      </c>
      <c r="Q86" s="445">
        <v>468.17</v>
      </c>
      <c r="R86" s="1529">
        <v>454.07799999999997</v>
      </c>
      <c r="S86" s="2861"/>
      <c r="T86" s="2862"/>
      <c r="U86" s="2829"/>
      <c r="V86" s="2758"/>
      <c r="W86" s="2759"/>
      <c r="X86" s="2759"/>
      <c r="Y86" s="2759"/>
      <c r="Z86" s="2759"/>
      <c r="AA86" s="2759"/>
      <c r="AB86" s="2854"/>
      <c r="AC86" s="2766"/>
    </row>
    <row r="87" spans="1:29" ht="39" hidden="1" customHeight="1">
      <c r="A87" s="2843"/>
      <c r="B87" s="2826"/>
      <c r="C87" s="2824"/>
      <c r="D87" s="461" t="s">
        <v>1066</v>
      </c>
      <c r="E87" s="445"/>
      <c r="F87" s="457"/>
      <c r="G87" s="445"/>
      <c r="H87" s="445"/>
      <c r="I87" s="445"/>
      <c r="J87" s="447"/>
      <c r="K87" s="445"/>
      <c r="L87" s="445"/>
      <c r="M87" s="1529"/>
      <c r="N87" s="557" t="e">
        <f t="shared" si="64"/>
        <v>#DIV/0!</v>
      </c>
      <c r="O87" s="445"/>
      <c r="P87" s="1529"/>
      <c r="Q87" s="445"/>
      <c r="R87" s="1529"/>
      <c r="S87" s="2863"/>
      <c r="T87" s="2864"/>
      <c r="U87" s="2829"/>
      <c r="V87" s="2760"/>
      <c r="W87" s="2761"/>
      <c r="X87" s="2761"/>
      <c r="Y87" s="2761"/>
      <c r="Z87" s="2761"/>
      <c r="AA87" s="2761"/>
      <c r="AB87" s="2855"/>
      <c r="AC87" s="2766"/>
    </row>
    <row r="88" spans="1:29" ht="39" hidden="1" customHeight="1">
      <c r="A88" s="2843"/>
      <c r="B88" s="2826"/>
      <c r="C88" s="2824"/>
      <c r="D88" s="461" t="s">
        <v>470</v>
      </c>
      <c r="E88" s="456">
        <v>18</v>
      </c>
      <c r="F88" s="457"/>
      <c r="G88" s="445">
        <v>163.065</v>
      </c>
      <c r="H88" s="446">
        <f>43.14-12.6</f>
        <v>30.54</v>
      </c>
      <c r="I88" s="446"/>
      <c r="J88" s="459">
        <v>114.48</v>
      </c>
      <c r="K88" s="445">
        <v>34.58</v>
      </c>
      <c r="L88" s="1824">
        <v>109.67</v>
      </c>
      <c r="M88" s="1529">
        <v>237.899</v>
      </c>
      <c r="N88" s="557">
        <f t="shared" si="64"/>
        <v>2.1714864083285139</v>
      </c>
      <c r="O88" s="445"/>
      <c r="P88" s="1529">
        <v>250.11</v>
      </c>
      <c r="Q88" s="445"/>
      <c r="R88" s="1530">
        <v>259.29700000000003</v>
      </c>
      <c r="S88" s="2863"/>
      <c r="T88" s="2864"/>
      <c r="U88" s="2829"/>
      <c r="V88" s="2760"/>
      <c r="W88" s="2761"/>
      <c r="X88" s="2761"/>
      <c r="Y88" s="2761"/>
      <c r="Z88" s="2761"/>
      <c r="AA88" s="2761"/>
      <c r="AB88" s="2855"/>
      <c r="AC88" s="2766"/>
    </row>
    <row r="89" spans="1:29" ht="39" hidden="1" customHeight="1">
      <c r="A89" s="2843"/>
      <c r="B89" s="2826"/>
      <c r="C89" s="2824"/>
      <c r="D89" s="461" t="s">
        <v>4194</v>
      </c>
      <c r="E89" s="456"/>
      <c r="F89" s="457"/>
      <c r="G89" s="445"/>
      <c r="H89" s="446"/>
      <c r="I89" s="446"/>
      <c r="J89" s="459"/>
      <c r="K89" s="445"/>
      <c r="L89" s="445">
        <v>55.65</v>
      </c>
      <c r="M89" s="1529"/>
      <c r="N89" s="557"/>
      <c r="O89" s="445"/>
      <c r="P89" s="1529"/>
      <c r="Q89" s="445"/>
      <c r="R89" s="1530"/>
      <c r="S89" s="2863"/>
      <c r="T89" s="2864"/>
      <c r="U89" s="2829"/>
      <c r="V89" s="2760"/>
      <c r="W89" s="2761"/>
      <c r="X89" s="2761"/>
      <c r="Y89" s="2761"/>
      <c r="Z89" s="2761"/>
      <c r="AA89" s="2761"/>
      <c r="AB89" s="2855"/>
      <c r="AC89" s="2766"/>
    </row>
    <row r="90" spans="1:29" ht="39" hidden="1" customHeight="1">
      <c r="A90" s="2843"/>
      <c r="B90" s="2826"/>
      <c r="C90" s="2824"/>
      <c r="D90" s="461" t="s">
        <v>1114</v>
      </c>
      <c r="E90" s="445"/>
      <c r="F90" s="457"/>
      <c r="G90" s="445"/>
      <c r="H90" s="445"/>
      <c r="I90" s="445"/>
      <c r="J90" s="447"/>
      <c r="K90" s="445">
        <v>16.600000000000001</v>
      </c>
      <c r="L90" s="445"/>
      <c r="M90" s="1529"/>
      <c r="N90" s="557">
        <f t="shared" si="64"/>
        <v>-1</v>
      </c>
      <c r="O90" s="445"/>
      <c r="P90" s="1529"/>
      <c r="Q90" s="445"/>
      <c r="R90" s="1529">
        <f>P90</f>
        <v>0</v>
      </c>
      <c r="S90" s="2863"/>
      <c r="T90" s="2864"/>
      <c r="U90" s="2829"/>
      <c r="V90" s="2760"/>
      <c r="W90" s="2761"/>
      <c r="X90" s="2761"/>
      <c r="Y90" s="2761"/>
      <c r="Z90" s="2761"/>
      <c r="AA90" s="2761"/>
      <c r="AB90" s="2855"/>
      <c r="AC90" s="2766"/>
    </row>
    <row r="91" spans="1:29" ht="39" hidden="1" customHeight="1">
      <c r="A91" s="2843"/>
      <c r="B91" s="2826"/>
      <c r="C91" s="2824"/>
      <c r="D91" s="461" t="s">
        <v>1115</v>
      </c>
      <c r="E91" s="445"/>
      <c r="F91" s="457"/>
      <c r="G91" s="445"/>
      <c r="H91" s="445"/>
      <c r="I91" s="445"/>
      <c r="J91" s="447"/>
      <c r="K91" s="445"/>
      <c r="L91" s="445"/>
      <c r="M91" s="1529"/>
      <c r="N91" s="557" t="e">
        <f t="shared" si="64"/>
        <v>#DIV/0!</v>
      </c>
      <c r="O91" s="445"/>
      <c r="P91" s="1529"/>
      <c r="Q91" s="445"/>
      <c r="R91" s="1529"/>
      <c r="S91" s="2863"/>
      <c r="T91" s="2864"/>
      <c r="U91" s="2829"/>
      <c r="V91" s="2760"/>
      <c r="W91" s="2761"/>
      <c r="X91" s="2761"/>
      <c r="Y91" s="2761"/>
      <c r="Z91" s="2761"/>
      <c r="AA91" s="2761"/>
      <c r="AB91" s="2855"/>
      <c r="AC91" s="2766"/>
    </row>
    <row r="92" spans="1:29" ht="39" hidden="1" customHeight="1">
      <c r="A92" s="2843"/>
      <c r="B92" s="2826"/>
      <c r="C92" s="2824"/>
      <c r="D92" s="1833" t="s">
        <v>1110</v>
      </c>
      <c r="E92" s="1834">
        <f>SUM(E86:E91)</f>
        <v>552.77499999999998</v>
      </c>
      <c r="F92" s="1827"/>
      <c r="G92" s="1834"/>
      <c r="H92" s="1834">
        <f>SUM(H86,H87,H88,H90,H91,)</f>
        <v>564.54</v>
      </c>
      <c r="I92" s="1834">
        <f t="shared" ref="I92:O92" si="66">SUM(I86,I87,I88,I90,I91,)</f>
        <v>0</v>
      </c>
      <c r="J92" s="1835">
        <f t="shared" si="66"/>
        <v>840.26</v>
      </c>
      <c r="K92" s="1834">
        <f t="shared" si="66"/>
        <v>603.34</v>
      </c>
      <c r="L92" s="1834">
        <f t="shared" si="66"/>
        <v>577.84</v>
      </c>
      <c r="M92" s="1836">
        <f t="shared" ref="M92" si="67">SUM(M86,M87,M88,M90,M91,)</f>
        <v>646.47800000000007</v>
      </c>
      <c r="N92" s="2072">
        <f t="shared" si="64"/>
        <v>-4.2264726356614844E-2</v>
      </c>
      <c r="O92" s="1834">
        <f t="shared" si="66"/>
        <v>468.17</v>
      </c>
      <c r="P92" s="1836">
        <f t="shared" ref="P92:Q92" si="68">SUM(P86,P87,P88,P90,P91,)</f>
        <v>680.38100000000009</v>
      </c>
      <c r="Q92" s="1834">
        <f t="shared" si="68"/>
        <v>468.17</v>
      </c>
      <c r="R92" s="1836">
        <f t="shared" ref="R92" si="69">SUM(R86,R87,R88,R90,R91,)</f>
        <v>713.375</v>
      </c>
      <c r="S92" s="2863"/>
      <c r="T92" s="2864"/>
      <c r="U92" s="2829"/>
      <c r="V92" s="2760"/>
      <c r="W92" s="2761"/>
      <c r="X92" s="2761"/>
      <c r="Y92" s="2761"/>
      <c r="Z92" s="2761"/>
      <c r="AA92" s="2761"/>
      <c r="AB92" s="2855"/>
      <c r="AC92" s="2766"/>
    </row>
    <row r="93" spans="1:29" ht="39" hidden="1" customHeight="1">
      <c r="A93" s="2843"/>
      <c r="B93" s="2826" t="s">
        <v>1104</v>
      </c>
      <c r="C93" s="2824">
        <v>190230443</v>
      </c>
      <c r="D93" s="461" t="s">
        <v>1113</v>
      </c>
      <c r="E93" s="446">
        <v>550.88499999999999</v>
      </c>
      <c r="F93" s="457"/>
      <c r="G93" s="445">
        <v>525.09100000000001</v>
      </c>
      <c r="H93" s="445">
        <f>599.435+7.28</f>
        <v>606.71499999999992</v>
      </c>
      <c r="I93" s="445"/>
      <c r="J93" s="447">
        <v>839.21900000000005</v>
      </c>
      <c r="K93" s="445">
        <v>702.05</v>
      </c>
      <c r="L93" s="445">
        <v>1017.13</v>
      </c>
      <c r="M93" s="1529">
        <v>788.86</v>
      </c>
      <c r="N93" s="557">
        <f t="shared" si="64"/>
        <v>0.44879994302400122</v>
      </c>
      <c r="O93" s="445">
        <v>1017.13</v>
      </c>
      <c r="P93" s="1529">
        <v>789.78599999999994</v>
      </c>
      <c r="Q93" s="445">
        <v>1017.13</v>
      </c>
      <c r="R93" s="1529">
        <v>789.78599999999994</v>
      </c>
      <c r="S93" s="2863"/>
      <c r="T93" s="2864"/>
      <c r="U93" s="2829"/>
      <c r="V93" s="2760"/>
      <c r="W93" s="2761"/>
      <c r="X93" s="2761"/>
      <c r="Y93" s="2761"/>
      <c r="Z93" s="2761"/>
      <c r="AA93" s="2761"/>
      <c r="AB93" s="2855"/>
      <c r="AC93" s="2766"/>
    </row>
    <row r="94" spans="1:29" ht="39" hidden="1" customHeight="1">
      <c r="A94" s="2843"/>
      <c r="B94" s="2826"/>
      <c r="C94" s="2824"/>
      <c r="D94" s="461" t="s">
        <v>1066</v>
      </c>
      <c r="E94" s="456"/>
      <c r="F94" s="457"/>
      <c r="G94" s="446"/>
      <c r="H94" s="446"/>
      <c r="I94" s="446"/>
      <c r="J94" s="459"/>
      <c r="K94" s="446"/>
      <c r="L94" s="446"/>
      <c r="M94" s="1530"/>
      <c r="N94" s="557" t="e">
        <f t="shared" si="64"/>
        <v>#DIV/0!</v>
      </c>
      <c r="O94" s="446"/>
      <c r="P94" s="1530"/>
      <c r="Q94" s="446"/>
      <c r="R94" s="1530"/>
      <c r="S94" s="2863"/>
      <c r="T94" s="2864"/>
      <c r="U94" s="2829"/>
      <c r="V94" s="2760"/>
      <c r="W94" s="2761"/>
      <c r="X94" s="2761"/>
      <c r="Y94" s="2761"/>
      <c r="Z94" s="2761"/>
      <c r="AA94" s="2761"/>
      <c r="AB94" s="2855"/>
      <c r="AC94" s="2766"/>
    </row>
    <row r="95" spans="1:29" ht="39" hidden="1" customHeight="1">
      <c r="A95" s="2843"/>
      <c r="B95" s="2826"/>
      <c r="C95" s="2824"/>
      <c r="D95" s="461" t="s">
        <v>470</v>
      </c>
      <c r="E95" s="445">
        <v>9.73</v>
      </c>
      <c r="F95" s="457"/>
      <c r="G95" s="445">
        <v>137.452</v>
      </c>
      <c r="H95" s="446">
        <f>38.14-19.17</f>
        <v>18.97</v>
      </c>
      <c r="I95" s="446"/>
      <c r="J95" s="459">
        <v>191.839</v>
      </c>
      <c r="K95" s="445">
        <f>45.27+7.76</f>
        <v>53.03</v>
      </c>
      <c r="L95" s="1824">
        <v>197.09</v>
      </c>
      <c r="M95" s="1529">
        <v>191.839</v>
      </c>
      <c r="N95" s="557">
        <f t="shared" si="64"/>
        <v>2.7165755232887046</v>
      </c>
      <c r="O95" s="445"/>
      <c r="P95" s="1529"/>
      <c r="Q95" s="445"/>
      <c r="R95" s="1530">
        <v>191.839</v>
      </c>
      <c r="S95" s="2863"/>
      <c r="T95" s="2864"/>
      <c r="U95" s="2829"/>
      <c r="V95" s="2760"/>
      <c r="W95" s="2761"/>
      <c r="X95" s="2761"/>
      <c r="Y95" s="2761"/>
      <c r="Z95" s="2761"/>
      <c r="AA95" s="2761"/>
      <c r="AB95" s="2855"/>
      <c r="AC95" s="2766"/>
    </row>
    <row r="96" spans="1:29" ht="39" hidden="1" customHeight="1">
      <c r="A96" s="2843"/>
      <c r="B96" s="2826"/>
      <c r="C96" s="2824"/>
      <c r="D96" s="461" t="s">
        <v>4194</v>
      </c>
      <c r="E96" s="445"/>
      <c r="F96" s="457"/>
      <c r="G96" s="445"/>
      <c r="H96" s="446"/>
      <c r="I96" s="446"/>
      <c r="J96" s="459"/>
      <c r="K96" s="445"/>
      <c r="L96" s="445">
        <v>178.9</v>
      </c>
      <c r="M96" s="1529"/>
      <c r="N96" s="557"/>
      <c r="O96" s="445"/>
      <c r="P96" s="1529"/>
      <c r="Q96" s="445"/>
      <c r="R96" s="1530"/>
      <c r="S96" s="2863"/>
      <c r="T96" s="2864"/>
      <c r="U96" s="2829"/>
      <c r="V96" s="2760"/>
      <c r="W96" s="2761"/>
      <c r="X96" s="2761"/>
      <c r="Y96" s="2761"/>
      <c r="Z96" s="2761"/>
      <c r="AA96" s="2761"/>
      <c r="AB96" s="2855"/>
      <c r="AC96" s="2766"/>
    </row>
    <row r="97" spans="1:29" ht="39" hidden="1" customHeight="1">
      <c r="A97" s="2843"/>
      <c r="B97" s="2826"/>
      <c r="C97" s="2824"/>
      <c r="D97" s="461" t="s">
        <v>1114</v>
      </c>
      <c r="E97" s="445"/>
      <c r="F97" s="457"/>
      <c r="G97" s="445"/>
      <c r="H97" s="445"/>
      <c r="I97" s="445"/>
      <c r="J97" s="447"/>
      <c r="K97" s="445">
        <v>20.27</v>
      </c>
      <c r="L97" s="445"/>
      <c r="M97" s="1529"/>
      <c r="N97" s="557">
        <f t="shared" si="64"/>
        <v>-1</v>
      </c>
      <c r="O97" s="445"/>
      <c r="P97" s="1529"/>
      <c r="Q97" s="445"/>
      <c r="R97" s="1529">
        <f>P97</f>
        <v>0</v>
      </c>
      <c r="S97" s="2863"/>
      <c r="T97" s="2864"/>
      <c r="U97" s="2829"/>
      <c r="V97" s="2760"/>
      <c r="W97" s="2761"/>
      <c r="X97" s="2761"/>
      <c r="Y97" s="2761"/>
      <c r="Z97" s="2761"/>
      <c r="AA97" s="2761"/>
      <c r="AB97" s="2855"/>
      <c r="AC97" s="2766"/>
    </row>
    <row r="98" spans="1:29" ht="39" hidden="1" customHeight="1">
      <c r="A98" s="2843"/>
      <c r="B98" s="2826"/>
      <c r="C98" s="2824"/>
      <c r="D98" s="461" t="s">
        <v>1115</v>
      </c>
      <c r="E98" s="445"/>
      <c r="F98" s="457"/>
      <c r="G98" s="445"/>
      <c r="H98" s="445"/>
      <c r="I98" s="445"/>
      <c r="J98" s="447"/>
      <c r="K98" s="445"/>
      <c r="L98" s="445"/>
      <c r="M98" s="1529"/>
      <c r="N98" s="557" t="e">
        <f t="shared" si="64"/>
        <v>#DIV/0!</v>
      </c>
      <c r="O98" s="445"/>
      <c r="P98" s="1529"/>
      <c r="Q98" s="445"/>
      <c r="R98" s="1529"/>
      <c r="S98" s="2863"/>
      <c r="T98" s="2864"/>
      <c r="U98" s="2829"/>
      <c r="V98" s="2760"/>
      <c r="W98" s="2761"/>
      <c r="X98" s="2761"/>
      <c r="Y98" s="2761"/>
      <c r="Z98" s="2761"/>
      <c r="AA98" s="2761"/>
      <c r="AB98" s="2855"/>
      <c r="AC98" s="2766"/>
    </row>
    <row r="99" spans="1:29" ht="39" hidden="1" customHeight="1">
      <c r="A99" s="2843"/>
      <c r="B99" s="2826"/>
      <c r="C99" s="2824"/>
      <c r="D99" s="1833" t="s">
        <v>1110</v>
      </c>
      <c r="E99" s="1834">
        <f>SUM(E93:E98)</f>
        <v>560.61500000000001</v>
      </c>
      <c r="F99" s="1827"/>
      <c r="G99" s="1834">
        <f t="shared" ref="G99" si="70">SUM(G93:G98)</f>
        <v>662.54300000000001</v>
      </c>
      <c r="H99" s="1834">
        <f t="shared" ref="H99:O99" si="71">SUM(H93:H98)</f>
        <v>625.68499999999995</v>
      </c>
      <c r="I99" s="1834">
        <f t="shared" si="71"/>
        <v>0</v>
      </c>
      <c r="J99" s="1835">
        <f t="shared" si="71"/>
        <v>1031.058</v>
      </c>
      <c r="K99" s="1834">
        <f t="shared" si="71"/>
        <v>775.34999999999991</v>
      </c>
      <c r="L99" s="1834">
        <f t="shared" si="71"/>
        <v>1393.1200000000001</v>
      </c>
      <c r="M99" s="1836">
        <f t="shared" ref="M99" si="72">SUM(M93:M98)</f>
        <v>980.69900000000007</v>
      </c>
      <c r="N99" s="2072">
        <f t="shared" si="64"/>
        <v>0.79676275230541083</v>
      </c>
      <c r="O99" s="1834">
        <f t="shared" si="71"/>
        <v>1017.13</v>
      </c>
      <c r="P99" s="1836">
        <f t="shared" ref="P99:Q99" si="73">SUM(P93:P98)</f>
        <v>789.78599999999994</v>
      </c>
      <c r="Q99" s="1834">
        <f t="shared" si="73"/>
        <v>1017.13</v>
      </c>
      <c r="R99" s="1836">
        <f t="shared" ref="R99" si="74">SUM(R93:R98)</f>
        <v>981.625</v>
      </c>
      <c r="S99" s="2863"/>
      <c r="T99" s="2864"/>
      <c r="U99" s="2829"/>
      <c r="V99" s="2760"/>
      <c r="W99" s="2761"/>
      <c r="X99" s="2761"/>
      <c r="Y99" s="2761"/>
      <c r="Z99" s="2761"/>
      <c r="AA99" s="2761"/>
      <c r="AB99" s="2855"/>
      <c r="AC99" s="2766"/>
    </row>
    <row r="100" spans="1:29" ht="39" hidden="1" customHeight="1">
      <c r="A100" s="2843"/>
      <c r="B100" s="2826" t="s">
        <v>1105</v>
      </c>
      <c r="C100" s="2824">
        <v>190231730</v>
      </c>
      <c r="D100" s="461" t="s">
        <v>1113</v>
      </c>
      <c r="E100" s="456">
        <v>419.01499999999999</v>
      </c>
      <c r="F100" s="457"/>
      <c r="G100" s="446">
        <v>454.89</v>
      </c>
      <c r="H100" s="446">
        <v>483.96499999999997</v>
      </c>
      <c r="I100" s="446"/>
      <c r="J100" s="459">
        <v>617.17499999999995</v>
      </c>
      <c r="K100" s="445">
        <v>586.61</v>
      </c>
      <c r="L100" s="445">
        <v>590.59</v>
      </c>
      <c r="M100" s="1529">
        <v>666.71</v>
      </c>
      <c r="N100" s="557">
        <f t="shared" si="64"/>
        <v>6.7847462538995554E-3</v>
      </c>
      <c r="O100" s="445">
        <v>590.59</v>
      </c>
      <c r="P100" s="1529">
        <v>700</v>
      </c>
      <c r="Q100" s="445">
        <v>590.59</v>
      </c>
      <c r="R100" s="1530">
        <v>735</v>
      </c>
      <c r="S100" s="2863"/>
      <c r="T100" s="2864"/>
      <c r="U100" s="2829"/>
      <c r="V100" s="2760"/>
      <c r="W100" s="2761"/>
      <c r="X100" s="2761"/>
      <c r="Y100" s="2761"/>
      <c r="Z100" s="2761"/>
      <c r="AA100" s="2761"/>
      <c r="AB100" s="2855"/>
      <c r="AC100" s="2766"/>
    </row>
    <row r="101" spans="1:29" ht="39" hidden="1" customHeight="1">
      <c r="A101" s="2843"/>
      <c r="B101" s="2826"/>
      <c r="C101" s="2824"/>
      <c r="D101" s="461" t="s">
        <v>1066</v>
      </c>
      <c r="E101" s="446"/>
      <c r="F101" s="457"/>
      <c r="G101" s="446"/>
      <c r="H101" s="446"/>
      <c r="I101" s="446"/>
      <c r="J101" s="459"/>
      <c r="K101" s="445"/>
      <c r="L101" s="445"/>
      <c r="M101" s="1529"/>
      <c r="N101" s="557" t="e">
        <f t="shared" si="64"/>
        <v>#DIV/0!</v>
      </c>
      <c r="O101" s="445"/>
      <c r="P101" s="1529"/>
      <c r="Q101" s="445"/>
      <c r="R101" s="1530"/>
      <c r="S101" s="2863"/>
      <c r="T101" s="2864"/>
      <c r="U101" s="2829"/>
      <c r="V101" s="2760"/>
      <c r="W101" s="2761"/>
      <c r="X101" s="2761"/>
      <c r="Y101" s="2761"/>
      <c r="Z101" s="2761"/>
      <c r="AA101" s="2761"/>
      <c r="AB101" s="2855"/>
      <c r="AC101" s="2766"/>
    </row>
    <row r="102" spans="1:29" ht="39" hidden="1" customHeight="1">
      <c r="A102" s="2843"/>
      <c r="B102" s="2826"/>
      <c r="C102" s="2824"/>
      <c r="D102" s="461" t="s">
        <v>470</v>
      </c>
      <c r="E102" s="445">
        <v>10.029999999999999</v>
      </c>
      <c r="F102" s="457"/>
      <c r="G102" s="445">
        <v>97.53</v>
      </c>
      <c r="H102" s="446">
        <f>48.86-10.95</f>
        <v>37.909999999999997</v>
      </c>
      <c r="I102" s="446"/>
      <c r="J102" s="459">
        <v>98.27</v>
      </c>
      <c r="K102" s="445">
        <f>28.2+7.22</f>
        <v>35.42</v>
      </c>
      <c r="L102" s="1824">
        <v>114.23</v>
      </c>
      <c r="M102" s="1529">
        <v>78.31</v>
      </c>
      <c r="N102" s="557">
        <f t="shared" si="64"/>
        <v>2.225014116318464</v>
      </c>
      <c r="O102" s="445"/>
      <c r="P102" s="1529"/>
      <c r="Q102" s="445"/>
      <c r="R102" s="1530">
        <v>87</v>
      </c>
      <c r="S102" s="2863"/>
      <c r="T102" s="2864"/>
      <c r="U102" s="2829"/>
      <c r="V102" s="2760"/>
      <c r="W102" s="2761"/>
      <c r="X102" s="2761"/>
      <c r="Y102" s="2761"/>
      <c r="Z102" s="2761"/>
      <c r="AA102" s="2761"/>
      <c r="AB102" s="2855"/>
      <c r="AC102" s="2766"/>
    </row>
    <row r="103" spans="1:29" ht="39" hidden="1" customHeight="1">
      <c r="A103" s="2843"/>
      <c r="B103" s="2826"/>
      <c r="C103" s="2824"/>
      <c r="D103" s="461" t="s">
        <v>4194</v>
      </c>
      <c r="E103" s="445"/>
      <c r="F103" s="457"/>
      <c r="G103" s="445"/>
      <c r="H103" s="446"/>
      <c r="I103" s="446"/>
      <c r="J103" s="459"/>
      <c r="K103" s="445"/>
      <c r="L103" s="445">
        <v>71.040000000000006</v>
      </c>
      <c r="M103" s="1529"/>
      <c r="N103" s="557"/>
      <c r="O103" s="445"/>
      <c r="P103" s="1529"/>
      <c r="Q103" s="445"/>
      <c r="R103" s="1530"/>
      <c r="S103" s="2863"/>
      <c r="T103" s="2864"/>
      <c r="U103" s="2829"/>
      <c r="V103" s="2760"/>
      <c r="W103" s="2761"/>
      <c r="X103" s="2761"/>
      <c r="Y103" s="2761"/>
      <c r="Z103" s="2761"/>
      <c r="AA103" s="2761"/>
      <c r="AB103" s="2855"/>
      <c r="AC103" s="2766"/>
    </row>
    <row r="104" spans="1:29" ht="39" hidden="1" customHeight="1">
      <c r="A104" s="2843"/>
      <c r="B104" s="2826"/>
      <c r="C104" s="2824"/>
      <c r="D104" s="461" t="s">
        <v>1114</v>
      </c>
      <c r="E104" s="445"/>
      <c r="F104" s="457"/>
      <c r="G104" s="445"/>
      <c r="H104" s="445"/>
      <c r="I104" s="445"/>
      <c r="J104" s="447"/>
      <c r="K104" s="445">
        <v>16.440000000000001</v>
      </c>
      <c r="L104" s="445"/>
      <c r="M104" s="1529"/>
      <c r="N104" s="557">
        <f t="shared" si="64"/>
        <v>-1</v>
      </c>
      <c r="O104" s="445"/>
      <c r="P104" s="1529"/>
      <c r="Q104" s="445"/>
      <c r="R104" s="1529"/>
      <c r="S104" s="2863"/>
      <c r="T104" s="2864"/>
      <c r="U104" s="2829"/>
      <c r="V104" s="2760"/>
      <c r="W104" s="2761"/>
      <c r="X104" s="2761"/>
      <c r="Y104" s="2761"/>
      <c r="Z104" s="2761"/>
      <c r="AA104" s="2761"/>
      <c r="AB104" s="2855"/>
      <c r="AC104" s="2766"/>
    </row>
    <row r="105" spans="1:29" ht="39" hidden="1" customHeight="1">
      <c r="A105" s="2843"/>
      <c r="B105" s="2826"/>
      <c r="C105" s="2824"/>
      <c r="D105" s="461" t="s">
        <v>1115</v>
      </c>
      <c r="E105" s="445"/>
      <c r="F105" s="457"/>
      <c r="G105" s="445"/>
      <c r="H105" s="445"/>
      <c r="I105" s="445"/>
      <c r="J105" s="447"/>
      <c r="K105" s="445"/>
      <c r="L105" s="1830"/>
      <c r="M105" s="1831"/>
      <c r="N105" s="557" t="e">
        <f t="shared" si="64"/>
        <v>#DIV/0!</v>
      </c>
      <c r="O105" s="445"/>
      <c r="P105" s="1529"/>
      <c r="Q105" s="445"/>
      <c r="R105" s="1529"/>
      <c r="S105" s="2863"/>
      <c r="T105" s="2864"/>
      <c r="U105" s="2829"/>
      <c r="V105" s="2760"/>
      <c r="W105" s="2761"/>
      <c r="X105" s="2761"/>
      <c r="Y105" s="2761"/>
      <c r="Z105" s="2761"/>
      <c r="AA105" s="2761"/>
      <c r="AB105" s="2855"/>
      <c r="AC105" s="2766"/>
    </row>
    <row r="106" spans="1:29" ht="39" hidden="1" customHeight="1">
      <c r="A106" s="2843"/>
      <c r="B106" s="2826"/>
      <c r="C106" s="2824"/>
      <c r="D106" s="1833" t="s">
        <v>1110</v>
      </c>
      <c r="E106" s="1834">
        <f>SUM(E100:E105)</f>
        <v>429.04499999999996</v>
      </c>
      <c r="F106" s="1827"/>
      <c r="G106" s="1834">
        <f t="shared" ref="G106" si="75">SUM(G100:G105)</f>
        <v>552.41999999999996</v>
      </c>
      <c r="H106" s="1834">
        <f t="shared" ref="H106:O106" si="76">SUM(H100:H105)</f>
        <v>521.875</v>
      </c>
      <c r="I106" s="1834"/>
      <c r="J106" s="1835">
        <f t="shared" si="76"/>
        <v>715.44499999999994</v>
      </c>
      <c r="K106" s="1834">
        <f t="shared" si="76"/>
        <v>638.47</v>
      </c>
      <c r="L106" s="1834">
        <f t="shared" si="76"/>
        <v>775.86</v>
      </c>
      <c r="M106" s="1836">
        <f t="shared" ref="M106" si="77">SUM(M100:M105)</f>
        <v>745.02</v>
      </c>
      <c r="N106" s="2072">
        <f t="shared" si="64"/>
        <v>0.2151863047598164</v>
      </c>
      <c r="O106" s="1834">
        <f t="shared" si="76"/>
        <v>590.59</v>
      </c>
      <c r="P106" s="1836">
        <f t="shared" ref="P106:Q106" si="78">SUM(P100:P105)</f>
        <v>700</v>
      </c>
      <c r="Q106" s="1834">
        <f t="shared" si="78"/>
        <v>590.59</v>
      </c>
      <c r="R106" s="1836">
        <f t="shared" ref="R106" si="79">SUM(R100:R105)</f>
        <v>822</v>
      </c>
      <c r="S106" s="2863"/>
      <c r="T106" s="2864"/>
      <c r="U106" s="2829"/>
      <c r="V106" s="2760"/>
      <c r="W106" s="2761"/>
      <c r="X106" s="2761"/>
      <c r="Y106" s="2761"/>
      <c r="Z106" s="2761"/>
      <c r="AA106" s="2761"/>
      <c r="AB106" s="2855"/>
      <c r="AC106" s="2766"/>
    </row>
    <row r="107" spans="1:29" ht="39" hidden="1" customHeight="1">
      <c r="A107" s="2843"/>
      <c r="B107" s="2826" t="s">
        <v>1130</v>
      </c>
      <c r="C107" s="2824">
        <v>190231011</v>
      </c>
      <c r="D107" s="461" t="s">
        <v>1113</v>
      </c>
      <c r="E107" s="456">
        <v>448.51</v>
      </c>
      <c r="F107" s="457"/>
      <c r="G107" s="446">
        <v>387.82299999999998</v>
      </c>
      <c r="H107" s="446">
        <v>459.17500000000001</v>
      </c>
      <c r="I107" s="446"/>
      <c r="J107" s="459">
        <v>572.23500000000001</v>
      </c>
      <c r="K107" s="445">
        <v>494.83</v>
      </c>
      <c r="L107" s="445">
        <v>565.73</v>
      </c>
      <c r="M107" s="1529">
        <v>510</v>
      </c>
      <c r="N107" s="557">
        <f t="shared" si="64"/>
        <v>0.14328153103085917</v>
      </c>
      <c r="O107" s="445">
        <v>565.73</v>
      </c>
      <c r="P107" s="1529">
        <v>510</v>
      </c>
      <c r="Q107" s="445">
        <v>565.73</v>
      </c>
      <c r="R107" s="1530">
        <v>510</v>
      </c>
      <c r="S107" s="2863"/>
      <c r="T107" s="2864"/>
      <c r="U107" s="2829"/>
      <c r="V107" s="2760"/>
      <c r="W107" s="2761"/>
      <c r="X107" s="2761"/>
      <c r="Y107" s="2761"/>
      <c r="Z107" s="2761"/>
      <c r="AA107" s="2761"/>
      <c r="AB107" s="2855"/>
      <c r="AC107" s="2766"/>
    </row>
    <row r="108" spans="1:29" ht="39" hidden="1" customHeight="1">
      <c r="A108" s="2843"/>
      <c r="B108" s="2826"/>
      <c r="C108" s="2824"/>
      <c r="D108" s="461" t="s">
        <v>1066</v>
      </c>
      <c r="E108" s="446"/>
      <c r="F108" s="457"/>
      <c r="G108" s="446"/>
      <c r="H108" s="446"/>
      <c r="I108" s="446"/>
      <c r="J108" s="459"/>
      <c r="K108" s="445"/>
      <c r="L108" s="445"/>
      <c r="M108" s="1529"/>
      <c r="N108" s="557" t="e">
        <f t="shared" si="64"/>
        <v>#DIV/0!</v>
      </c>
      <c r="O108" s="445"/>
      <c r="P108" s="1529"/>
      <c r="Q108" s="445"/>
      <c r="R108" s="1530"/>
      <c r="S108" s="2863"/>
      <c r="T108" s="2864"/>
      <c r="U108" s="2829"/>
      <c r="V108" s="2760"/>
      <c r="W108" s="2761"/>
      <c r="X108" s="2761"/>
      <c r="Y108" s="2761"/>
      <c r="Z108" s="2761"/>
      <c r="AA108" s="2761"/>
      <c r="AB108" s="2855"/>
      <c r="AC108" s="2766"/>
    </row>
    <row r="109" spans="1:29" ht="39" hidden="1" customHeight="1">
      <c r="A109" s="2843"/>
      <c r="B109" s="2826"/>
      <c r="C109" s="2824"/>
      <c r="D109" s="461" t="s">
        <v>470</v>
      </c>
      <c r="E109" s="456">
        <v>15.02</v>
      </c>
      <c r="F109" s="457"/>
      <c r="G109" s="445">
        <v>153.61000000000001</v>
      </c>
      <c r="H109" s="446">
        <f>85.52-13.7</f>
        <v>71.819999999999993</v>
      </c>
      <c r="I109" s="446"/>
      <c r="J109" s="459">
        <v>116.21</v>
      </c>
      <c r="K109" s="445">
        <v>54.34</v>
      </c>
      <c r="L109" s="1824">
        <v>120.96</v>
      </c>
      <c r="M109" s="1529">
        <v>174.23</v>
      </c>
      <c r="N109" s="557">
        <f t="shared" si="64"/>
        <v>1.2259845417740152</v>
      </c>
      <c r="O109" s="445"/>
      <c r="P109" s="1529"/>
      <c r="Q109" s="445"/>
      <c r="R109" s="1530">
        <v>174.23</v>
      </c>
      <c r="S109" s="2863"/>
      <c r="T109" s="2864"/>
      <c r="U109" s="2829"/>
      <c r="V109" s="2760"/>
      <c r="W109" s="2761"/>
      <c r="X109" s="2761"/>
      <c r="Y109" s="2761"/>
      <c r="Z109" s="2761"/>
      <c r="AA109" s="2761"/>
      <c r="AB109" s="2855"/>
      <c r="AC109" s="2766"/>
    </row>
    <row r="110" spans="1:29" ht="39" hidden="1" customHeight="1">
      <c r="A110" s="2843"/>
      <c r="B110" s="2826"/>
      <c r="C110" s="2824"/>
      <c r="D110" s="461" t="s">
        <v>4194</v>
      </c>
      <c r="E110" s="456"/>
      <c r="F110" s="457"/>
      <c r="G110" s="445"/>
      <c r="H110" s="446"/>
      <c r="I110" s="446"/>
      <c r="J110" s="459"/>
      <c r="K110" s="445"/>
      <c r="L110" s="445">
        <v>135.29</v>
      </c>
      <c r="M110" s="1529"/>
      <c r="N110" s="557"/>
      <c r="O110" s="445"/>
      <c r="P110" s="1529"/>
      <c r="Q110" s="445"/>
      <c r="R110" s="1530"/>
      <c r="S110" s="2863"/>
      <c r="T110" s="2864"/>
      <c r="U110" s="2829"/>
      <c r="V110" s="2760"/>
      <c r="W110" s="2761"/>
      <c r="X110" s="2761"/>
      <c r="Y110" s="2761"/>
      <c r="Z110" s="2761"/>
      <c r="AA110" s="2761"/>
      <c r="AB110" s="2855"/>
      <c r="AC110" s="2766"/>
    </row>
    <row r="111" spans="1:29" ht="39" hidden="1" customHeight="1">
      <c r="A111" s="2843"/>
      <c r="B111" s="2826"/>
      <c r="C111" s="2824"/>
      <c r="D111" s="461" t="s">
        <v>1114</v>
      </c>
      <c r="E111" s="445"/>
      <c r="F111" s="457"/>
      <c r="G111" s="445"/>
      <c r="H111" s="445"/>
      <c r="I111" s="445"/>
      <c r="J111" s="447"/>
      <c r="K111" s="445">
        <v>16.77</v>
      </c>
      <c r="L111" s="445"/>
      <c r="M111" s="1529"/>
      <c r="N111" s="557">
        <f t="shared" si="64"/>
        <v>-1</v>
      </c>
      <c r="O111" s="445"/>
      <c r="P111" s="1529"/>
      <c r="Q111" s="445"/>
      <c r="R111" s="1529"/>
      <c r="S111" s="2863"/>
      <c r="T111" s="2864"/>
      <c r="U111" s="2829"/>
      <c r="V111" s="2760"/>
      <c r="W111" s="2761"/>
      <c r="X111" s="2761"/>
      <c r="Y111" s="2761"/>
      <c r="Z111" s="2761"/>
      <c r="AA111" s="2761"/>
      <c r="AB111" s="2855"/>
      <c r="AC111" s="2766"/>
    </row>
    <row r="112" spans="1:29" ht="39" hidden="1" customHeight="1">
      <c r="A112" s="2843"/>
      <c r="B112" s="2826"/>
      <c r="C112" s="2824"/>
      <c r="D112" s="461" t="s">
        <v>1115</v>
      </c>
      <c r="E112" s="445"/>
      <c r="F112" s="457"/>
      <c r="G112" s="445"/>
      <c r="H112" s="445"/>
      <c r="I112" s="445"/>
      <c r="J112" s="447"/>
      <c r="K112" s="445"/>
      <c r="L112" s="445"/>
      <c r="M112" s="1529"/>
      <c r="N112" s="557" t="e">
        <f t="shared" si="64"/>
        <v>#DIV/0!</v>
      </c>
      <c r="O112" s="445"/>
      <c r="P112" s="1529"/>
      <c r="Q112" s="445"/>
      <c r="R112" s="1529"/>
      <c r="S112" s="2863"/>
      <c r="T112" s="2864"/>
      <c r="U112" s="2829"/>
      <c r="V112" s="2760"/>
      <c r="W112" s="2761"/>
      <c r="X112" s="2761"/>
      <c r="Y112" s="2761"/>
      <c r="Z112" s="2761"/>
      <c r="AA112" s="2761"/>
      <c r="AB112" s="2855"/>
      <c r="AC112" s="2766"/>
    </row>
    <row r="113" spans="1:29" ht="39" hidden="1" customHeight="1">
      <c r="A113" s="2843"/>
      <c r="B113" s="2826"/>
      <c r="C113" s="2824"/>
      <c r="D113" s="1833" t="s">
        <v>1110</v>
      </c>
      <c r="E113" s="1834">
        <f>SUM(E107:E112)</f>
        <v>463.53</v>
      </c>
      <c r="F113" s="1827"/>
      <c r="G113" s="1834">
        <f t="shared" ref="G113" si="80">SUM(G107:G112)</f>
        <v>541.43299999999999</v>
      </c>
      <c r="H113" s="1834">
        <f t="shared" ref="H113:O113" si="81">SUM(H107:H112)</f>
        <v>530.995</v>
      </c>
      <c r="I113" s="1834">
        <f t="shared" si="81"/>
        <v>0</v>
      </c>
      <c r="J113" s="1835">
        <f t="shared" si="81"/>
        <v>688.44500000000005</v>
      </c>
      <c r="K113" s="1834">
        <f t="shared" si="81"/>
        <v>565.93999999999994</v>
      </c>
      <c r="L113" s="1834">
        <f t="shared" si="81"/>
        <v>821.98</v>
      </c>
      <c r="M113" s="1836">
        <f t="shared" ref="M113" si="82">SUM(M107:M112)</f>
        <v>684.23</v>
      </c>
      <c r="N113" s="2072">
        <f t="shared" si="64"/>
        <v>0.45241545040110276</v>
      </c>
      <c r="O113" s="1834">
        <f t="shared" si="81"/>
        <v>565.73</v>
      </c>
      <c r="P113" s="1836">
        <f t="shared" ref="P113:Q113" si="83">SUM(P107:P112)</f>
        <v>510</v>
      </c>
      <c r="Q113" s="1834">
        <f t="shared" si="83"/>
        <v>565.73</v>
      </c>
      <c r="R113" s="1836">
        <f t="shared" ref="R113" si="84">SUM(R107:R112)</f>
        <v>684.23</v>
      </c>
      <c r="S113" s="2863"/>
      <c r="T113" s="2864"/>
      <c r="U113" s="2829"/>
      <c r="V113" s="2760"/>
      <c r="W113" s="2761"/>
      <c r="X113" s="2761"/>
      <c r="Y113" s="2761"/>
      <c r="Z113" s="2761"/>
      <c r="AA113" s="2761"/>
      <c r="AB113" s="2855"/>
      <c r="AC113" s="2766"/>
    </row>
    <row r="114" spans="1:29" ht="39" hidden="1" customHeight="1">
      <c r="A114" s="2843"/>
      <c r="B114" s="2826" t="s">
        <v>1106</v>
      </c>
      <c r="C114" s="2824">
        <v>190230258</v>
      </c>
      <c r="D114" s="461" t="s">
        <v>1113</v>
      </c>
      <c r="E114" s="456">
        <v>299.5</v>
      </c>
      <c r="F114" s="457"/>
      <c r="G114" s="446">
        <v>284.33999999999997</v>
      </c>
      <c r="H114" s="446">
        <v>316.97000000000003</v>
      </c>
      <c r="I114" s="446"/>
      <c r="J114" s="459">
        <v>217.31</v>
      </c>
      <c r="K114" s="446">
        <v>320.04000000000002</v>
      </c>
      <c r="L114" s="446"/>
      <c r="M114" s="1530"/>
      <c r="N114" s="557">
        <f t="shared" si="64"/>
        <v>-1</v>
      </c>
      <c r="O114" s="446"/>
      <c r="P114" s="1530"/>
      <c r="Q114" s="446"/>
      <c r="R114" s="1530"/>
      <c r="S114" s="2863"/>
      <c r="T114" s="2864"/>
      <c r="U114" s="2829"/>
      <c r="V114" s="2760"/>
      <c r="W114" s="2761"/>
      <c r="X114" s="2761"/>
      <c r="Y114" s="2761"/>
      <c r="Z114" s="2761"/>
      <c r="AA114" s="2761"/>
      <c r="AB114" s="2855"/>
      <c r="AC114" s="2766"/>
    </row>
    <row r="115" spans="1:29" ht="39" hidden="1" customHeight="1">
      <c r="A115" s="2843"/>
      <c r="B115" s="2826"/>
      <c r="C115" s="2824"/>
      <c r="D115" s="461" t="s">
        <v>1066</v>
      </c>
      <c r="E115" s="446"/>
      <c r="F115" s="457"/>
      <c r="G115" s="446"/>
      <c r="H115" s="446"/>
      <c r="I115" s="446"/>
      <c r="J115" s="459"/>
      <c r="K115" s="446"/>
      <c r="L115" s="446"/>
      <c r="M115" s="1530"/>
      <c r="N115" s="557" t="e">
        <f t="shared" si="64"/>
        <v>#DIV/0!</v>
      </c>
      <c r="O115" s="446"/>
      <c r="P115" s="1530"/>
      <c r="Q115" s="446"/>
      <c r="R115" s="1530"/>
      <c r="S115" s="2863"/>
      <c r="T115" s="2864"/>
      <c r="U115" s="2829"/>
      <c r="V115" s="2760"/>
      <c r="W115" s="2761"/>
      <c r="X115" s="2761"/>
      <c r="Y115" s="2761"/>
      <c r="Z115" s="2761"/>
      <c r="AA115" s="2761"/>
      <c r="AB115" s="2855"/>
      <c r="AC115" s="2766"/>
    </row>
    <row r="116" spans="1:29" ht="39" hidden="1" customHeight="1">
      <c r="A116" s="2843"/>
      <c r="B116" s="2826"/>
      <c r="C116" s="2824"/>
      <c r="D116" s="461" t="s">
        <v>470</v>
      </c>
      <c r="E116" s="456">
        <v>22.72</v>
      </c>
      <c r="F116" s="457"/>
      <c r="G116" s="445">
        <v>110.86499999999999</v>
      </c>
      <c r="H116" s="446">
        <f>57.32-12.05</f>
        <v>45.269999999999996</v>
      </c>
      <c r="I116" s="446"/>
      <c r="J116" s="459">
        <v>119.998</v>
      </c>
      <c r="K116" s="446">
        <v>46.24</v>
      </c>
      <c r="L116" s="459"/>
      <c r="M116" s="1530"/>
      <c r="N116" s="557">
        <f t="shared" si="64"/>
        <v>-1</v>
      </c>
      <c r="O116" s="459"/>
      <c r="P116" s="1530"/>
      <c r="Q116" s="459"/>
      <c r="R116" s="1530"/>
      <c r="S116" s="2863"/>
      <c r="T116" s="2864"/>
      <c r="U116" s="2829"/>
      <c r="V116" s="2760"/>
      <c r="W116" s="2761"/>
      <c r="X116" s="2761"/>
      <c r="Y116" s="2761"/>
      <c r="Z116" s="2761"/>
      <c r="AA116" s="2761"/>
      <c r="AB116" s="2855"/>
      <c r="AC116" s="2766"/>
    </row>
    <row r="117" spans="1:29" ht="39" hidden="1" customHeight="1">
      <c r="A117" s="2843"/>
      <c r="B117" s="2826"/>
      <c r="C117" s="2824"/>
      <c r="D117" s="461" t="s">
        <v>1114</v>
      </c>
      <c r="E117" s="445"/>
      <c r="F117" s="457"/>
      <c r="G117" s="445"/>
      <c r="H117" s="445">
        <v>3.2480000000000002</v>
      </c>
      <c r="I117" s="445"/>
      <c r="J117" s="447"/>
      <c r="K117" s="445">
        <v>12.38</v>
      </c>
      <c r="L117" s="445"/>
      <c r="M117" s="1529"/>
      <c r="N117" s="557">
        <f t="shared" si="64"/>
        <v>-1</v>
      </c>
      <c r="O117" s="445"/>
      <c r="P117" s="1529"/>
      <c r="Q117" s="445"/>
      <c r="R117" s="1529"/>
      <c r="S117" s="2863"/>
      <c r="T117" s="2864"/>
      <c r="U117" s="2829"/>
      <c r="V117" s="2760"/>
      <c r="W117" s="2761"/>
      <c r="X117" s="2761"/>
      <c r="Y117" s="2761"/>
      <c r="Z117" s="2761"/>
      <c r="AA117" s="2761"/>
      <c r="AB117" s="2855"/>
      <c r="AC117" s="2766"/>
    </row>
    <row r="118" spans="1:29" ht="39" hidden="1" customHeight="1">
      <c r="A118" s="2843"/>
      <c r="B118" s="2826"/>
      <c r="C118" s="2824"/>
      <c r="D118" s="461" t="s">
        <v>1115</v>
      </c>
      <c r="E118" s="445"/>
      <c r="F118" s="457"/>
      <c r="G118" s="445"/>
      <c r="H118" s="445"/>
      <c r="I118" s="445"/>
      <c r="J118" s="447"/>
      <c r="K118" s="445"/>
      <c r="L118" s="445"/>
      <c r="M118" s="1529"/>
      <c r="N118" s="557" t="e">
        <f t="shared" si="64"/>
        <v>#DIV/0!</v>
      </c>
      <c r="O118" s="445"/>
      <c r="P118" s="1529"/>
      <c r="Q118" s="445"/>
      <c r="R118" s="1529"/>
      <c r="S118" s="2863"/>
      <c r="T118" s="2864"/>
      <c r="U118" s="2829"/>
      <c r="V118" s="2760"/>
      <c r="W118" s="2761"/>
      <c r="X118" s="2761"/>
      <c r="Y118" s="2761"/>
      <c r="Z118" s="2761"/>
      <c r="AA118" s="2761"/>
      <c r="AB118" s="2855"/>
      <c r="AC118" s="2766"/>
    </row>
    <row r="119" spans="1:29" ht="39" hidden="1" customHeight="1">
      <c r="A119" s="2843"/>
      <c r="B119" s="2826"/>
      <c r="C119" s="2824"/>
      <c r="D119" s="462" t="s">
        <v>1110</v>
      </c>
      <c r="E119" s="445">
        <f>SUM(E114:E118)</f>
        <v>322.22000000000003</v>
      </c>
      <c r="F119" s="457"/>
      <c r="G119" s="445">
        <f t="shared" ref="G119" si="85">SUM(G114:G118)</f>
        <v>395.20499999999998</v>
      </c>
      <c r="H119" s="445">
        <f t="shared" ref="H119:O119" si="86">SUM(H114:H118)</f>
        <v>365.488</v>
      </c>
      <c r="I119" s="445">
        <f t="shared" si="86"/>
        <v>0</v>
      </c>
      <c r="J119" s="447">
        <f t="shared" si="86"/>
        <v>337.30799999999999</v>
      </c>
      <c r="K119" s="445">
        <f t="shared" si="86"/>
        <v>378.66</v>
      </c>
      <c r="L119" s="445">
        <f t="shared" si="86"/>
        <v>0</v>
      </c>
      <c r="M119" s="1529">
        <f t="shared" ref="M119" si="87">SUM(M114:M118)</f>
        <v>0</v>
      </c>
      <c r="N119" s="557">
        <f t="shared" si="64"/>
        <v>-1</v>
      </c>
      <c r="O119" s="445">
        <f t="shared" si="86"/>
        <v>0</v>
      </c>
      <c r="P119" s="1529">
        <f t="shared" ref="P119:Q119" si="88">SUM(P114:P118)</f>
        <v>0</v>
      </c>
      <c r="Q119" s="445">
        <f t="shared" si="88"/>
        <v>0</v>
      </c>
      <c r="R119" s="1529">
        <f t="shared" ref="R119" si="89">SUM(R114:R118)</f>
        <v>0</v>
      </c>
      <c r="S119" s="2863"/>
      <c r="T119" s="2864"/>
      <c r="U119" s="2829"/>
      <c r="V119" s="2760"/>
      <c r="W119" s="2761"/>
      <c r="X119" s="2761"/>
      <c r="Y119" s="2761"/>
      <c r="Z119" s="2761"/>
      <c r="AA119" s="2761"/>
      <c r="AB119" s="2855"/>
      <c r="AC119" s="2766"/>
    </row>
    <row r="120" spans="1:29" ht="39" hidden="1" customHeight="1">
      <c r="A120" s="2843"/>
      <c r="B120" s="2826" t="s">
        <v>1135</v>
      </c>
      <c r="C120" s="2824">
        <v>190243280</v>
      </c>
      <c r="D120" s="461" t="s">
        <v>1113</v>
      </c>
      <c r="E120" s="456">
        <v>756.56500000000005</v>
      </c>
      <c r="F120" s="457"/>
      <c r="G120" s="446">
        <v>747.27499999999998</v>
      </c>
      <c r="H120" s="446">
        <v>836.83</v>
      </c>
      <c r="I120" s="446"/>
      <c r="J120" s="459">
        <v>1008.944</v>
      </c>
      <c r="K120" s="445">
        <v>1035.3699999999999</v>
      </c>
      <c r="L120" s="445">
        <v>1121.0899999999999</v>
      </c>
      <c r="M120" s="1529">
        <v>1001.575</v>
      </c>
      <c r="N120" s="557">
        <f t="shared" si="64"/>
        <v>8.2791659020446828E-2</v>
      </c>
      <c r="O120" s="445">
        <v>1121.0899999999999</v>
      </c>
      <c r="P120" s="1529">
        <v>1001.575</v>
      </c>
      <c r="Q120" s="445">
        <v>1121.0899999999999</v>
      </c>
      <c r="R120" s="1530">
        <v>1001.575</v>
      </c>
      <c r="S120" s="2863"/>
      <c r="T120" s="2864"/>
      <c r="U120" s="2829"/>
      <c r="V120" s="2760"/>
      <c r="W120" s="2761"/>
      <c r="X120" s="2761"/>
      <c r="Y120" s="2761"/>
      <c r="Z120" s="2761"/>
      <c r="AA120" s="2761"/>
      <c r="AB120" s="2855"/>
      <c r="AC120" s="2766"/>
    </row>
    <row r="121" spans="1:29" ht="39" hidden="1" customHeight="1">
      <c r="A121" s="2843"/>
      <c r="B121" s="2826"/>
      <c r="C121" s="2824"/>
      <c r="D121" s="461" t="s">
        <v>1066</v>
      </c>
      <c r="E121" s="446"/>
      <c r="F121" s="457"/>
      <c r="G121" s="446"/>
      <c r="H121" s="446"/>
      <c r="I121" s="446"/>
      <c r="J121" s="459"/>
      <c r="K121" s="445"/>
      <c r="L121" s="445"/>
      <c r="M121" s="1529"/>
      <c r="N121" s="557" t="e">
        <f t="shared" si="64"/>
        <v>#DIV/0!</v>
      </c>
      <c r="O121" s="445"/>
      <c r="P121" s="1529"/>
      <c r="Q121" s="445"/>
      <c r="R121" s="1529"/>
      <c r="S121" s="2863"/>
      <c r="T121" s="2864"/>
      <c r="U121" s="2829"/>
      <c r="V121" s="2760"/>
      <c r="W121" s="2761"/>
      <c r="X121" s="2761"/>
      <c r="Y121" s="2761"/>
      <c r="Z121" s="2761"/>
      <c r="AA121" s="2761"/>
      <c r="AB121" s="2855"/>
      <c r="AC121" s="2766"/>
    </row>
    <row r="122" spans="1:29" ht="39" hidden="1" customHeight="1">
      <c r="A122" s="2843"/>
      <c r="B122" s="2826"/>
      <c r="C122" s="2824"/>
      <c r="D122" s="461" t="s">
        <v>4194</v>
      </c>
      <c r="E122" s="445"/>
      <c r="F122" s="457"/>
      <c r="G122" s="445"/>
      <c r="H122" s="445"/>
      <c r="I122" s="445"/>
      <c r="J122" s="447"/>
      <c r="K122" s="445">
        <v>2.39</v>
      </c>
      <c r="L122" s="445">
        <v>20.58</v>
      </c>
      <c r="M122" s="1529"/>
      <c r="N122" s="557">
        <f t="shared" si="64"/>
        <v>7.6108786610878649</v>
      </c>
      <c r="O122" s="445"/>
      <c r="P122" s="1529"/>
      <c r="Q122" s="445"/>
      <c r="R122" s="1529"/>
      <c r="S122" s="2863"/>
      <c r="T122" s="2864"/>
      <c r="U122" s="2829"/>
      <c r="V122" s="2760"/>
      <c r="W122" s="2761"/>
      <c r="X122" s="2761"/>
      <c r="Y122" s="2761"/>
      <c r="Z122" s="2761"/>
      <c r="AA122" s="2761"/>
      <c r="AB122" s="2855"/>
      <c r="AC122" s="2766"/>
    </row>
    <row r="123" spans="1:29" ht="39" hidden="1" customHeight="1">
      <c r="A123" s="2843"/>
      <c r="B123" s="2826"/>
      <c r="C123" s="2824"/>
      <c r="D123" s="461" t="s">
        <v>1114</v>
      </c>
      <c r="E123" s="445"/>
      <c r="F123" s="457"/>
      <c r="G123" s="445"/>
      <c r="H123" s="445"/>
      <c r="I123" s="445"/>
      <c r="J123" s="447"/>
      <c r="K123" s="445"/>
      <c r="L123" s="445"/>
      <c r="M123" s="1529"/>
      <c r="N123" s="557" t="e">
        <f t="shared" si="64"/>
        <v>#DIV/0!</v>
      </c>
      <c r="O123" s="1529"/>
      <c r="P123" s="1832"/>
      <c r="Q123" s="445"/>
      <c r="R123" s="1529"/>
      <c r="S123" s="2863"/>
      <c r="T123" s="2864"/>
      <c r="U123" s="2829"/>
      <c r="V123" s="2760"/>
      <c r="W123" s="2761"/>
      <c r="X123" s="2761"/>
      <c r="Y123" s="2761"/>
      <c r="Z123" s="2761"/>
      <c r="AA123" s="2761"/>
      <c r="AB123" s="2855"/>
      <c r="AC123" s="2766"/>
    </row>
    <row r="124" spans="1:29" ht="39" hidden="1" customHeight="1">
      <c r="A124" s="2843"/>
      <c r="B124" s="2826"/>
      <c r="C124" s="2824"/>
      <c r="D124" s="461" t="s">
        <v>1115</v>
      </c>
      <c r="E124" s="445"/>
      <c r="F124" s="457"/>
      <c r="G124" s="445"/>
      <c r="H124" s="445"/>
      <c r="I124" s="445"/>
      <c r="J124" s="447"/>
      <c r="K124" s="445"/>
      <c r="L124" s="445"/>
      <c r="M124" s="1529"/>
      <c r="N124" s="557" t="e">
        <f t="shared" si="64"/>
        <v>#DIV/0!</v>
      </c>
      <c r="O124" s="445"/>
      <c r="P124" s="1529"/>
      <c r="Q124" s="445"/>
      <c r="R124" s="1529"/>
      <c r="S124" s="2863"/>
      <c r="T124" s="2864"/>
      <c r="U124" s="2829"/>
      <c r="V124" s="2760"/>
      <c r="W124" s="2761"/>
      <c r="X124" s="2761"/>
      <c r="Y124" s="2761"/>
      <c r="Z124" s="2761"/>
      <c r="AA124" s="2761"/>
      <c r="AB124" s="2855"/>
      <c r="AC124" s="2766"/>
    </row>
    <row r="125" spans="1:29" ht="39" hidden="1" customHeight="1">
      <c r="A125" s="2843"/>
      <c r="B125" s="2826"/>
      <c r="C125" s="2824"/>
      <c r="D125" s="1833" t="s">
        <v>1110</v>
      </c>
      <c r="E125" s="1834">
        <f>SUM(E120:E124)</f>
        <v>756.56500000000005</v>
      </c>
      <c r="F125" s="1827"/>
      <c r="G125" s="1834">
        <f t="shared" ref="G125:M125" si="90">SUM(G120:G124)</f>
        <v>747.27499999999998</v>
      </c>
      <c r="H125" s="1834">
        <f t="shared" si="90"/>
        <v>836.83</v>
      </c>
      <c r="I125" s="1834">
        <f t="shared" si="90"/>
        <v>0</v>
      </c>
      <c r="J125" s="1835">
        <f t="shared" si="90"/>
        <v>1008.944</v>
      </c>
      <c r="K125" s="1834">
        <f t="shared" si="90"/>
        <v>1037.76</v>
      </c>
      <c r="L125" s="1834">
        <f t="shared" si="90"/>
        <v>1141.6699999999998</v>
      </c>
      <c r="M125" s="1836">
        <f t="shared" si="90"/>
        <v>1001.575</v>
      </c>
      <c r="N125" s="2072">
        <f t="shared" si="64"/>
        <v>0.10012912426765327</v>
      </c>
      <c r="O125" s="1834">
        <f>SUM(O120:O124)</f>
        <v>1121.0899999999999</v>
      </c>
      <c r="P125" s="1836">
        <f>SUM(P120:P124)</f>
        <v>1001.575</v>
      </c>
      <c r="Q125" s="1834">
        <f>SUM(Q120:Q124)</f>
        <v>1121.0899999999999</v>
      </c>
      <c r="R125" s="1834">
        <f>SUM(R120:R124)</f>
        <v>1001.575</v>
      </c>
      <c r="S125" s="2863"/>
      <c r="T125" s="2864"/>
      <c r="U125" s="2829"/>
      <c r="V125" s="2760"/>
      <c r="W125" s="2761"/>
      <c r="X125" s="2761"/>
      <c r="Y125" s="2761"/>
      <c r="Z125" s="2761"/>
      <c r="AA125" s="2761"/>
      <c r="AB125" s="2855"/>
      <c r="AC125" s="2766"/>
    </row>
    <row r="126" spans="1:29" ht="39" hidden="1" customHeight="1">
      <c r="A126" s="2843"/>
      <c r="B126" s="2826" t="s">
        <v>1107</v>
      </c>
      <c r="C126" s="2824">
        <v>300135691</v>
      </c>
      <c r="D126" s="461" t="s">
        <v>1113</v>
      </c>
      <c r="E126" s="446">
        <v>1114.8</v>
      </c>
      <c r="F126" s="457"/>
      <c r="G126" s="446">
        <v>1055.5540000000001</v>
      </c>
      <c r="H126" s="446">
        <v>1188.655</v>
      </c>
      <c r="I126" s="446"/>
      <c r="J126" s="459">
        <v>1423.4939999999999</v>
      </c>
      <c r="K126" s="445">
        <v>1421.15</v>
      </c>
      <c r="L126" s="445">
        <v>1545.58</v>
      </c>
      <c r="M126" s="1529">
        <v>1420.643</v>
      </c>
      <c r="N126" s="557">
        <f t="shared" si="64"/>
        <v>8.7555852654540217E-2</v>
      </c>
      <c r="O126" s="445">
        <v>1545.58</v>
      </c>
      <c r="P126" s="1529">
        <v>1552.441</v>
      </c>
      <c r="Q126" s="445">
        <v>1545.58</v>
      </c>
      <c r="R126" s="1530">
        <v>1632.441</v>
      </c>
      <c r="S126" s="2863"/>
      <c r="T126" s="2864"/>
      <c r="U126" s="2829"/>
      <c r="V126" s="2760"/>
      <c r="W126" s="2761"/>
      <c r="X126" s="2761"/>
      <c r="Y126" s="2761"/>
      <c r="Z126" s="2761"/>
      <c r="AA126" s="2761"/>
      <c r="AB126" s="2855"/>
      <c r="AC126" s="2766"/>
    </row>
    <row r="127" spans="1:29" ht="39" hidden="1" customHeight="1">
      <c r="A127" s="2843"/>
      <c r="B127" s="2826"/>
      <c r="C127" s="2824"/>
      <c r="D127" s="461" t="s">
        <v>1066</v>
      </c>
      <c r="E127" s="446"/>
      <c r="F127" s="457"/>
      <c r="G127" s="446"/>
      <c r="H127" s="446"/>
      <c r="I127" s="446"/>
      <c r="J127" s="459"/>
      <c r="K127" s="445"/>
      <c r="L127" s="445"/>
      <c r="M127" s="1529"/>
      <c r="N127" s="557" t="e">
        <f t="shared" si="64"/>
        <v>#DIV/0!</v>
      </c>
      <c r="O127" s="445"/>
      <c r="P127" s="1529"/>
      <c r="Q127" s="445"/>
      <c r="R127" s="1529"/>
      <c r="S127" s="2863"/>
      <c r="T127" s="2864"/>
      <c r="U127" s="2829"/>
      <c r="V127" s="2760"/>
      <c r="W127" s="2761"/>
      <c r="X127" s="2761"/>
      <c r="Y127" s="2761"/>
      <c r="Z127" s="2761"/>
      <c r="AA127" s="2761"/>
      <c r="AB127" s="2855"/>
      <c r="AC127" s="2766"/>
    </row>
    <row r="128" spans="1:29" ht="39" hidden="1" customHeight="1">
      <c r="A128" s="2843"/>
      <c r="B128" s="2826"/>
      <c r="C128" s="2824"/>
      <c r="D128" s="461" t="s">
        <v>4194</v>
      </c>
      <c r="E128" s="445"/>
      <c r="F128" s="457"/>
      <c r="G128" s="445"/>
      <c r="H128" s="446">
        <v>6.93</v>
      </c>
      <c r="I128" s="446"/>
      <c r="J128" s="459"/>
      <c r="K128" s="445">
        <v>12.26</v>
      </c>
      <c r="L128" s="445">
        <v>36.86</v>
      </c>
      <c r="M128" s="1529"/>
      <c r="N128" s="557">
        <f t="shared" si="64"/>
        <v>2.0065252854812399</v>
      </c>
      <c r="O128" s="445"/>
      <c r="P128" s="1529"/>
      <c r="Q128" s="445"/>
      <c r="R128" s="1530"/>
      <c r="S128" s="2863"/>
      <c r="T128" s="2864"/>
      <c r="U128" s="2829"/>
      <c r="V128" s="2760"/>
      <c r="W128" s="2761"/>
      <c r="X128" s="2761"/>
      <c r="Y128" s="2761"/>
      <c r="Z128" s="2761"/>
      <c r="AA128" s="2761"/>
      <c r="AB128" s="2855"/>
      <c r="AC128" s="2766"/>
    </row>
    <row r="129" spans="1:29" ht="39" hidden="1" customHeight="1">
      <c r="A129" s="2843"/>
      <c r="B129" s="2826"/>
      <c r="C129" s="2824"/>
      <c r="D129" s="461" t="s">
        <v>1114</v>
      </c>
      <c r="E129" s="445"/>
      <c r="F129" s="457"/>
      <c r="G129" s="445"/>
      <c r="H129" s="445"/>
      <c r="I129" s="445"/>
      <c r="J129" s="447"/>
      <c r="K129" s="445"/>
      <c r="L129" s="445"/>
      <c r="M129" s="1529"/>
      <c r="N129" s="557" t="e">
        <f t="shared" si="64"/>
        <v>#DIV/0!</v>
      </c>
      <c r="O129" s="445"/>
      <c r="P129" s="1529"/>
      <c r="Q129" s="445"/>
      <c r="R129" s="1529"/>
      <c r="S129" s="2863"/>
      <c r="T129" s="2864"/>
      <c r="U129" s="2829"/>
      <c r="V129" s="2760"/>
      <c r="W129" s="2761"/>
      <c r="X129" s="2761"/>
      <c r="Y129" s="2761"/>
      <c r="Z129" s="2761"/>
      <c r="AA129" s="2761"/>
      <c r="AB129" s="2855"/>
      <c r="AC129" s="2766"/>
    </row>
    <row r="130" spans="1:29" ht="39" hidden="1" customHeight="1">
      <c r="A130" s="2843"/>
      <c r="B130" s="2826"/>
      <c r="C130" s="2824"/>
      <c r="D130" s="461" t="s">
        <v>1115</v>
      </c>
      <c r="E130" s="445"/>
      <c r="F130" s="457"/>
      <c r="G130" s="445"/>
      <c r="H130" s="445"/>
      <c r="I130" s="445"/>
      <c r="J130" s="447"/>
      <c r="K130" s="445"/>
      <c r="L130" s="445"/>
      <c r="M130" s="1529"/>
      <c r="N130" s="557" t="e">
        <f t="shared" si="64"/>
        <v>#DIV/0!</v>
      </c>
      <c r="O130" s="445"/>
      <c r="P130" s="1529"/>
      <c r="Q130" s="445"/>
      <c r="R130" s="1529"/>
      <c r="S130" s="2863"/>
      <c r="T130" s="2864"/>
      <c r="U130" s="2829"/>
      <c r="V130" s="2760"/>
      <c r="W130" s="2761"/>
      <c r="X130" s="2761"/>
      <c r="Y130" s="2761"/>
      <c r="Z130" s="2761"/>
      <c r="AA130" s="2761"/>
      <c r="AB130" s="2855"/>
      <c r="AC130" s="2766"/>
    </row>
    <row r="131" spans="1:29" ht="39" hidden="1" customHeight="1">
      <c r="A131" s="2843"/>
      <c r="B131" s="2826"/>
      <c r="C131" s="2824"/>
      <c r="D131" s="1833" t="s">
        <v>1110</v>
      </c>
      <c r="E131" s="1834">
        <f>SUM(E126:E130)</f>
        <v>1114.8</v>
      </c>
      <c r="F131" s="1827"/>
      <c r="G131" s="1834">
        <f t="shared" ref="G131" si="91">SUM(G126:G130)</f>
        <v>1055.5540000000001</v>
      </c>
      <c r="H131" s="1834">
        <f t="shared" ref="H131:O131" si="92">SUM(H126:H130)</f>
        <v>1195.585</v>
      </c>
      <c r="I131" s="1834">
        <f t="shared" si="92"/>
        <v>0</v>
      </c>
      <c r="J131" s="1835">
        <f t="shared" si="92"/>
        <v>1423.4939999999999</v>
      </c>
      <c r="K131" s="1834">
        <f t="shared" si="92"/>
        <v>1433.41</v>
      </c>
      <c r="L131" s="1834">
        <f t="shared" si="92"/>
        <v>1582.4399999999998</v>
      </c>
      <c r="M131" s="1836">
        <f t="shared" ref="M131" si="93">SUM(M126:M130)</f>
        <v>1420.643</v>
      </c>
      <c r="N131" s="2072">
        <f t="shared" si="64"/>
        <v>0.10396885747971601</v>
      </c>
      <c r="O131" s="1834">
        <f t="shared" si="92"/>
        <v>1545.58</v>
      </c>
      <c r="P131" s="1836">
        <f t="shared" ref="P131:Q131" si="94">SUM(P126:P130)</f>
        <v>1552.441</v>
      </c>
      <c r="Q131" s="1834">
        <f t="shared" si="94"/>
        <v>1545.58</v>
      </c>
      <c r="R131" s="1836">
        <f t="shared" ref="R131" si="95">SUM(R126:R130)</f>
        <v>1632.441</v>
      </c>
      <c r="S131" s="2863"/>
      <c r="T131" s="2864"/>
      <c r="U131" s="2829"/>
      <c r="V131" s="2760"/>
      <c r="W131" s="2761"/>
      <c r="X131" s="2761"/>
      <c r="Y131" s="2761"/>
      <c r="Z131" s="2761"/>
      <c r="AA131" s="2761"/>
      <c r="AB131" s="2855"/>
      <c r="AC131" s="2766"/>
    </row>
    <row r="132" spans="1:29" ht="39" hidden="1" customHeight="1">
      <c r="A132" s="2843"/>
      <c r="B132" s="2826" t="s">
        <v>1132</v>
      </c>
      <c r="C132" s="2824">
        <v>190243095</v>
      </c>
      <c r="D132" s="461" t="s">
        <v>1113</v>
      </c>
      <c r="E132" s="456">
        <v>1315.5</v>
      </c>
      <c r="F132" s="457"/>
      <c r="G132" s="446">
        <v>1296.7750000000001</v>
      </c>
      <c r="H132" s="446">
        <v>1412.665</v>
      </c>
      <c r="I132" s="446"/>
      <c r="J132" s="459">
        <v>1571.3969999999999</v>
      </c>
      <c r="K132" s="445">
        <v>1689.34</v>
      </c>
      <c r="L132" s="445">
        <v>1773.15</v>
      </c>
      <c r="M132" s="1529">
        <v>1880.67</v>
      </c>
      <c r="N132" s="557">
        <f t="shared" si="64"/>
        <v>4.9611090721820461E-2</v>
      </c>
      <c r="O132" s="445">
        <v>1773.15</v>
      </c>
      <c r="P132" s="1529">
        <v>2099.395</v>
      </c>
      <c r="Q132" s="445">
        <v>1773.15</v>
      </c>
      <c r="R132" s="1530">
        <v>2305.81</v>
      </c>
      <c r="S132" s="2863"/>
      <c r="T132" s="2864"/>
      <c r="U132" s="2829"/>
      <c r="V132" s="2760"/>
      <c r="W132" s="2761"/>
      <c r="X132" s="2761"/>
      <c r="Y132" s="2761"/>
      <c r="Z132" s="2761"/>
      <c r="AA132" s="2761"/>
      <c r="AB132" s="2855"/>
      <c r="AC132" s="2766"/>
    </row>
    <row r="133" spans="1:29" ht="39" hidden="1" customHeight="1">
      <c r="A133" s="2843"/>
      <c r="B133" s="2826"/>
      <c r="C133" s="2824"/>
      <c r="D133" s="461" t="s">
        <v>1066</v>
      </c>
      <c r="E133" s="446"/>
      <c r="F133" s="457"/>
      <c r="G133" s="446"/>
      <c r="H133" s="446"/>
      <c r="I133" s="446"/>
      <c r="J133" s="459"/>
      <c r="K133" s="445"/>
      <c r="L133" s="445"/>
      <c r="M133" s="1529"/>
      <c r="N133" s="557" t="e">
        <f t="shared" si="64"/>
        <v>#DIV/0!</v>
      </c>
      <c r="O133" s="445"/>
      <c r="P133" s="1529"/>
      <c r="Q133" s="445"/>
      <c r="R133" s="1529"/>
      <c r="S133" s="2863"/>
      <c r="T133" s="2864"/>
      <c r="U133" s="2829"/>
      <c r="V133" s="2760"/>
      <c r="W133" s="2761"/>
      <c r="X133" s="2761"/>
      <c r="Y133" s="2761"/>
      <c r="Z133" s="2761"/>
      <c r="AA133" s="2761"/>
      <c r="AB133" s="2855"/>
      <c r="AC133" s="2766"/>
    </row>
    <row r="134" spans="1:29" ht="39" hidden="1" customHeight="1">
      <c r="A134" s="2843"/>
      <c r="B134" s="2826"/>
      <c r="C134" s="2824"/>
      <c r="D134" s="461" t="s">
        <v>4194</v>
      </c>
      <c r="E134" s="456">
        <v>22.41</v>
      </c>
      <c r="F134" s="457"/>
      <c r="G134" s="446">
        <v>22.914999999999999</v>
      </c>
      <c r="H134" s="446">
        <v>52.43</v>
      </c>
      <c r="I134" s="446"/>
      <c r="J134" s="459">
        <v>57.674999999999997</v>
      </c>
      <c r="K134" s="445">
        <v>25.65</v>
      </c>
      <c r="L134" s="445">
        <v>127.76</v>
      </c>
      <c r="M134" s="1529">
        <v>30.78</v>
      </c>
      <c r="N134" s="557">
        <f t="shared" si="64"/>
        <v>3.9808966861598449</v>
      </c>
      <c r="O134" s="445"/>
      <c r="P134" s="1529">
        <v>36.935000000000002</v>
      </c>
      <c r="Q134" s="445"/>
      <c r="R134" s="1530">
        <v>44.32</v>
      </c>
      <c r="S134" s="2863"/>
      <c r="T134" s="2864"/>
      <c r="U134" s="2829"/>
      <c r="V134" s="2760"/>
      <c r="W134" s="2761"/>
      <c r="X134" s="2761"/>
      <c r="Y134" s="2761"/>
      <c r="Z134" s="2761"/>
      <c r="AA134" s="2761"/>
      <c r="AB134" s="2855"/>
      <c r="AC134" s="2766"/>
    </row>
    <row r="135" spans="1:29" ht="39" hidden="1" customHeight="1">
      <c r="A135" s="2843"/>
      <c r="B135" s="2826"/>
      <c r="C135" s="2824"/>
      <c r="D135" s="461" t="s">
        <v>1114</v>
      </c>
      <c r="E135" s="445"/>
      <c r="F135" s="457"/>
      <c r="G135" s="445"/>
      <c r="H135" s="445"/>
      <c r="I135" s="445"/>
      <c r="J135" s="447"/>
      <c r="K135" s="445"/>
      <c r="L135" s="445"/>
      <c r="M135" s="1529"/>
      <c r="N135" s="557" t="e">
        <f t="shared" si="64"/>
        <v>#DIV/0!</v>
      </c>
      <c r="O135" s="445"/>
      <c r="P135" s="1529"/>
      <c r="Q135" s="445"/>
      <c r="R135" s="1529"/>
      <c r="S135" s="2863"/>
      <c r="T135" s="2864"/>
      <c r="U135" s="2829"/>
      <c r="V135" s="2760"/>
      <c r="W135" s="2761"/>
      <c r="X135" s="2761"/>
      <c r="Y135" s="2761"/>
      <c r="Z135" s="2761"/>
      <c r="AA135" s="2761"/>
      <c r="AB135" s="2855"/>
      <c r="AC135" s="2766"/>
    </row>
    <row r="136" spans="1:29" ht="39" hidden="1" customHeight="1">
      <c r="A136" s="2843"/>
      <c r="B136" s="2826"/>
      <c r="C136" s="2824"/>
      <c r="D136" s="461" t="s">
        <v>1115</v>
      </c>
      <c r="E136" s="445"/>
      <c r="F136" s="457"/>
      <c r="G136" s="445"/>
      <c r="H136" s="445"/>
      <c r="I136" s="445"/>
      <c r="J136" s="447"/>
      <c r="K136" s="445"/>
      <c r="L136" s="445"/>
      <c r="M136" s="1529"/>
      <c r="N136" s="557" t="e">
        <f t="shared" si="64"/>
        <v>#DIV/0!</v>
      </c>
      <c r="O136" s="445"/>
      <c r="P136" s="1529"/>
      <c r="Q136" s="445"/>
      <c r="R136" s="1529"/>
      <c r="S136" s="2863"/>
      <c r="T136" s="2864"/>
      <c r="U136" s="2829"/>
      <c r="V136" s="2760"/>
      <c r="W136" s="2761"/>
      <c r="X136" s="2761"/>
      <c r="Y136" s="2761"/>
      <c r="Z136" s="2761"/>
      <c r="AA136" s="2761"/>
      <c r="AB136" s="2855"/>
      <c r="AC136" s="2766"/>
    </row>
    <row r="137" spans="1:29" ht="39" hidden="1" customHeight="1">
      <c r="A137" s="2843"/>
      <c r="B137" s="2826"/>
      <c r="C137" s="2824"/>
      <c r="D137" s="1833" t="s">
        <v>1110</v>
      </c>
      <c r="E137" s="1834">
        <f>SUM(E132:E136)</f>
        <v>1337.91</v>
      </c>
      <c r="F137" s="1827"/>
      <c r="G137" s="1834">
        <f t="shared" ref="G137" si="96">SUM(G132:G136)</f>
        <v>1319.69</v>
      </c>
      <c r="H137" s="1834">
        <f t="shared" ref="H137:O137" si="97">SUM(H132:H136)</f>
        <v>1465.095</v>
      </c>
      <c r="I137" s="1834">
        <f t="shared" si="97"/>
        <v>0</v>
      </c>
      <c r="J137" s="1835">
        <f t="shared" si="97"/>
        <v>1629.0719999999999</v>
      </c>
      <c r="K137" s="1834">
        <f t="shared" si="97"/>
        <v>1714.99</v>
      </c>
      <c r="L137" s="1834">
        <f t="shared" si="97"/>
        <v>1900.91</v>
      </c>
      <c r="M137" s="1836">
        <f t="shared" ref="M137" si="98">SUM(M132:M136)</f>
        <v>1911.45</v>
      </c>
      <c r="N137" s="2072">
        <f t="shared" si="64"/>
        <v>0.10840879538656206</v>
      </c>
      <c r="O137" s="1834">
        <f t="shared" si="97"/>
        <v>1773.15</v>
      </c>
      <c r="P137" s="1836">
        <f t="shared" ref="P137:Q137" si="99">SUM(P132:P136)</f>
        <v>2136.33</v>
      </c>
      <c r="Q137" s="1834">
        <f t="shared" si="99"/>
        <v>1773.15</v>
      </c>
      <c r="R137" s="1836">
        <f t="shared" ref="R137" si="100">SUM(R132:R136)</f>
        <v>2350.13</v>
      </c>
      <c r="S137" s="2863"/>
      <c r="T137" s="2864"/>
      <c r="U137" s="2829"/>
      <c r="V137" s="2760"/>
      <c r="W137" s="2761"/>
      <c r="X137" s="2761"/>
      <c r="Y137" s="2761"/>
      <c r="Z137" s="2761"/>
      <c r="AA137" s="2761"/>
      <c r="AB137" s="2855"/>
      <c r="AC137" s="2766"/>
    </row>
    <row r="138" spans="1:29" ht="39" hidden="1" customHeight="1">
      <c r="A138" s="2843"/>
      <c r="B138" s="2826" t="s">
        <v>1108</v>
      </c>
      <c r="C138" s="2824">
        <v>190243519</v>
      </c>
      <c r="D138" s="461" t="s">
        <v>1113</v>
      </c>
      <c r="E138" s="456">
        <v>1486.16</v>
      </c>
      <c r="F138" s="457"/>
      <c r="G138" s="446">
        <v>1701.5340000000001</v>
      </c>
      <c r="H138" s="446">
        <v>1810.5650000000001</v>
      </c>
      <c r="I138" s="446"/>
      <c r="J138" s="459">
        <v>2303.1889999999999</v>
      </c>
      <c r="K138" s="445">
        <v>2263.5500000000002</v>
      </c>
      <c r="L138" s="445">
        <v>2577.09</v>
      </c>
      <c r="M138" s="1529">
        <v>2496.6080000000002</v>
      </c>
      <c r="N138" s="557">
        <f t="shared" si="64"/>
        <v>0.13851693136886745</v>
      </c>
      <c r="O138" s="445">
        <v>2577.09</v>
      </c>
      <c r="P138" s="1529">
        <v>2506.0419999999999</v>
      </c>
      <c r="Q138" s="445">
        <v>2577.09</v>
      </c>
      <c r="R138" s="1530">
        <v>2615.1790000000001</v>
      </c>
      <c r="S138" s="2863"/>
      <c r="T138" s="2864"/>
      <c r="U138" s="2829"/>
      <c r="V138" s="2760"/>
      <c r="W138" s="2761"/>
      <c r="X138" s="2761"/>
      <c r="Y138" s="2761"/>
      <c r="Z138" s="2761"/>
      <c r="AA138" s="2761"/>
      <c r="AB138" s="2855"/>
      <c r="AC138" s="2766"/>
    </row>
    <row r="139" spans="1:29" ht="39" hidden="1" customHeight="1">
      <c r="A139" s="2843"/>
      <c r="B139" s="2826"/>
      <c r="C139" s="2824"/>
      <c r="D139" s="461" t="s">
        <v>1066</v>
      </c>
      <c r="E139" s="446"/>
      <c r="F139" s="457"/>
      <c r="G139" s="446"/>
      <c r="H139" s="446"/>
      <c r="I139" s="446"/>
      <c r="J139" s="459"/>
      <c r="K139" s="445"/>
      <c r="L139" s="445"/>
      <c r="M139" s="1529"/>
      <c r="N139" s="557" t="e">
        <f t="shared" si="64"/>
        <v>#DIV/0!</v>
      </c>
      <c r="O139" s="445"/>
      <c r="P139" s="1529"/>
      <c r="Q139" s="445"/>
      <c r="R139" s="1529"/>
      <c r="S139" s="2863"/>
      <c r="T139" s="2864"/>
      <c r="U139" s="2829"/>
      <c r="V139" s="2760"/>
      <c r="W139" s="2761"/>
      <c r="X139" s="2761"/>
      <c r="Y139" s="2761"/>
      <c r="Z139" s="2761"/>
      <c r="AA139" s="2761"/>
      <c r="AB139" s="2855"/>
      <c r="AC139" s="2766"/>
    </row>
    <row r="140" spans="1:29" ht="39" hidden="1" customHeight="1">
      <c r="A140" s="2843"/>
      <c r="B140" s="2826"/>
      <c r="C140" s="2824"/>
      <c r="D140" s="461" t="s">
        <v>4194</v>
      </c>
      <c r="E140" s="446">
        <v>19.21</v>
      </c>
      <c r="F140" s="457"/>
      <c r="G140" s="446"/>
      <c r="H140" s="446">
        <v>44.82</v>
      </c>
      <c r="I140" s="446"/>
      <c r="J140" s="459">
        <v>69.759</v>
      </c>
      <c r="K140" s="445">
        <v>33.549999999999997</v>
      </c>
      <c r="L140" s="445">
        <v>55.53</v>
      </c>
      <c r="M140" s="1529">
        <v>44.122</v>
      </c>
      <c r="N140" s="557">
        <f t="shared" si="64"/>
        <v>0.65514157973174381</v>
      </c>
      <c r="O140" s="445"/>
      <c r="P140" s="1529">
        <v>45</v>
      </c>
      <c r="Q140" s="445"/>
      <c r="R140" s="1530">
        <v>47</v>
      </c>
      <c r="S140" s="2863"/>
      <c r="T140" s="2864"/>
      <c r="U140" s="2829"/>
      <c r="V140" s="2760"/>
      <c r="W140" s="2761"/>
      <c r="X140" s="2761"/>
      <c r="Y140" s="2761"/>
      <c r="Z140" s="2761"/>
      <c r="AA140" s="2761"/>
      <c r="AB140" s="2855"/>
      <c r="AC140" s="2766"/>
    </row>
    <row r="141" spans="1:29" ht="39" hidden="1" customHeight="1">
      <c r="A141" s="2843"/>
      <c r="B141" s="2826"/>
      <c r="C141" s="2824"/>
      <c r="D141" s="461" t="s">
        <v>1111</v>
      </c>
      <c r="E141" s="445"/>
      <c r="F141" s="457"/>
      <c r="G141" s="445"/>
      <c r="H141" s="445">
        <v>39</v>
      </c>
      <c r="I141" s="445"/>
      <c r="J141" s="447">
        <v>40.200000000000003</v>
      </c>
      <c r="K141" s="445">
        <v>40.200000000000003</v>
      </c>
      <c r="L141" s="445">
        <v>35.799999999999997</v>
      </c>
      <c r="M141" s="1529">
        <v>41.1</v>
      </c>
      <c r="N141" s="557">
        <f t="shared" si="64"/>
        <v>-0.1094527363184081</v>
      </c>
      <c r="O141" s="445">
        <v>35.799999999999997</v>
      </c>
      <c r="P141" s="445">
        <v>35.799999999999997</v>
      </c>
      <c r="Q141" s="445">
        <v>35.799999999999997</v>
      </c>
      <c r="R141" s="1529">
        <v>45.4</v>
      </c>
      <c r="S141" s="2863"/>
      <c r="T141" s="2864"/>
      <c r="U141" s="2829"/>
      <c r="V141" s="2760"/>
      <c r="W141" s="2761"/>
      <c r="X141" s="2761"/>
      <c r="Y141" s="2761"/>
      <c r="Z141" s="2761"/>
      <c r="AA141" s="2761"/>
      <c r="AB141" s="2855"/>
      <c r="AC141" s="2766"/>
    </row>
    <row r="142" spans="1:29" ht="39" hidden="1" customHeight="1">
      <c r="A142" s="2843"/>
      <c r="B142" s="2826"/>
      <c r="C142" s="2824"/>
      <c r="D142" s="461" t="s">
        <v>1115</v>
      </c>
      <c r="E142" s="445"/>
      <c r="F142" s="457"/>
      <c r="G142" s="445"/>
      <c r="H142" s="445"/>
      <c r="I142" s="445"/>
      <c r="J142" s="447"/>
      <c r="K142" s="445"/>
      <c r="L142" s="445"/>
      <c r="M142" s="1529"/>
      <c r="N142" s="557" t="e">
        <f t="shared" si="64"/>
        <v>#DIV/0!</v>
      </c>
      <c r="O142" s="445"/>
      <c r="P142" s="1529"/>
      <c r="Q142" s="445"/>
      <c r="R142" s="1529"/>
      <c r="S142" s="2863"/>
      <c r="T142" s="2864"/>
      <c r="U142" s="2829"/>
      <c r="V142" s="2760"/>
      <c r="W142" s="2761"/>
      <c r="X142" s="2761"/>
      <c r="Y142" s="2761"/>
      <c r="Z142" s="2761"/>
      <c r="AA142" s="2761"/>
      <c r="AB142" s="2855"/>
      <c r="AC142" s="2766"/>
    </row>
    <row r="143" spans="1:29" ht="39" hidden="1" customHeight="1">
      <c r="A143" s="2843"/>
      <c r="B143" s="2826"/>
      <c r="C143" s="2824"/>
      <c r="D143" s="1825" t="s">
        <v>1110</v>
      </c>
      <c r="E143" s="1834">
        <f>SUM(E138:E142)</f>
        <v>1505.3700000000001</v>
      </c>
      <c r="F143" s="1827"/>
      <c r="G143" s="1834">
        <f t="shared" ref="G143" si="101">SUM(G138:G142)</f>
        <v>1701.5340000000001</v>
      </c>
      <c r="H143" s="1834">
        <f t="shared" ref="H143:O143" si="102">SUM(H138:H142)</f>
        <v>1894.385</v>
      </c>
      <c r="I143" s="1834">
        <f t="shared" si="102"/>
        <v>0</v>
      </c>
      <c r="J143" s="1835">
        <f t="shared" si="102"/>
        <v>2413.1479999999997</v>
      </c>
      <c r="K143" s="1834">
        <f t="shared" si="102"/>
        <v>2337.3000000000002</v>
      </c>
      <c r="L143" s="1834">
        <f t="shared" si="102"/>
        <v>2668.4200000000005</v>
      </c>
      <c r="M143" s="1836">
        <f>SUM(M138:M142)</f>
        <v>2581.83</v>
      </c>
      <c r="N143" s="2072">
        <f t="shared" ref="N143:N206" si="103">SUM(L143-K143)/K143</f>
        <v>0.14166773627690082</v>
      </c>
      <c r="O143" s="1834">
        <f t="shared" si="102"/>
        <v>2612.8900000000003</v>
      </c>
      <c r="P143" s="1836">
        <f t="shared" ref="P143:Q143" si="104">SUM(P138:P142)</f>
        <v>2586.8420000000001</v>
      </c>
      <c r="Q143" s="1834">
        <f t="shared" si="104"/>
        <v>2612.8900000000003</v>
      </c>
      <c r="R143" s="1836">
        <f t="shared" ref="R143" si="105">SUM(R138:R142)</f>
        <v>2707.5790000000002</v>
      </c>
      <c r="S143" s="2863"/>
      <c r="T143" s="2864"/>
      <c r="U143" s="2829"/>
      <c r="V143" s="2760"/>
      <c r="W143" s="2761"/>
      <c r="X143" s="2761"/>
      <c r="Y143" s="2761"/>
      <c r="Z143" s="2761"/>
      <c r="AA143" s="2761"/>
      <c r="AB143" s="2855"/>
      <c r="AC143" s="2766"/>
    </row>
    <row r="144" spans="1:29" ht="39" hidden="1" customHeight="1">
      <c r="A144" s="2843"/>
      <c r="B144" s="2826" t="s">
        <v>1133</v>
      </c>
      <c r="C144" s="2824">
        <v>193170510</v>
      </c>
      <c r="D144" s="461" t="s">
        <v>1113</v>
      </c>
      <c r="E144" s="456">
        <v>817.91</v>
      </c>
      <c r="F144" s="457"/>
      <c r="G144" s="446">
        <v>938.19</v>
      </c>
      <c r="H144" s="446">
        <v>971.59</v>
      </c>
      <c r="I144" s="446"/>
      <c r="J144" s="459">
        <v>1278.95</v>
      </c>
      <c r="K144" s="445">
        <v>1253.57</v>
      </c>
      <c r="L144" s="445">
        <v>1415.83</v>
      </c>
      <c r="M144" s="1529">
        <v>1367.66</v>
      </c>
      <c r="N144" s="557">
        <f t="shared" si="103"/>
        <v>0.12943832414623835</v>
      </c>
      <c r="O144" s="445">
        <v>1415.83</v>
      </c>
      <c r="P144" s="1529"/>
      <c r="Q144" s="445">
        <v>1415.83</v>
      </c>
      <c r="R144" s="1530">
        <v>1367.66</v>
      </c>
      <c r="S144" s="2863"/>
      <c r="T144" s="2864"/>
      <c r="U144" s="2829"/>
      <c r="V144" s="2760"/>
      <c r="W144" s="2761"/>
      <c r="X144" s="2761"/>
      <c r="Y144" s="2761"/>
      <c r="Z144" s="2761"/>
      <c r="AA144" s="2761"/>
      <c r="AB144" s="2855"/>
      <c r="AC144" s="2766"/>
    </row>
    <row r="145" spans="1:29" ht="39" hidden="1" customHeight="1">
      <c r="A145" s="2843"/>
      <c r="B145" s="2826"/>
      <c r="C145" s="2824"/>
      <c r="D145" s="461" t="s">
        <v>1066</v>
      </c>
      <c r="E145" s="446"/>
      <c r="F145" s="457"/>
      <c r="G145" s="446"/>
      <c r="H145" s="446"/>
      <c r="I145" s="446"/>
      <c r="J145" s="459"/>
      <c r="K145" s="445"/>
      <c r="L145" s="445"/>
      <c r="M145" s="1529"/>
      <c r="N145" s="557" t="e">
        <f t="shared" si="103"/>
        <v>#DIV/0!</v>
      </c>
      <c r="O145" s="445"/>
      <c r="P145" s="1529"/>
      <c r="Q145" s="445"/>
      <c r="R145" s="1529"/>
      <c r="S145" s="2863"/>
      <c r="T145" s="2864"/>
      <c r="U145" s="2829"/>
      <c r="V145" s="2760"/>
      <c r="W145" s="2761"/>
      <c r="X145" s="2761"/>
      <c r="Y145" s="2761"/>
      <c r="Z145" s="2761"/>
      <c r="AA145" s="2761"/>
      <c r="AB145" s="2855"/>
      <c r="AC145" s="2766"/>
    </row>
    <row r="146" spans="1:29" ht="39" hidden="1" customHeight="1">
      <c r="A146" s="2843"/>
      <c r="B146" s="2826"/>
      <c r="C146" s="2824"/>
      <c r="D146" s="461" t="s">
        <v>4194</v>
      </c>
      <c r="E146" s="456">
        <v>19.18</v>
      </c>
      <c r="F146" s="457"/>
      <c r="G146" s="446"/>
      <c r="H146" s="446">
        <v>37</v>
      </c>
      <c r="I146" s="446"/>
      <c r="J146" s="459"/>
      <c r="K146" s="445">
        <v>18.89</v>
      </c>
      <c r="L146" s="445">
        <v>39.35</v>
      </c>
      <c r="M146" s="1529">
        <v>0</v>
      </c>
      <c r="N146" s="557">
        <f t="shared" si="103"/>
        <v>1.0831127580730546</v>
      </c>
      <c r="O146" s="445"/>
      <c r="P146" s="1529"/>
      <c r="Q146" s="445"/>
      <c r="R146" s="1530"/>
      <c r="S146" s="2863"/>
      <c r="T146" s="2864"/>
      <c r="U146" s="2829"/>
      <c r="V146" s="2760"/>
      <c r="W146" s="2761"/>
      <c r="X146" s="2761"/>
      <c r="Y146" s="2761"/>
      <c r="Z146" s="2761"/>
      <c r="AA146" s="2761"/>
      <c r="AB146" s="2855"/>
      <c r="AC146" s="2766"/>
    </row>
    <row r="147" spans="1:29" ht="39" hidden="1" customHeight="1">
      <c r="A147" s="2843"/>
      <c r="B147" s="2826"/>
      <c r="C147" s="2824"/>
      <c r="D147" s="461" t="s">
        <v>1114</v>
      </c>
      <c r="E147" s="445"/>
      <c r="F147" s="457"/>
      <c r="G147" s="445"/>
      <c r="H147" s="445"/>
      <c r="I147" s="445"/>
      <c r="J147" s="447"/>
      <c r="K147" s="445"/>
      <c r="L147" s="445"/>
      <c r="M147" s="1529"/>
      <c r="N147" s="557" t="e">
        <f t="shared" si="103"/>
        <v>#DIV/0!</v>
      </c>
      <c r="O147" s="445"/>
      <c r="P147" s="1529"/>
      <c r="Q147" s="445"/>
      <c r="R147" s="1529"/>
      <c r="S147" s="2863"/>
      <c r="T147" s="2864"/>
      <c r="U147" s="2829"/>
      <c r="V147" s="2760"/>
      <c r="W147" s="2761"/>
      <c r="X147" s="2761"/>
      <c r="Y147" s="2761"/>
      <c r="Z147" s="2761"/>
      <c r="AA147" s="2761"/>
      <c r="AB147" s="2855"/>
      <c r="AC147" s="2766"/>
    </row>
    <row r="148" spans="1:29" ht="39" hidden="1" customHeight="1">
      <c r="A148" s="2843"/>
      <c r="B148" s="2826"/>
      <c r="C148" s="2824"/>
      <c r="D148" s="461" t="s">
        <v>1115</v>
      </c>
      <c r="E148" s="445"/>
      <c r="F148" s="457"/>
      <c r="G148" s="445"/>
      <c r="H148" s="445"/>
      <c r="I148" s="445"/>
      <c r="J148" s="447"/>
      <c r="K148" s="445"/>
      <c r="L148" s="445"/>
      <c r="M148" s="1529"/>
      <c r="N148" s="557" t="e">
        <f t="shared" si="103"/>
        <v>#DIV/0!</v>
      </c>
      <c r="O148" s="445"/>
      <c r="P148" s="1529"/>
      <c r="Q148" s="445"/>
      <c r="R148" s="1529"/>
      <c r="S148" s="2863"/>
      <c r="T148" s="2864"/>
      <c r="U148" s="2829"/>
      <c r="V148" s="2760"/>
      <c r="W148" s="2761"/>
      <c r="X148" s="2761"/>
      <c r="Y148" s="2761"/>
      <c r="Z148" s="2761"/>
      <c r="AA148" s="2761"/>
      <c r="AB148" s="2855"/>
      <c r="AC148" s="2766"/>
    </row>
    <row r="149" spans="1:29" ht="39" hidden="1" customHeight="1">
      <c r="A149" s="2843"/>
      <c r="B149" s="2826"/>
      <c r="C149" s="2824"/>
      <c r="D149" s="1833" t="s">
        <v>1110</v>
      </c>
      <c r="E149" s="1834">
        <f>SUM(E144:E148)</f>
        <v>837.08999999999992</v>
      </c>
      <c r="F149" s="1827"/>
      <c r="G149" s="1834">
        <f t="shared" ref="G149" si="106">SUM(G144:G148)</f>
        <v>938.19</v>
      </c>
      <c r="H149" s="1834">
        <f t="shared" ref="H149:O149" si="107">SUM(H144:H148)</f>
        <v>1008.59</v>
      </c>
      <c r="I149" s="1834">
        <f t="shared" si="107"/>
        <v>0</v>
      </c>
      <c r="J149" s="1835">
        <f t="shared" si="107"/>
        <v>1278.95</v>
      </c>
      <c r="K149" s="1834">
        <f t="shared" si="107"/>
        <v>1272.46</v>
      </c>
      <c r="L149" s="1834">
        <f t="shared" si="107"/>
        <v>1455.1799999999998</v>
      </c>
      <c r="M149" s="1836">
        <f t="shared" ref="M149" si="108">SUM(M144:M148)</f>
        <v>1367.66</v>
      </c>
      <c r="N149" s="2072">
        <f t="shared" si="103"/>
        <v>0.14359586941829197</v>
      </c>
      <c r="O149" s="1834">
        <f t="shared" si="107"/>
        <v>1415.83</v>
      </c>
      <c r="P149" s="1836">
        <f t="shared" ref="P149:Q149" si="109">SUM(P144:P148)</f>
        <v>0</v>
      </c>
      <c r="Q149" s="1834">
        <f t="shared" si="109"/>
        <v>1415.83</v>
      </c>
      <c r="R149" s="1836">
        <f t="shared" ref="R149" si="110">SUM(R144:R148)</f>
        <v>1367.66</v>
      </c>
      <c r="S149" s="2863"/>
      <c r="T149" s="2864"/>
      <c r="U149" s="2829"/>
      <c r="V149" s="2760"/>
      <c r="W149" s="2761"/>
      <c r="X149" s="2761"/>
      <c r="Y149" s="2761"/>
      <c r="Z149" s="2761"/>
      <c r="AA149" s="2761"/>
      <c r="AB149" s="2855"/>
      <c r="AC149" s="2766"/>
    </row>
    <row r="150" spans="1:29" ht="39" hidden="1" customHeight="1">
      <c r="A150" s="2843"/>
      <c r="B150" s="2826" t="s">
        <v>1109</v>
      </c>
      <c r="C150" s="2824">
        <v>305632124</v>
      </c>
      <c r="D150" s="461" t="s">
        <v>1113</v>
      </c>
      <c r="E150" s="456">
        <v>20.27</v>
      </c>
      <c r="F150" s="457"/>
      <c r="G150" s="445">
        <v>20.27</v>
      </c>
      <c r="H150" s="445">
        <v>19.34</v>
      </c>
      <c r="I150" s="445"/>
      <c r="J150" s="447"/>
      <c r="K150" s="445">
        <v>0</v>
      </c>
      <c r="L150" s="445">
        <v>0</v>
      </c>
      <c r="M150" s="1529">
        <v>0</v>
      </c>
      <c r="N150" s="557" t="e">
        <f t="shared" si="103"/>
        <v>#DIV/0!</v>
      </c>
      <c r="O150" s="445"/>
      <c r="P150" s="1529"/>
      <c r="Q150" s="445"/>
      <c r="R150" s="1529"/>
      <c r="S150" s="2863"/>
      <c r="T150" s="2864"/>
      <c r="U150" s="2829"/>
      <c r="V150" s="2760"/>
      <c r="W150" s="2761"/>
      <c r="X150" s="2761"/>
      <c r="Y150" s="2761"/>
      <c r="Z150" s="2761"/>
      <c r="AA150" s="2761"/>
      <c r="AB150" s="2855"/>
      <c r="AC150" s="2766"/>
    </row>
    <row r="151" spans="1:29" ht="39" hidden="1" customHeight="1">
      <c r="A151" s="2843"/>
      <c r="B151" s="2826"/>
      <c r="C151" s="2824"/>
      <c r="D151" s="461" t="s">
        <v>1066</v>
      </c>
      <c r="E151" s="446"/>
      <c r="F151" s="457"/>
      <c r="G151" s="445">
        <v>53.94</v>
      </c>
      <c r="H151" s="445">
        <v>0</v>
      </c>
      <c r="I151" s="445"/>
      <c r="J151" s="447"/>
      <c r="K151" s="445">
        <v>0</v>
      </c>
      <c r="L151" s="445">
        <v>0</v>
      </c>
      <c r="M151" s="1529">
        <v>0</v>
      </c>
      <c r="N151" s="557" t="e">
        <f t="shared" si="103"/>
        <v>#DIV/0!</v>
      </c>
      <c r="O151" s="445"/>
      <c r="P151" s="1529"/>
      <c r="Q151" s="445"/>
      <c r="R151" s="1529"/>
      <c r="S151" s="2863"/>
      <c r="T151" s="2864"/>
      <c r="U151" s="2829"/>
      <c r="V151" s="2760"/>
      <c r="W151" s="2761"/>
      <c r="X151" s="2761"/>
      <c r="Y151" s="2761"/>
      <c r="Z151" s="2761"/>
      <c r="AA151" s="2761"/>
      <c r="AB151" s="2855"/>
      <c r="AC151" s="2766"/>
    </row>
    <row r="152" spans="1:29" ht="39" hidden="1" customHeight="1">
      <c r="A152" s="2843"/>
      <c r="B152" s="2826"/>
      <c r="C152" s="2824"/>
      <c r="D152" s="461" t="s">
        <v>470</v>
      </c>
      <c r="E152" s="445"/>
      <c r="F152" s="457"/>
      <c r="G152" s="445">
        <v>1259.99</v>
      </c>
      <c r="H152" s="445">
        <v>0</v>
      </c>
      <c r="I152" s="445"/>
      <c r="J152" s="447"/>
      <c r="K152" s="445">
        <v>0</v>
      </c>
      <c r="L152" s="445">
        <v>0</v>
      </c>
      <c r="M152" s="1529">
        <v>0</v>
      </c>
      <c r="N152" s="557" t="e">
        <f t="shared" si="103"/>
        <v>#DIV/0!</v>
      </c>
      <c r="O152" s="445"/>
      <c r="P152" s="1529"/>
      <c r="Q152" s="445"/>
      <c r="R152" s="1529"/>
      <c r="S152" s="2863"/>
      <c r="T152" s="2864"/>
      <c r="U152" s="2829"/>
      <c r="V152" s="2760"/>
      <c r="W152" s="2761"/>
      <c r="X152" s="2761"/>
      <c r="Y152" s="2761"/>
      <c r="Z152" s="2761"/>
      <c r="AA152" s="2761"/>
      <c r="AB152" s="2855"/>
      <c r="AC152" s="2766"/>
    </row>
    <row r="153" spans="1:29" ht="39" hidden="1" customHeight="1">
      <c r="A153" s="2843"/>
      <c r="B153" s="2826"/>
      <c r="C153" s="2824"/>
      <c r="D153" s="461" t="s">
        <v>1114</v>
      </c>
      <c r="E153" s="445"/>
      <c r="F153" s="457"/>
      <c r="G153" s="445"/>
      <c r="H153" s="445"/>
      <c r="I153" s="445"/>
      <c r="J153" s="447"/>
      <c r="K153" s="445"/>
      <c r="L153" s="445"/>
      <c r="M153" s="1529"/>
      <c r="N153" s="557" t="e">
        <f t="shared" si="103"/>
        <v>#DIV/0!</v>
      </c>
      <c r="O153" s="445"/>
      <c r="P153" s="1529"/>
      <c r="Q153" s="445"/>
      <c r="R153" s="1529"/>
      <c r="S153" s="2863"/>
      <c r="T153" s="2864"/>
      <c r="U153" s="2829"/>
      <c r="V153" s="2760"/>
      <c r="W153" s="2761"/>
      <c r="X153" s="2761"/>
      <c r="Y153" s="2761"/>
      <c r="Z153" s="2761"/>
      <c r="AA153" s="2761"/>
      <c r="AB153" s="2855"/>
      <c r="AC153" s="2766"/>
    </row>
    <row r="154" spans="1:29" ht="39" hidden="1" customHeight="1">
      <c r="A154" s="2843"/>
      <c r="B154" s="2826"/>
      <c r="C154" s="2824"/>
      <c r="D154" s="461" t="s">
        <v>1115</v>
      </c>
      <c r="E154" s="445"/>
      <c r="F154" s="457"/>
      <c r="G154" s="445"/>
      <c r="H154" s="445"/>
      <c r="I154" s="445"/>
      <c r="J154" s="447"/>
      <c r="K154" s="445"/>
      <c r="L154" s="445"/>
      <c r="M154" s="1529"/>
      <c r="N154" s="557" t="e">
        <f t="shared" si="103"/>
        <v>#DIV/0!</v>
      </c>
      <c r="O154" s="445"/>
      <c r="P154" s="1529"/>
      <c r="Q154" s="445"/>
      <c r="R154" s="1529"/>
      <c r="S154" s="2863"/>
      <c r="T154" s="2864"/>
      <c r="U154" s="2829"/>
      <c r="V154" s="2760"/>
      <c r="W154" s="2761"/>
      <c r="X154" s="2761"/>
      <c r="Y154" s="2761"/>
      <c r="Z154" s="2761"/>
      <c r="AA154" s="2761"/>
      <c r="AB154" s="2855"/>
      <c r="AC154" s="2766"/>
    </row>
    <row r="155" spans="1:29" ht="39" hidden="1" customHeight="1">
      <c r="A155" s="2843"/>
      <c r="B155" s="2826"/>
      <c r="C155" s="2824"/>
      <c r="D155" s="462" t="s">
        <v>1110</v>
      </c>
      <c r="E155" s="445">
        <f>SUM(E150:E154)</f>
        <v>20.27</v>
      </c>
      <c r="F155" s="457"/>
      <c r="G155" s="445">
        <f t="shared" ref="G155:L155" si="111">SUM(G150:G154)</f>
        <v>1334.2</v>
      </c>
      <c r="H155" s="445">
        <f t="shared" ref="H155" si="112">SUM(H150:H154)</f>
        <v>19.34</v>
      </c>
      <c r="I155" s="445"/>
      <c r="J155" s="447"/>
      <c r="K155" s="445">
        <f t="shared" si="111"/>
        <v>0</v>
      </c>
      <c r="L155" s="445">
        <f t="shared" si="111"/>
        <v>0</v>
      </c>
      <c r="M155" s="1529">
        <f t="shared" ref="M155" si="113">SUM(M150:M154)</f>
        <v>0</v>
      </c>
      <c r="N155" s="557" t="e">
        <f t="shared" si="103"/>
        <v>#DIV/0!</v>
      </c>
      <c r="O155" s="445"/>
      <c r="P155" s="1529"/>
      <c r="Q155" s="445"/>
      <c r="R155" s="1529"/>
      <c r="S155" s="2863"/>
      <c r="T155" s="2864"/>
      <c r="U155" s="2829"/>
      <c r="V155" s="2760"/>
      <c r="W155" s="2761"/>
      <c r="X155" s="2761"/>
      <c r="Y155" s="2761"/>
      <c r="Z155" s="2761"/>
      <c r="AA155" s="2761"/>
      <c r="AB155" s="2855"/>
      <c r="AC155" s="2766"/>
    </row>
    <row r="156" spans="1:29" ht="39" hidden="1" customHeight="1">
      <c r="A156" s="2843"/>
      <c r="B156" s="2826" t="s">
        <v>1116</v>
      </c>
      <c r="C156" s="2824">
        <v>300665693</v>
      </c>
      <c r="D156" s="461" t="s">
        <v>1113</v>
      </c>
      <c r="E156" s="445">
        <v>84.99</v>
      </c>
      <c r="F156" s="468"/>
      <c r="G156" s="445">
        <v>233.77099999999999</v>
      </c>
      <c r="H156" s="445">
        <v>89.73</v>
      </c>
      <c r="I156" s="445"/>
      <c r="J156" s="447">
        <v>91.813000000000002</v>
      </c>
      <c r="K156" s="445">
        <v>101.73</v>
      </c>
      <c r="L156" s="445">
        <v>113.13</v>
      </c>
      <c r="M156" s="1529">
        <v>102.8</v>
      </c>
      <c r="N156" s="557">
        <f t="shared" si="103"/>
        <v>0.11206133883810077</v>
      </c>
      <c r="O156" s="445">
        <v>113.13</v>
      </c>
      <c r="P156" s="1529">
        <v>113.08</v>
      </c>
      <c r="Q156" s="445">
        <v>113.13</v>
      </c>
      <c r="R156" s="1530">
        <v>124.38800000000001</v>
      </c>
      <c r="S156" s="2863"/>
      <c r="T156" s="2864"/>
      <c r="U156" s="2829"/>
      <c r="V156" s="2760"/>
      <c r="W156" s="2761"/>
      <c r="X156" s="2761"/>
      <c r="Y156" s="2761"/>
      <c r="Z156" s="2761"/>
      <c r="AA156" s="2761"/>
      <c r="AB156" s="2855"/>
      <c r="AC156" s="2766"/>
    </row>
    <row r="157" spans="1:29" ht="39" hidden="1" customHeight="1">
      <c r="A157" s="2843"/>
      <c r="B157" s="2826"/>
      <c r="C157" s="2824"/>
      <c r="D157" s="461" t="s">
        <v>1066</v>
      </c>
      <c r="E157" s="445"/>
      <c r="F157" s="468"/>
      <c r="G157" s="445"/>
      <c r="H157" s="445"/>
      <c r="I157" s="445"/>
      <c r="J157" s="447"/>
      <c r="K157" s="445"/>
      <c r="L157" s="445"/>
      <c r="M157" s="1529"/>
      <c r="N157" s="557" t="e">
        <f t="shared" si="103"/>
        <v>#DIV/0!</v>
      </c>
      <c r="O157" s="445"/>
      <c r="P157" s="1529"/>
      <c r="Q157" s="445"/>
      <c r="R157" s="1530"/>
      <c r="S157" s="2863"/>
      <c r="T157" s="2864"/>
      <c r="U157" s="2829"/>
      <c r="V157" s="2760"/>
      <c r="W157" s="2761"/>
      <c r="X157" s="2761"/>
      <c r="Y157" s="2761"/>
      <c r="Z157" s="2761"/>
      <c r="AA157" s="2761"/>
      <c r="AB157" s="2855"/>
      <c r="AC157" s="2766"/>
    </row>
    <row r="158" spans="1:29" ht="39" hidden="1" customHeight="1">
      <c r="A158" s="2843"/>
      <c r="B158" s="2826"/>
      <c r="C158" s="2824"/>
      <c r="D158" s="461" t="s">
        <v>48</v>
      </c>
      <c r="E158" s="2092">
        <v>112.74</v>
      </c>
      <c r="F158" s="468"/>
      <c r="G158" s="445"/>
      <c r="H158" s="445">
        <f>71.93+68.47</f>
        <v>140.4</v>
      </c>
      <c r="I158" s="445"/>
      <c r="J158" s="447">
        <v>187.06</v>
      </c>
      <c r="K158" s="445">
        <v>118.23</v>
      </c>
      <c r="L158" s="445">
        <v>69.41</v>
      </c>
      <c r="M158" s="1529">
        <v>187.05600000000001</v>
      </c>
      <c r="N158" s="557">
        <f t="shared" si="103"/>
        <v>-0.41292396176943252</v>
      </c>
      <c r="O158" s="445"/>
      <c r="P158" s="1529"/>
      <c r="Q158" s="445"/>
      <c r="R158" s="1530">
        <v>193.5</v>
      </c>
      <c r="S158" s="2863"/>
      <c r="T158" s="2864"/>
      <c r="U158" s="2829"/>
      <c r="V158" s="2760"/>
      <c r="W158" s="2761"/>
      <c r="X158" s="2761"/>
      <c r="Y158" s="2761"/>
      <c r="Z158" s="2761"/>
      <c r="AA158" s="2761"/>
      <c r="AB158" s="2855"/>
      <c r="AC158" s="2766"/>
    </row>
    <row r="159" spans="1:29" ht="39" hidden="1" customHeight="1">
      <c r="A159" s="2843"/>
      <c r="B159" s="2826"/>
      <c r="C159" s="2824"/>
      <c r="D159" s="461" t="s">
        <v>1114</v>
      </c>
      <c r="E159" s="445"/>
      <c r="F159" s="468"/>
      <c r="G159" s="445"/>
      <c r="H159" s="445"/>
      <c r="I159" s="445"/>
      <c r="J159" s="447"/>
      <c r="K159" s="445"/>
      <c r="L159" s="445"/>
      <c r="M159" s="1529"/>
      <c r="N159" s="557" t="e">
        <f t="shared" si="103"/>
        <v>#DIV/0!</v>
      </c>
      <c r="O159" s="445"/>
      <c r="P159" s="1529"/>
      <c r="Q159" s="445"/>
      <c r="R159" s="1530"/>
      <c r="S159" s="2863"/>
      <c r="T159" s="2864"/>
      <c r="U159" s="2829"/>
      <c r="V159" s="2760"/>
      <c r="W159" s="2761"/>
      <c r="X159" s="2761"/>
      <c r="Y159" s="2761"/>
      <c r="Z159" s="2761"/>
      <c r="AA159" s="2761"/>
      <c r="AB159" s="2855"/>
      <c r="AC159" s="2766"/>
    </row>
    <row r="160" spans="1:29" ht="39" hidden="1" customHeight="1">
      <c r="A160" s="2843"/>
      <c r="B160" s="2826"/>
      <c r="C160" s="2824"/>
      <c r="D160" s="461" t="s">
        <v>1115</v>
      </c>
      <c r="E160" s="445"/>
      <c r="F160" s="468"/>
      <c r="G160" s="445"/>
      <c r="H160" s="445"/>
      <c r="I160" s="445"/>
      <c r="J160" s="447"/>
      <c r="K160" s="445"/>
      <c r="L160" s="445"/>
      <c r="M160" s="1529"/>
      <c r="N160" s="557" t="e">
        <f t="shared" si="103"/>
        <v>#DIV/0!</v>
      </c>
      <c r="O160" s="445"/>
      <c r="P160" s="1529"/>
      <c r="Q160" s="445"/>
      <c r="R160" s="1530"/>
      <c r="S160" s="2863"/>
      <c r="T160" s="2864"/>
      <c r="U160" s="2829"/>
      <c r="V160" s="2760"/>
      <c r="W160" s="2761"/>
      <c r="X160" s="2761"/>
      <c r="Y160" s="2761"/>
      <c r="Z160" s="2761"/>
      <c r="AA160" s="2761"/>
      <c r="AB160" s="2855"/>
      <c r="AC160" s="2766"/>
    </row>
    <row r="161" spans="1:29" ht="39" hidden="1" customHeight="1">
      <c r="A161" s="2843"/>
      <c r="B161" s="2826"/>
      <c r="C161" s="2824"/>
      <c r="D161" s="461" t="s">
        <v>4194</v>
      </c>
      <c r="E161" s="445"/>
      <c r="F161" s="468"/>
      <c r="G161" s="445"/>
      <c r="H161" s="445"/>
      <c r="I161" s="445"/>
      <c r="J161" s="447"/>
      <c r="K161" s="445"/>
      <c r="L161" s="445">
        <v>115.095</v>
      </c>
      <c r="M161" s="1529"/>
      <c r="N161" s="557"/>
      <c r="O161" s="445"/>
      <c r="P161" s="1529"/>
      <c r="Q161" s="445"/>
      <c r="R161" s="1530"/>
      <c r="S161" s="2863"/>
      <c r="T161" s="2864"/>
      <c r="U161" s="2829"/>
      <c r="V161" s="2760"/>
      <c r="W161" s="2761"/>
      <c r="X161" s="2761"/>
      <c r="Y161" s="2761"/>
      <c r="Z161" s="2761"/>
      <c r="AA161" s="2761"/>
      <c r="AB161" s="2855"/>
      <c r="AC161" s="2766"/>
    </row>
    <row r="162" spans="1:29" ht="39" hidden="1" customHeight="1">
      <c r="A162" s="2843"/>
      <c r="B162" s="2826"/>
      <c r="C162" s="2824"/>
      <c r="D162" s="1833" t="s">
        <v>1110</v>
      </c>
      <c r="E162" s="1826">
        <f>SUM(E156:E160)</f>
        <v>197.73</v>
      </c>
      <c r="F162" s="1827"/>
      <c r="G162" s="1826"/>
      <c r="H162" s="1826">
        <f>SUM(H156,H157,H158,H159,H160)</f>
        <v>230.13</v>
      </c>
      <c r="I162" s="1826">
        <f t="shared" ref="I162:O162" si="114">SUM(I156,I157,I158,I159,I160)</f>
        <v>0</v>
      </c>
      <c r="J162" s="1828">
        <f t="shared" si="114"/>
        <v>278.87299999999999</v>
      </c>
      <c r="K162" s="1826">
        <f t="shared" si="114"/>
        <v>219.96</v>
      </c>
      <c r="L162" s="1826">
        <f t="shared" si="114"/>
        <v>182.54</v>
      </c>
      <c r="M162" s="1829">
        <f t="shared" ref="M162" si="115">SUM(M156,M157,M158,M159,M160)</f>
        <v>289.85599999999999</v>
      </c>
      <c r="N162" s="2072">
        <f t="shared" si="103"/>
        <v>-0.17012184033460637</v>
      </c>
      <c r="O162" s="1826">
        <f t="shared" si="114"/>
        <v>113.13</v>
      </c>
      <c r="P162" s="1829">
        <f t="shared" ref="P162:Q162" si="116">SUM(P156,P157,P158,P159,P160)</f>
        <v>113.08</v>
      </c>
      <c r="Q162" s="1826">
        <f t="shared" si="116"/>
        <v>113.13</v>
      </c>
      <c r="R162" s="1829">
        <f t="shared" ref="R162" si="117">SUM(R156,R157,R158,R159,R160)</f>
        <v>317.88800000000003</v>
      </c>
      <c r="S162" s="2863"/>
      <c r="T162" s="2864"/>
      <c r="U162" s="2829"/>
      <c r="V162" s="2760"/>
      <c r="W162" s="2761"/>
      <c r="X162" s="2761"/>
      <c r="Y162" s="2761"/>
      <c r="Z162" s="2761"/>
      <c r="AA162" s="2761"/>
      <c r="AB162" s="2855"/>
      <c r="AC162" s="2766"/>
    </row>
    <row r="163" spans="1:29" ht="39" hidden="1" customHeight="1">
      <c r="A163" s="2843"/>
      <c r="B163" s="2826" t="s">
        <v>4195</v>
      </c>
      <c r="C163" s="539"/>
      <c r="D163" s="460" t="s">
        <v>4194</v>
      </c>
      <c r="E163" s="445"/>
      <c r="F163" s="468"/>
      <c r="G163" s="445"/>
      <c r="H163" s="445">
        <v>78</v>
      </c>
      <c r="I163" s="445"/>
      <c r="J163" s="447"/>
      <c r="K163" s="445">
        <f>52.55-14.98-2.5</f>
        <v>35.069999999999993</v>
      </c>
      <c r="L163" s="445">
        <v>100</v>
      </c>
      <c r="M163" s="1529"/>
      <c r="N163" s="557">
        <f t="shared" si="103"/>
        <v>1.8514399771884806</v>
      </c>
      <c r="O163" s="445"/>
      <c r="P163" s="1529"/>
      <c r="Q163" s="445"/>
      <c r="R163" s="1530"/>
      <c r="S163" s="2863"/>
      <c r="T163" s="2864"/>
      <c r="U163" s="2829"/>
      <c r="V163" s="2760"/>
      <c r="W163" s="2761"/>
      <c r="X163" s="2761"/>
      <c r="Y163" s="2761"/>
      <c r="Z163" s="2761"/>
      <c r="AA163" s="2761"/>
      <c r="AB163" s="2855"/>
      <c r="AC163" s="2766"/>
    </row>
    <row r="164" spans="1:29" ht="39" hidden="1" customHeight="1">
      <c r="A164" s="2843"/>
      <c r="B164" s="2826"/>
      <c r="C164" s="539"/>
      <c r="D164" s="460" t="s">
        <v>1111</v>
      </c>
      <c r="E164" s="445"/>
      <c r="F164" s="468"/>
      <c r="G164" s="445"/>
      <c r="H164" s="445"/>
      <c r="I164" s="445"/>
      <c r="J164" s="447"/>
      <c r="K164" s="445">
        <v>53.52</v>
      </c>
      <c r="L164" s="445"/>
      <c r="M164" s="1529"/>
      <c r="N164" s="557">
        <f t="shared" si="103"/>
        <v>-1</v>
      </c>
      <c r="O164" s="445"/>
      <c r="P164" s="1529"/>
      <c r="Q164" s="445"/>
      <c r="R164" s="1530"/>
      <c r="S164" s="2863"/>
      <c r="T164" s="2864"/>
      <c r="U164" s="2829"/>
      <c r="V164" s="2760"/>
      <c r="W164" s="2761"/>
      <c r="X164" s="2761"/>
      <c r="Y164" s="2761"/>
      <c r="Z164" s="2761"/>
      <c r="AA164" s="2761"/>
      <c r="AB164" s="2855"/>
      <c r="AC164" s="2766"/>
    </row>
    <row r="165" spans="1:29" ht="39" hidden="1" customHeight="1">
      <c r="A165" s="2843"/>
      <c r="B165" s="2826"/>
      <c r="C165" s="2824">
        <v>188711925</v>
      </c>
      <c r="D165" s="461" t="s">
        <v>1113</v>
      </c>
      <c r="E165" s="445">
        <v>52.44</v>
      </c>
      <c r="F165" s="468"/>
      <c r="G165" s="445"/>
      <c r="H165" s="445">
        <f>71.62-7.28</f>
        <v>64.34</v>
      </c>
      <c r="I165" s="445"/>
      <c r="J165" s="447"/>
      <c r="K165" s="445">
        <v>62.8</v>
      </c>
      <c r="L165" s="445">
        <v>67.7</v>
      </c>
      <c r="M165" s="1529"/>
      <c r="N165" s="557">
        <f t="shared" si="103"/>
        <v>7.8025477707006463E-2</v>
      </c>
      <c r="O165" s="445">
        <v>67.7</v>
      </c>
      <c r="P165" s="1529"/>
      <c r="Q165" s="445">
        <v>67.7</v>
      </c>
      <c r="R165" s="1530"/>
      <c r="S165" s="2863"/>
      <c r="T165" s="2864"/>
      <c r="U165" s="2829"/>
      <c r="V165" s="2760"/>
      <c r="W165" s="2761"/>
      <c r="X165" s="2761"/>
      <c r="Y165" s="2761"/>
      <c r="Z165" s="2761"/>
      <c r="AA165" s="2761"/>
      <c r="AB165" s="2855"/>
      <c r="AC165" s="2766"/>
    </row>
    <row r="166" spans="1:29" ht="39" hidden="1" customHeight="1">
      <c r="A166" s="2843"/>
      <c r="B166" s="2826"/>
      <c r="C166" s="2824"/>
      <c r="D166" s="1833" t="s">
        <v>1110</v>
      </c>
      <c r="E166" s="1826">
        <f>E165</f>
        <v>52.44</v>
      </c>
      <c r="F166" s="1827"/>
      <c r="G166" s="1826"/>
      <c r="H166" s="1826">
        <f>H163+H165</f>
        <v>142.34</v>
      </c>
      <c r="I166" s="1826">
        <f t="shared" ref="I166:O166" si="118">I163+I165</f>
        <v>0</v>
      </c>
      <c r="J166" s="1828">
        <f t="shared" si="118"/>
        <v>0</v>
      </c>
      <c r="K166" s="1826">
        <f t="shared" si="118"/>
        <v>97.86999999999999</v>
      </c>
      <c r="L166" s="1826">
        <f>L163+L165+L164</f>
        <v>167.7</v>
      </c>
      <c r="M166" s="1829">
        <f>M163+M165+M164</f>
        <v>0</v>
      </c>
      <c r="N166" s="2072">
        <f t="shared" si="103"/>
        <v>0.71349749667926843</v>
      </c>
      <c r="O166" s="1826">
        <f t="shared" si="118"/>
        <v>67.7</v>
      </c>
      <c r="P166" s="1829">
        <f t="shared" ref="P166:Q166" si="119">P163+P165</f>
        <v>0</v>
      </c>
      <c r="Q166" s="1826">
        <f t="shared" si="119"/>
        <v>67.7</v>
      </c>
      <c r="R166" s="1829">
        <f t="shared" ref="R166" si="120">R163+R165</f>
        <v>0</v>
      </c>
      <c r="S166" s="2865"/>
      <c r="T166" s="2866"/>
      <c r="U166" s="2829"/>
      <c r="V166" s="2762"/>
      <c r="W166" s="2763"/>
      <c r="X166" s="2763"/>
      <c r="Y166" s="2763"/>
      <c r="Z166" s="2763"/>
      <c r="AA166" s="2763"/>
      <c r="AB166" s="2856"/>
      <c r="AC166" s="2766"/>
    </row>
    <row r="167" spans="1:29" ht="67.5" customHeight="1">
      <c r="A167" s="180" t="s">
        <v>1940</v>
      </c>
      <c r="B167" s="663" t="s">
        <v>3626</v>
      </c>
      <c r="C167" s="300"/>
      <c r="D167" s="196"/>
      <c r="E167" s="206" t="e">
        <f>SUM(E169,E184,E203,E215,E234,#REF!,#REF!,E259,E261,)</f>
        <v>#REF!</v>
      </c>
      <c r="F167" s="288" t="e">
        <f>H167/E167-1</f>
        <v>#REF!</v>
      </c>
      <c r="G167" s="206" t="e">
        <f>SUM(G169,G184,G203,G215,G234,#REF!,#REF!,G259,G261,)</f>
        <v>#REF!</v>
      </c>
      <c r="H167" s="206">
        <f>SUM(H169,H184,H203,H215,H234,H259,H261,)</f>
        <v>1957.33</v>
      </c>
      <c r="I167" s="443">
        <f>K167/H167-1</f>
        <v>9.1157341889206212E-2</v>
      </c>
      <c r="J167" s="206">
        <f>SUM(J169,J184,J203,J215,J234,J259,J261,)</f>
        <v>169.417</v>
      </c>
      <c r="K167" s="206">
        <f>SUM(K169,K184,K203,K215,K234,K259,K261,)</f>
        <v>2135.7550000000001</v>
      </c>
      <c r="L167" s="206">
        <f>SUM(L169,L184,L203,L215,L234,L259,L261,L253,L255,)</f>
        <v>2127.768</v>
      </c>
      <c r="M167" s="206">
        <f t="shared" ref="M167:Q167" si="121">SUM(M169,M184,M203,M215,M234,M259,M261,M253,M255,)</f>
        <v>2196.6010000000001</v>
      </c>
      <c r="N167" s="206">
        <f t="shared" si="121"/>
        <v>0.67251626134886566</v>
      </c>
      <c r="O167" s="206">
        <f t="shared" si="121"/>
        <v>2244.6545000000001</v>
      </c>
      <c r="P167" s="206">
        <f t="shared" si="121"/>
        <v>2389.424</v>
      </c>
      <c r="Q167" s="206">
        <f t="shared" si="121"/>
        <v>2171.0818750000003</v>
      </c>
      <c r="R167" s="1532">
        <f>SUM(R169,R184,R203,R215,R234,R259,R261,)</f>
        <v>2124.7919999999999</v>
      </c>
      <c r="S167" s="179" t="s">
        <v>2323</v>
      </c>
      <c r="T167" s="180"/>
      <c r="U167" s="2829"/>
      <c r="V167" s="215" t="s">
        <v>1850</v>
      </c>
      <c r="W167" s="671" t="s">
        <v>851</v>
      </c>
      <c r="X167" s="215" t="s">
        <v>433</v>
      </c>
      <c r="Y167" s="215" t="s">
        <v>1738</v>
      </c>
      <c r="Z167" s="215" t="s">
        <v>308</v>
      </c>
      <c r="AA167" s="531"/>
      <c r="AB167" s="215"/>
      <c r="AC167" s="2766" t="s">
        <v>851</v>
      </c>
    </row>
    <row r="168" spans="1:29" ht="39" customHeight="1">
      <c r="A168" s="2791" t="s">
        <v>1926</v>
      </c>
      <c r="B168" s="2703" t="s">
        <v>1117</v>
      </c>
      <c r="C168" s="2806" t="s">
        <v>1071</v>
      </c>
      <c r="D168" s="276" t="s">
        <v>470</v>
      </c>
      <c r="E168" s="213">
        <v>18.62</v>
      </c>
      <c r="F168" s="291">
        <f>H168/E168-1</f>
        <v>0.16004296455424272</v>
      </c>
      <c r="G168" s="213">
        <f>SUM(G170,G171)</f>
        <v>27</v>
      </c>
      <c r="H168" s="213">
        <f>SUM(H170,H171:H172)</f>
        <v>21.6</v>
      </c>
      <c r="I168" s="545">
        <f t="shared" ref="I168:I169" si="122">K168/H168-1</f>
        <v>0.95370370370370372</v>
      </c>
      <c r="J168" s="216">
        <f>SUM(J173,J174,J175,J177,J179,J180,J181)</f>
        <v>38.800000000000004</v>
      </c>
      <c r="K168" s="213">
        <f>SUM(K170,K171)</f>
        <v>42.2</v>
      </c>
      <c r="L168" s="213">
        <f>SUM(L170,L171,L182)</f>
        <v>40.6</v>
      </c>
      <c r="M168" s="1527">
        <f>SUM(M170,M171,M182)</f>
        <v>40.6</v>
      </c>
      <c r="N168" s="2079">
        <f t="shared" si="103"/>
        <v>-3.7914691943127993E-2</v>
      </c>
      <c r="O168" s="213">
        <f>SUM(O170,O171,O182)</f>
        <v>40.6</v>
      </c>
      <c r="P168" s="1527">
        <f>SUM(P170,P171,P182)</f>
        <v>37.9</v>
      </c>
      <c r="Q168" s="213">
        <f t="shared" ref="Q168:R168" si="123">SUM(Q170,Q171,Q182)</f>
        <v>40.6</v>
      </c>
      <c r="R168" s="1527">
        <f t="shared" si="123"/>
        <v>38.9</v>
      </c>
      <c r="S168" s="2796" t="s">
        <v>1770</v>
      </c>
      <c r="T168" s="2704" t="s">
        <v>3442</v>
      </c>
      <c r="U168" s="2829"/>
      <c r="V168" s="2766" t="s">
        <v>1124</v>
      </c>
      <c r="W168" s="2694" t="s">
        <v>1123</v>
      </c>
      <c r="X168" s="2766" t="s">
        <v>308</v>
      </c>
      <c r="Y168" s="2766" t="s">
        <v>308</v>
      </c>
      <c r="Z168" s="2766" t="s">
        <v>308</v>
      </c>
      <c r="AA168" s="2764" t="s">
        <v>308</v>
      </c>
      <c r="AB168" s="2764" t="s">
        <v>308</v>
      </c>
      <c r="AC168" s="2766"/>
    </row>
    <row r="169" spans="1:29" ht="120" customHeight="1">
      <c r="A169" s="2791"/>
      <c r="B169" s="2703"/>
      <c r="C169" s="2806"/>
      <c r="D169" s="301" t="s">
        <v>1110</v>
      </c>
      <c r="E169" s="212">
        <f>E168</f>
        <v>18.62</v>
      </c>
      <c r="F169" s="294">
        <f>H169/E169-1</f>
        <v>0.16004296455424272</v>
      </c>
      <c r="G169" s="212">
        <f t="shared" ref="G169" si="124">G168</f>
        <v>27</v>
      </c>
      <c r="H169" s="212">
        <f t="shared" ref="H169" si="125">H168</f>
        <v>21.6</v>
      </c>
      <c r="I169" s="452">
        <f t="shared" si="122"/>
        <v>0.95370370370370372</v>
      </c>
      <c r="J169" s="257">
        <f>J168</f>
        <v>38.800000000000004</v>
      </c>
      <c r="K169" s="212">
        <f t="shared" ref="K169:O169" si="126">K168</f>
        <v>42.2</v>
      </c>
      <c r="L169" s="212">
        <f t="shared" si="126"/>
        <v>40.6</v>
      </c>
      <c r="M169" s="1528">
        <f t="shared" ref="M169" si="127">M168</f>
        <v>40.6</v>
      </c>
      <c r="N169" s="2080">
        <f t="shared" si="103"/>
        <v>-3.7914691943127993E-2</v>
      </c>
      <c r="O169" s="212">
        <f t="shared" si="126"/>
        <v>40.6</v>
      </c>
      <c r="P169" s="1528">
        <f t="shared" ref="P169:Q169" si="128">P168</f>
        <v>37.9</v>
      </c>
      <c r="Q169" s="212">
        <f t="shared" si="128"/>
        <v>40.6</v>
      </c>
      <c r="R169" s="1528">
        <f t="shared" ref="R169" si="129">R168</f>
        <v>38.9</v>
      </c>
      <c r="S169" s="2796"/>
      <c r="T169" s="2734"/>
      <c r="U169" s="2829"/>
      <c r="V169" s="2766"/>
      <c r="W169" s="2694"/>
      <c r="X169" s="2766"/>
      <c r="Y169" s="2766"/>
      <c r="Z169" s="2766"/>
      <c r="AA169" s="2764"/>
      <c r="AB169" s="2764"/>
      <c r="AC169" s="2766"/>
    </row>
    <row r="170" spans="1:29" ht="61.2" hidden="1" customHeight="1">
      <c r="A170" s="455"/>
      <c r="B170" s="665" t="s">
        <v>1745</v>
      </c>
      <c r="C170" s="539"/>
      <c r="D170" s="444" t="s">
        <v>470</v>
      </c>
      <c r="E170" s="445"/>
      <c r="F170" s="468"/>
      <c r="G170" s="445">
        <v>3</v>
      </c>
      <c r="H170" s="445">
        <v>5</v>
      </c>
      <c r="I170" s="445"/>
      <c r="J170" s="447">
        <f>J176+J177+J178</f>
        <v>13.7</v>
      </c>
      <c r="K170" s="445">
        <v>8</v>
      </c>
      <c r="L170" s="445">
        <v>18</v>
      </c>
      <c r="M170" s="1529">
        <v>18</v>
      </c>
      <c r="N170" s="557">
        <f t="shared" si="103"/>
        <v>1.25</v>
      </c>
      <c r="O170" s="445">
        <v>18</v>
      </c>
      <c r="P170" s="1529">
        <v>18</v>
      </c>
      <c r="Q170" s="445">
        <v>18</v>
      </c>
      <c r="R170" s="1529">
        <v>18</v>
      </c>
      <c r="S170" s="879"/>
      <c r="T170" s="469" t="s">
        <v>4161</v>
      </c>
      <c r="U170" s="2829"/>
      <c r="V170" s="269" t="s">
        <v>3949</v>
      </c>
      <c r="W170" s="269"/>
      <c r="X170" s="296"/>
      <c r="Y170" s="296"/>
      <c r="Z170" s="296"/>
      <c r="AA170" s="296"/>
      <c r="AB170" s="296"/>
      <c r="AC170" s="296"/>
    </row>
    <row r="171" spans="1:29" ht="84.6" hidden="1" customHeight="1">
      <c r="A171" s="455"/>
      <c r="B171" s="665" t="s">
        <v>2540</v>
      </c>
      <c r="C171" s="539"/>
      <c r="D171" s="444" t="s">
        <v>470</v>
      </c>
      <c r="E171" s="445"/>
      <c r="F171" s="468"/>
      <c r="G171" s="445">
        <v>24</v>
      </c>
      <c r="H171" s="445">
        <f>16.6-1.89</f>
        <v>14.71</v>
      </c>
      <c r="I171" s="445"/>
      <c r="J171" s="447">
        <f>J173+J174+J175+J179+J180+J181</f>
        <v>38.1</v>
      </c>
      <c r="K171" s="445">
        <f>17.2+17</f>
        <v>34.200000000000003</v>
      </c>
      <c r="L171" s="445">
        <v>22.2</v>
      </c>
      <c r="M171" s="1529">
        <v>22.2</v>
      </c>
      <c r="N171" s="557">
        <f t="shared" si="103"/>
        <v>-0.35087719298245623</v>
      </c>
      <c r="O171" s="445">
        <v>22.2</v>
      </c>
      <c r="P171" s="1529">
        <v>19.5</v>
      </c>
      <c r="Q171" s="445">
        <v>22.2</v>
      </c>
      <c r="R171" s="1529">
        <v>20.5</v>
      </c>
      <c r="S171" s="879"/>
      <c r="T171" s="469" t="s">
        <v>3955</v>
      </c>
      <c r="U171" s="2829"/>
      <c r="V171" s="269"/>
      <c r="W171" s="1417"/>
      <c r="X171" s="296"/>
      <c r="Y171" s="296"/>
      <c r="Z171" s="296"/>
      <c r="AA171" s="296"/>
      <c r="AB171" s="296"/>
      <c r="AC171" s="296"/>
    </row>
    <row r="172" spans="1:29" ht="39" hidden="1" customHeight="1">
      <c r="A172" s="455"/>
      <c r="B172" s="1339" t="s">
        <v>2854</v>
      </c>
      <c r="C172" s="463"/>
      <c r="D172" s="1340"/>
      <c r="E172" s="446"/>
      <c r="F172" s="457"/>
      <c r="G172" s="446"/>
      <c r="H172" s="446">
        <v>1.89</v>
      </c>
      <c r="I172" s="446"/>
      <c r="J172" s="459"/>
      <c r="K172" s="446"/>
      <c r="L172" s="446"/>
      <c r="M172" s="1530"/>
      <c r="N172" s="557" t="e">
        <f t="shared" si="103"/>
        <v>#DIV/0!</v>
      </c>
      <c r="O172" s="446"/>
      <c r="P172" s="1530"/>
      <c r="Q172" s="446"/>
      <c r="R172" s="1530"/>
      <c r="S172" s="651"/>
      <c r="T172" s="218"/>
      <c r="U172" s="2829"/>
      <c r="V172" s="269"/>
      <c r="W172" s="269"/>
      <c r="X172" s="296"/>
      <c r="Y172" s="296"/>
      <c r="Z172" s="296"/>
      <c r="AA172" s="296"/>
      <c r="AB172" s="296"/>
      <c r="AC172" s="296"/>
    </row>
    <row r="173" spans="1:29" ht="39" hidden="1" customHeight="1">
      <c r="A173" s="455" t="s">
        <v>3011</v>
      </c>
      <c r="B173" s="665" t="s">
        <v>3025</v>
      </c>
      <c r="C173" s="539" t="s">
        <v>3026</v>
      </c>
      <c r="D173" s="444"/>
      <c r="E173" s="445"/>
      <c r="F173" s="457"/>
      <c r="G173" s="445"/>
      <c r="H173" s="445"/>
      <c r="I173" s="445"/>
      <c r="J173" s="447">
        <v>1</v>
      </c>
      <c r="K173" s="543"/>
      <c r="L173" s="445"/>
      <c r="M173" s="1529"/>
      <c r="N173" s="557" t="e">
        <f t="shared" si="103"/>
        <v>#DIV/0!</v>
      </c>
      <c r="O173" s="445"/>
      <c r="P173" s="1529"/>
      <c r="Q173" s="445"/>
      <c r="R173" s="1529"/>
      <c r="S173" s="651"/>
      <c r="T173" s="218" t="s">
        <v>3039</v>
      </c>
      <c r="U173" s="2829"/>
      <c r="V173" s="269"/>
      <c r="W173" s="269"/>
      <c r="X173" s="296"/>
      <c r="Y173" s="296"/>
      <c r="Z173" s="296"/>
      <c r="AA173" s="296"/>
      <c r="AB173" s="296"/>
      <c r="AC173" s="296"/>
    </row>
    <row r="174" spans="1:29" ht="39" hidden="1" customHeight="1">
      <c r="A174" s="455"/>
      <c r="B174" s="665" t="s">
        <v>3027</v>
      </c>
      <c r="C174" s="539" t="s">
        <v>3026</v>
      </c>
      <c r="D174" s="444"/>
      <c r="E174" s="445"/>
      <c r="F174" s="457"/>
      <c r="G174" s="445"/>
      <c r="H174" s="445"/>
      <c r="I174" s="445"/>
      <c r="J174" s="447">
        <v>2</v>
      </c>
      <c r="K174" s="543"/>
      <c r="L174" s="445"/>
      <c r="M174" s="1529"/>
      <c r="N174" s="557" t="e">
        <f t="shared" si="103"/>
        <v>#DIV/0!</v>
      </c>
      <c r="O174" s="445"/>
      <c r="P174" s="1529"/>
      <c r="Q174" s="445"/>
      <c r="R174" s="1529"/>
      <c r="S174" s="651"/>
      <c r="T174" s="218" t="s">
        <v>3038</v>
      </c>
      <c r="U174" s="2829"/>
      <c r="V174" s="269"/>
      <c r="W174" s="269"/>
      <c r="X174" s="296"/>
      <c r="Y174" s="296"/>
      <c r="Z174" s="296"/>
      <c r="AA174" s="296"/>
      <c r="AB174" s="296"/>
      <c r="AC174" s="296"/>
    </row>
    <row r="175" spans="1:29" ht="39" hidden="1" customHeight="1">
      <c r="A175" s="455"/>
      <c r="B175" s="2826" t="s">
        <v>3028</v>
      </c>
      <c r="C175" s="539" t="s">
        <v>3026</v>
      </c>
      <c r="D175" s="444"/>
      <c r="E175" s="445"/>
      <c r="F175" s="457"/>
      <c r="G175" s="445"/>
      <c r="H175" s="445"/>
      <c r="I175" s="445"/>
      <c r="J175" s="447">
        <v>0.4</v>
      </c>
      <c r="K175" s="543"/>
      <c r="L175" s="445"/>
      <c r="M175" s="1529"/>
      <c r="N175" s="557" t="e">
        <f t="shared" si="103"/>
        <v>#DIV/0!</v>
      </c>
      <c r="O175" s="445"/>
      <c r="P175" s="1529"/>
      <c r="Q175" s="445"/>
      <c r="R175" s="1529"/>
      <c r="S175" s="651"/>
      <c r="T175" s="218" t="s">
        <v>3036</v>
      </c>
      <c r="U175" s="2829"/>
      <c r="V175" s="269"/>
      <c r="W175" s="269"/>
      <c r="X175" s="296"/>
      <c r="Y175" s="296"/>
      <c r="Z175" s="296"/>
      <c r="AA175" s="296"/>
      <c r="AB175" s="296"/>
      <c r="AC175" s="296"/>
    </row>
    <row r="176" spans="1:29" ht="39" hidden="1" customHeight="1">
      <c r="A176" s="455"/>
      <c r="B176" s="2826"/>
      <c r="C176" s="1341" t="s">
        <v>3029</v>
      </c>
      <c r="D176" s="444"/>
      <c r="E176" s="445"/>
      <c r="F176" s="457"/>
      <c r="G176" s="445"/>
      <c r="H176" s="445"/>
      <c r="I176" s="445"/>
      <c r="J176" s="447">
        <v>3</v>
      </c>
      <c r="K176" s="543"/>
      <c r="L176" s="445"/>
      <c r="M176" s="1529"/>
      <c r="N176" s="557" t="e">
        <f t="shared" si="103"/>
        <v>#DIV/0!</v>
      </c>
      <c r="O176" s="445"/>
      <c r="P176" s="1529"/>
      <c r="Q176" s="445"/>
      <c r="R176" s="1529"/>
      <c r="S176" s="651"/>
      <c r="T176" s="218"/>
      <c r="U176" s="2829"/>
      <c r="V176" s="269"/>
      <c r="W176" s="269"/>
      <c r="X176" s="296"/>
      <c r="Y176" s="296"/>
      <c r="Z176" s="296"/>
      <c r="AA176" s="296"/>
      <c r="AB176" s="296"/>
      <c r="AC176" s="296"/>
    </row>
    <row r="177" spans="1:29" ht="39" hidden="1" customHeight="1">
      <c r="A177" s="455"/>
      <c r="B177" s="2826"/>
      <c r="C177" s="1341" t="s">
        <v>3029</v>
      </c>
      <c r="D177" s="444"/>
      <c r="E177" s="445"/>
      <c r="F177" s="457"/>
      <c r="G177" s="445"/>
      <c r="H177" s="445"/>
      <c r="I177" s="445"/>
      <c r="J177" s="447">
        <v>0.7</v>
      </c>
      <c r="K177" s="543"/>
      <c r="L177" s="445"/>
      <c r="M177" s="1529"/>
      <c r="N177" s="557" t="e">
        <f t="shared" si="103"/>
        <v>#DIV/0!</v>
      </c>
      <c r="O177" s="445"/>
      <c r="P177" s="1529"/>
      <c r="Q177" s="445"/>
      <c r="R177" s="1529"/>
      <c r="S177" s="651"/>
      <c r="T177" s="454" t="s">
        <v>3037</v>
      </c>
      <c r="U177" s="2829"/>
      <c r="V177" s="269"/>
      <c r="W177" s="269"/>
      <c r="X177" s="296"/>
      <c r="Y177" s="296"/>
      <c r="Z177" s="296"/>
      <c r="AA177" s="296"/>
      <c r="AB177" s="296"/>
      <c r="AC177" s="296"/>
    </row>
    <row r="178" spans="1:29" ht="39" hidden="1" customHeight="1">
      <c r="A178" s="455"/>
      <c r="B178" s="665" t="s">
        <v>3246</v>
      </c>
      <c r="C178" s="1342" t="s">
        <v>3029</v>
      </c>
      <c r="D178" s="444"/>
      <c r="E178" s="445"/>
      <c r="F178" s="457"/>
      <c r="G178" s="445"/>
      <c r="H178" s="445"/>
      <c r="I178" s="445"/>
      <c r="J178" s="447">
        <v>10</v>
      </c>
      <c r="K178" s="543"/>
      <c r="L178" s="445"/>
      <c r="M178" s="1529"/>
      <c r="N178" s="557" t="e">
        <f t="shared" si="103"/>
        <v>#DIV/0!</v>
      </c>
      <c r="O178" s="445"/>
      <c r="P178" s="1529"/>
      <c r="Q178" s="445"/>
      <c r="R178" s="1529"/>
      <c r="S178" s="651"/>
      <c r="T178" s="454" t="s">
        <v>3247</v>
      </c>
      <c r="U178" s="2829"/>
      <c r="V178" s="269"/>
      <c r="W178" s="269"/>
      <c r="X178" s="296"/>
      <c r="Y178" s="296"/>
      <c r="Z178" s="296"/>
      <c r="AA178" s="296"/>
      <c r="AB178" s="296"/>
      <c r="AC178" s="296"/>
    </row>
    <row r="179" spans="1:29" ht="39" hidden="1" customHeight="1">
      <c r="A179" s="455"/>
      <c r="B179" s="665" t="s">
        <v>3030</v>
      </c>
      <c r="C179" s="539" t="s">
        <v>3026</v>
      </c>
      <c r="D179" s="444"/>
      <c r="E179" s="445"/>
      <c r="F179" s="457"/>
      <c r="G179" s="445"/>
      <c r="H179" s="445"/>
      <c r="I179" s="445"/>
      <c r="J179" s="447">
        <v>18</v>
      </c>
      <c r="K179" s="543"/>
      <c r="L179" s="445"/>
      <c r="M179" s="1529"/>
      <c r="N179" s="557" t="e">
        <f t="shared" si="103"/>
        <v>#DIV/0!</v>
      </c>
      <c r="O179" s="445"/>
      <c r="P179" s="1529"/>
      <c r="Q179" s="445"/>
      <c r="R179" s="1529"/>
      <c r="S179" s="651"/>
      <c r="T179" s="218" t="s">
        <v>3035</v>
      </c>
      <c r="U179" s="2829"/>
      <c r="V179" s="269"/>
      <c r="W179" s="269"/>
      <c r="X179" s="296"/>
      <c r="Y179" s="296"/>
      <c r="Z179" s="296"/>
      <c r="AA179" s="296"/>
      <c r="AB179" s="296"/>
      <c r="AC179" s="296"/>
    </row>
    <row r="180" spans="1:29" ht="39" hidden="1" customHeight="1">
      <c r="A180" s="455"/>
      <c r="B180" s="665" t="s">
        <v>3031</v>
      </c>
      <c r="C180" s="539" t="s">
        <v>3026</v>
      </c>
      <c r="D180" s="444"/>
      <c r="E180" s="445"/>
      <c r="F180" s="457"/>
      <c r="G180" s="445"/>
      <c r="H180" s="445"/>
      <c r="I180" s="445"/>
      <c r="J180" s="447">
        <v>1.1000000000000001</v>
      </c>
      <c r="K180" s="543"/>
      <c r="L180" s="445"/>
      <c r="M180" s="1529"/>
      <c r="N180" s="557" t="e">
        <f t="shared" si="103"/>
        <v>#DIV/0!</v>
      </c>
      <c r="O180" s="445"/>
      <c r="P180" s="1529"/>
      <c r="Q180" s="445"/>
      <c r="R180" s="1529"/>
      <c r="S180" s="651"/>
      <c r="T180" s="218" t="s">
        <v>3034</v>
      </c>
      <c r="U180" s="2829"/>
      <c r="V180" s="269"/>
      <c r="W180" s="269"/>
      <c r="X180" s="296"/>
      <c r="Y180" s="296"/>
      <c r="Z180" s="296"/>
      <c r="AA180" s="296"/>
      <c r="AB180" s="296"/>
      <c r="AC180" s="296"/>
    </row>
    <row r="181" spans="1:29" ht="39" hidden="1" customHeight="1">
      <c r="A181" s="455"/>
      <c r="B181" s="665" t="s">
        <v>3032</v>
      </c>
      <c r="C181" s="539" t="s">
        <v>3026</v>
      </c>
      <c r="D181" s="444"/>
      <c r="E181" s="445"/>
      <c r="F181" s="457"/>
      <c r="G181" s="445"/>
      <c r="H181" s="445"/>
      <c r="I181" s="445"/>
      <c r="J181" s="447">
        <v>15.6</v>
      </c>
      <c r="K181" s="543"/>
      <c r="L181" s="445"/>
      <c r="M181" s="1529"/>
      <c r="N181" s="557" t="e">
        <f t="shared" si="103"/>
        <v>#DIV/0!</v>
      </c>
      <c r="O181" s="445"/>
      <c r="P181" s="1529"/>
      <c r="Q181" s="445"/>
      <c r="R181" s="1529"/>
      <c r="S181" s="651"/>
      <c r="T181" s="218" t="s">
        <v>3033</v>
      </c>
      <c r="U181" s="2829"/>
      <c r="V181" s="269"/>
      <c r="W181" s="269"/>
      <c r="X181" s="296"/>
      <c r="Y181" s="296"/>
      <c r="Z181" s="296"/>
      <c r="AA181" s="296"/>
      <c r="AB181" s="296"/>
      <c r="AC181" s="296"/>
    </row>
    <row r="182" spans="1:29" ht="39" hidden="1" customHeight="1">
      <c r="A182" s="455"/>
      <c r="B182" s="665" t="s">
        <v>3021</v>
      </c>
      <c r="C182" s="539"/>
      <c r="D182" s="444"/>
      <c r="E182" s="445"/>
      <c r="F182" s="457"/>
      <c r="G182" s="445"/>
      <c r="H182" s="445"/>
      <c r="I182" s="445"/>
      <c r="J182" s="447"/>
      <c r="K182" s="543"/>
      <c r="L182" s="445">
        <v>0.4</v>
      </c>
      <c r="M182" s="1529">
        <v>0.4</v>
      </c>
      <c r="N182" s="557"/>
      <c r="O182" s="445">
        <v>0.4</v>
      </c>
      <c r="P182" s="1529">
        <v>0.4</v>
      </c>
      <c r="Q182" s="445">
        <v>0.4</v>
      </c>
      <c r="R182" s="1529">
        <v>0.4</v>
      </c>
      <c r="S182" s="651"/>
      <c r="T182" s="218" t="s">
        <v>3945</v>
      </c>
      <c r="U182" s="2829"/>
      <c r="V182" s="269"/>
      <c r="W182" s="269"/>
      <c r="X182" s="296"/>
      <c r="Y182" s="296"/>
      <c r="Z182" s="296"/>
      <c r="AA182" s="296"/>
      <c r="AB182" s="296"/>
      <c r="AC182" s="296"/>
    </row>
    <row r="183" spans="1:29" ht="51" customHeight="1">
      <c r="A183" s="2791" t="s">
        <v>1927</v>
      </c>
      <c r="B183" s="2703" t="s">
        <v>1118</v>
      </c>
      <c r="C183" s="2806" t="s">
        <v>1071</v>
      </c>
      <c r="D183" s="276" t="s">
        <v>470</v>
      </c>
      <c r="E183" s="213">
        <v>4.5</v>
      </c>
      <c r="F183" s="291">
        <f>H183/E183-1</f>
        <v>-0.22222222222222221</v>
      </c>
      <c r="G183" s="213">
        <v>8.3000000000000007</v>
      </c>
      <c r="H183" s="213">
        <f>SUM(H185,H186)</f>
        <v>3.5</v>
      </c>
      <c r="I183" s="442">
        <f t="shared" ref="I183:I184" si="130">K183/H183-1</f>
        <v>0.34285714285714297</v>
      </c>
      <c r="J183" s="216">
        <f>SUM(J193,J194,J195,J196,J197,J198,)</f>
        <v>10</v>
      </c>
      <c r="K183" s="213">
        <f>SUM(K193,K194,K195,K196,K197,K198,K187,K188,K189,K190,K191,K192)</f>
        <v>4.7</v>
      </c>
      <c r="L183" s="213">
        <f>SUM(L185,L186,L189,L190,)</f>
        <v>12.399999999999999</v>
      </c>
      <c r="M183" s="213">
        <f>SUM(M185,M186,M189,M190,)</f>
        <v>10.199999999999999</v>
      </c>
      <c r="N183" s="2079">
        <f t="shared" si="103"/>
        <v>1.6382978723404251</v>
      </c>
      <c r="O183" s="213">
        <f>SUM(O193,O194,O195,O196,O197,O198,O187,O188,O189,O190,O191,O192,O185)</f>
        <v>12.7</v>
      </c>
      <c r="P183" s="1527">
        <f t="shared" ref="P183:Q183" si="131">SUM(P193,P194,P195,P196,P197,P198,P187,P188,P189,P190,P191,P192,P185)</f>
        <v>11.3</v>
      </c>
      <c r="Q183" s="213">
        <v>12.7</v>
      </c>
      <c r="R183" s="1527">
        <f>SUM(R193,R194,R195,R196,R197,R198,R187,R188,R189,R190,R191,R192,R185)</f>
        <v>12.5</v>
      </c>
      <c r="S183" s="2691" t="s">
        <v>2324</v>
      </c>
      <c r="T183" s="2704" t="s">
        <v>4391</v>
      </c>
      <c r="U183" s="2829"/>
      <c r="V183" s="2766" t="s">
        <v>1125</v>
      </c>
      <c r="W183" s="2694" t="s">
        <v>2611</v>
      </c>
      <c r="X183" s="2766" t="s">
        <v>308</v>
      </c>
      <c r="Y183" s="2766" t="s">
        <v>308</v>
      </c>
      <c r="Z183" s="2766" t="s">
        <v>308</v>
      </c>
      <c r="AA183" s="2764" t="s">
        <v>308</v>
      </c>
      <c r="AB183" s="2764" t="s">
        <v>308</v>
      </c>
      <c r="AC183" s="265" t="s">
        <v>2169</v>
      </c>
    </row>
    <row r="184" spans="1:29" ht="67.95" customHeight="1">
      <c r="A184" s="2791"/>
      <c r="B184" s="2703"/>
      <c r="C184" s="2806"/>
      <c r="D184" s="301" t="s">
        <v>1110</v>
      </c>
      <c r="E184" s="212">
        <f>E183</f>
        <v>4.5</v>
      </c>
      <c r="F184" s="294">
        <f t="shared" ref="F184:F352" si="132">(H184-E184)/E184</f>
        <v>-0.22222222222222221</v>
      </c>
      <c r="G184" s="212">
        <f t="shared" ref="G184" si="133">G183</f>
        <v>8.3000000000000007</v>
      </c>
      <c r="H184" s="212">
        <f t="shared" ref="H184:O184" si="134">H183</f>
        <v>3.5</v>
      </c>
      <c r="I184" s="452">
        <f t="shared" si="130"/>
        <v>0.34285714285714297</v>
      </c>
      <c r="J184" s="257">
        <f t="shared" si="134"/>
        <v>10</v>
      </c>
      <c r="K184" s="212">
        <f t="shared" si="134"/>
        <v>4.7</v>
      </c>
      <c r="L184" s="212">
        <f t="shared" si="134"/>
        <v>12.399999999999999</v>
      </c>
      <c r="M184" s="1528">
        <f t="shared" ref="M184" si="135">M183</f>
        <v>10.199999999999999</v>
      </c>
      <c r="N184" s="2080">
        <f t="shared" si="103"/>
        <v>1.6382978723404251</v>
      </c>
      <c r="O184" s="212">
        <f t="shared" si="134"/>
        <v>12.7</v>
      </c>
      <c r="P184" s="1528">
        <f t="shared" ref="P184:Q184" si="136">P183</f>
        <v>11.3</v>
      </c>
      <c r="Q184" s="212">
        <f t="shared" si="136"/>
        <v>12.7</v>
      </c>
      <c r="R184" s="1528">
        <f t="shared" ref="R184" si="137">R183</f>
        <v>12.5</v>
      </c>
      <c r="S184" s="2691"/>
      <c r="T184" s="2734"/>
      <c r="U184" s="2829"/>
      <c r="V184" s="2766"/>
      <c r="W184" s="2694"/>
      <c r="X184" s="2766"/>
      <c r="Y184" s="2766"/>
      <c r="Z184" s="2766"/>
      <c r="AA184" s="2764"/>
      <c r="AB184" s="2764"/>
      <c r="AC184" s="265" t="s">
        <v>2325</v>
      </c>
    </row>
    <row r="185" spans="1:29" ht="79.8" hidden="1" customHeight="1">
      <c r="A185" s="455"/>
      <c r="B185" s="665" t="s">
        <v>2540</v>
      </c>
      <c r="C185" s="539"/>
      <c r="D185" s="444" t="s">
        <v>470</v>
      </c>
      <c r="E185" s="445"/>
      <c r="F185" s="468"/>
      <c r="G185" s="445"/>
      <c r="H185" s="445">
        <v>3</v>
      </c>
      <c r="I185" s="445"/>
      <c r="J185" s="445">
        <v>3.3</v>
      </c>
      <c r="K185" s="445">
        <v>3.3</v>
      </c>
      <c r="L185" s="445">
        <v>9.5</v>
      </c>
      <c r="M185" s="445">
        <f>4+3.5</f>
        <v>7.5</v>
      </c>
      <c r="N185" s="557">
        <f t="shared" si="103"/>
        <v>1.8787878787878789</v>
      </c>
      <c r="O185" s="445">
        <v>8</v>
      </c>
      <c r="P185" s="445">
        <f>4.5+3.5</f>
        <v>8</v>
      </c>
      <c r="Q185" s="445">
        <v>8.5</v>
      </c>
      <c r="R185" s="445">
        <f>5+3.5</f>
        <v>8.5</v>
      </c>
      <c r="S185" s="1675"/>
      <c r="T185" s="1675" t="s">
        <v>4692</v>
      </c>
      <c r="U185" s="2829"/>
      <c r="V185" s="2794"/>
      <c r="W185" s="2794"/>
      <c r="X185" s="2794"/>
      <c r="Y185" s="2794"/>
      <c r="Z185" s="2794"/>
      <c r="AA185" s="2794"/>
      <c r="AB185" s="2794"/>
      <c r="AC185" s="2794"/>
    </row>
    <row r="186" spans="1:29" ht="35.4" hidden="1" customHeight="1">
      <c r="A186" s="1343"/>
      <c r="B186" s="665" t="s">
        <v>3956</v>
      </c>
      <c r="C186" s="539"/>
      <c r="D186" s="444"/>
      <c r="E186" s="445"/>
      <c r="F186" s="468"/>
      <c r="G186" s="445"/>
      <c r="H186" s="445">
        <v>0.5</v>
      </c>
      <c r="I186" s="445"/>
      <c r="J186" s="445"/>
      <c r="K186" s="445"/>
      <c r="L186" s="445">
        <v>0.7</v>
      </c>
      <c r="M186" s="445">
        <v>0.5</v>
      </c>
      <c r="N186" s="557"/>
      <c r="O186" s="445"/>
      <c r="P186" s="445"/>
      <c r="Q186" s="445"/>
      <c r="R186" s="445"/>
      <c r="S186" s="1675"/>
      <c r="T186" s="1675"/>
      <c r="U186" s="2829"/>
      <c r="V186" s="2794"/>
      <c r="W186" s="2794"/>
      <c r="X186" s="2794"/>
      <c r="Y186" s="2794"/>
      <c r="Z186" s="2794"/>
      <c r="AA186" s="2794"/>
      <c r="AB186" s="2794"/>
      <c r="AC186" s="2794"/>
    </row>
    <row r="187" spans="1:29" ht="39" hidden="1" customHeight="1">
      <c r="A187" s="1343"/>
      <c r="B187" s="665" t="s">
        <v>3443</v>
      </c>
      <c r="C187" s="539"/>
      <c r="D187" s="444" t="s">
        <v>470</v>
      </c>
      <c r="E187" s="445"/>
      <c r="F187" s="468"/>
      <c r="G187" s="445"/>
      <c r="H187" s="445"/>
      <c r="I187" s="445"/>
      <c r="J187" s="445"/>
      <c r="K187" s="445">
        <v>0.7</v>
      </c>
      <c r="L187" s="445"/>
      <c r="M187" s="445"/>
      <c r="N187" s="557"/>
      <c r="O187" s="445"/>
      <c r="P187" s="445"/>
      <c r="Q187" s="445"/>
      <c r="R187" s="445"/>
      <c r="S187" s="1675"/>
      <c r="T187" s="1675"/>
      <c r="U187" s="2829"/>
      <c r="V187" s="2794"/>
      <c r="W187" s="2794"/>
      <c r="X187" s="2794"/>
      <c r="Y187" s="2794"/>
      <c r="Z187" s="2794"/>
      <c r="AA187" s="2794"/>
      <c r="AB187" s="2794"/>
      <c r="AC187" s="2794"/>
    </row>
    <row r="188" spans="1:29" ht="39" hidden="1" customHeight="1">
      <c r="A188" s="1343"/>
      <c r="B188" s="665" t="s">
        <v>3444</v>
      </c>
      <c r="C188" s="539"/>
      <c r="D188" s="444" t="s">
        <v>470</v>
      </c>
      <c r="E188" s="445"/>
      <c r="F188" s="468"/>
      <c r="G188" s="445"/>
      <c r="H188" s="445"/>
      <c r="I188" s="445"/>
      <c r="J188" s="445"/>
      <c r="K188" s="445">
        <v>0.7</v>
      </c>
      <c r="L188" s="445"/>
      <c r="M188" s="445"/>
      <c r="N188" s="557"/>
      <c r="O188" s="445"/>
      <c r="P188" s="445"/>
      <c r="Q188" s="445"/>
      <c r="R188" s="445"/>
      <c r="S188" s="1675"/>
      <c r="T188" s="1675"/>
      <c r="U188" s="2829"/>
      <c r="V188" s="2794"/>
      <c r="W188" s="2794"/>
      <c r="X188" s="2794"/>
      <c r="Y188" s="2794"/>
      <c r="Z188" s="2794"/>
      <c r="AA188" s="2794"/>
      <c r="AB188" s="2794"/>
      <c r="AC188" s="2794"/>
    </row>
    <row r="189" spans="1:29" ht="55.8" hidden="1" customHeight="1">
      <c r="A189" s="1343"/>
      <c r="B189" s="665" t="s">
        <v>3445</v>
      </c>
      <c r="C189" s="539"/>
      <c r="D189" s="444" t="s">
        <v>470</v>
      </c>
      <c r="E189" s="445"/>
      <c r="F189" s="468"/>
      <c r="G189" s="445"/>
      <c r="H189" s="445"/>
      <c r="I189" s="445"/>
      <c r="J189" s="445"/>
      <c r="K189" s="445"/>
      <c r="L189" s="445">
        <v>1.5</v>
      </c>
      <c r="M189" s="446">
        <v>1.5</v>
      </c>
      <c r="N189" s="557"/>
      <c r="O189" s="445"/>
      <c r="P189" s="445"/>
      <c r="Q189" s="445"/>
      <c r="R189" s="445">
        <v>0.7</v>
      </c>
      <c r="S189" s="1675"/>
      <c r="T189" s="1675" t="s">
        <v>4002</v>
      </c>
      <c r="U189" s="2829"/>
      <c r="V189" s="2794"/>
      <c r="W189" s="2794"/>
      <c r="X189" s="2794"/>
      <c r="Y189" s="2794"/>
      <c r="Z189" s="2794"/>
      <c r="AA189" s="2794"/>
      <c r="AB189" s="2794"/>
      <c r="AC189" s="2794"/>
    </row>
    <row r="190" spans="1:29" ht="39" hidden="1" customHeight="1">
      <c r="A190" s="1343"/>
      <c r="B190" s="665" t="s">
        <v>3446</v>
      </c>
      <c r="C190" s="539"/>
      <c r="D190" s="444" t="s">
        <v>470</v>
      </c>
      <c r="E190" s="445"/>
      <c r="F190" s="468"/>
      <c r="G190" s="445"/>
      <c r="H190" s="445"/>
      <c r="I190" s="445"/>
      <c r="J190" s="445"/>
      <c r="K190" s="445"/>
      <c r="L190" s="445">
        <v>0.7</v>
      </c>
      <c r="M190" s="445">
        <v>0.7</v>
      </c>
      <c r="N190" s="557"/>
      <c r="O190" s="445"/>
      <c r="P190" s="445"/>
      <c r="Q190" s="445"/>
      <c r="R190" s="445"/>
      <c r="S190" s="1675"/>
      <c r="T190" s="1675"/>
      <c r="U190" s="2829"/>
      <c r="V190" s="2794"/>
      <c r="W190" s="2794"/>
      <c r="X190" s="2794"/>
      <c r="Y190" s="2794"/>
      <c r="Z190" s="2794"/>
      <c r="AA190" s="2794"/>
      <c r="AB190" s="2794"/>
      <c r="AC190" s="2794"/>
    </row>
    <row r="191" spans="1:29" ht="29.4" hidden="1" customHeight="1">
      <c r="A191" s="1343"/>
      <c r="B191" s="665" t="s">
        <v>3447</v>
      </c>
      <c r="C191" s="539"/>
      <c r="D191" s="444" t="s">
        <v>470</v>
      </c>
      <c r="E191" s="445"/>
      <c r="F191" s="468"/>
      <c r="G191" s="445"/>
      <c r="H191" s="445"/>
      <c r="I191" s="445"/>
      <c r="J191" s="445"/>
      <c r="K191" s="445"/>
      <c r="L191" s="445"/>
      <c r="M191" s="445"/>
      <c r="N191" s="557"/>
      <c r="O191" s="445">
        <v>0.7</v>
      </c>
      <c r="P191" s="445"/>
      <c r="Q191" s="445"/>
      <c r="R191" s="445"/>
      <c r="S191" s="1675"/>
      <c r="T191" s="1675"/>
      <c r="U191" s="2829"/>
      <c r="V191" s="2794"/>
      <c r="W191" s="2794"/>
      <c r="X191" s="2794"/>
      <c r="Y191" s="2794"/>
      <c r="Z191" s="2794"/>
      <c r="AA191" s="2794"/>
      <c r="AB191" s="2794"/>
      <c r="AC191" s="2794"/>
    </row>
    <row r="192" spans="1:29" ht="34.200000000000003" hidden="1" customHeight="1">
      <c r="A192" s="1343"/>
      <c r="B192" s="665" t="s">
        <v>3957</v>
      </c>
      <c r="C192" s="539"/>
      <c r="D192" s="444" t="s">
        <v>470</v>
      </c>
      <c r="E192" s="445"/>
      <c r="F192" s="468"/>
      <c r="G192" s="445"/>
      <c r="H192" s="445"/>
      <c r="I192" s="445"/>
      <c r="J192" s="445"/>
      <c r="K192" s="445"/>
      <c r="L192" s="445"/>
      <c r="M192" s="445"/>
      <c r="N192" s="557"/>
      <c r="O192" s="445">
        <v>0.7</v>
      </c>
      <c r="P192" s="445"/>
      <c r="Q192" s="445"/>
      <c r="R192" s="445"/>
      <c r="S192" s="1675"/>
      <c r="T192" s="1675"/>
      <c r="U192" s="2829"/>
      <c r="V192" s="2794"/>
      <c r="W192" s="2794"/>
      <c r="X192" s="2794"/>
      <c r="Y192" s="2794"/>
      <c r="Z192" s="2794"/>
      <c r="AA192" s="2794"/>
      <c r="AB192" s="2794"/>
      <c r="AC192" s="2794"/>
    </row>
    <row r="193" spans="1:29" ht="39" hidden="1" customHeight="1">
      <c r="A193" s="455" t="s">
        <v>3011</v>
      </c>
      <c r="B193" s="665" t="s">
        <v>3040</v>
      </c>
      <c r="C193" s="539" t="s">
        <v>3026</v>
      </c>
      <c r="D193" s="444"/>
      <c r="E193" s="445"/>
      <c r="F193" s="468"/>
      <c r="G193" s="445"/>
      <c r="H193" s="445"/>
      <c r="I193" s="445"/>
      <c r="J193" s="447">
        <v>1.7</v>
      </c>
      <c r="K193" s="446">
        <v>0</v>
      </c>
      <c r="L193" s="446">
        <v>0</v>
      </c>
      <c r="M193" s="1530">
        <v>0</v>
      </c>
      <c r="N193" s="557" t="e">
        <f t="shared" si="103"/>
        <v>#DIV/0!</v>
      </c>
      <c r="O193" s="446">
        <v>0</v>
      </c>
      <c r="P193" s="1530">
        <v>0</v>
      </c>
      <c r="Q193" s="446">
        <v>0</v>
      </c>
      <c r="R193" s="1530">
        <v>0</v>
      </c>
      <c r="S193" s="880"/>
      <c r="T193" s="469" t="s">
        <v>3041</v>
      </c>
      <c r="U193" s="2829"/>
      <c r="V193" s="269"/>
      <c r="W193" s="297"/>
      <c r="X193" s="296"/>
      <c r="Y193" s="296"/>
      <c r="Z193" s="296"/>
      <c r="AA193" s="296"/>
      <c r="AB193" s="296"/>
      <c r="AC193" s="296"/>
    </row>
    <row r="194" spans="1:29" ht="39" hidden="1" customHeight="1">
      <c r="A194" s="455"/>
      <c r="B194" s="665" t="s">
        <v>3042</v>
      </c>
      <c r="C194" s="539" t="s">
        <v>3026</v>
      </c>
      <c r="D194" s="444"/>
      <c r="E194" s="445"/>
      <c r="F194" s="468"/>
      <c r="G194" s="445"/>
      <c r="H194" s="445"/>
      <c r="I194" s="445"/>
      <c r="J194" s="447">
        <v>2.2999999999999998</v>
      </c>
      <c r="K194" s="446">
        <v>2.2999999999999998</v>
      </c>
      <c r="L194" s="446">
        <v>2.2999999999999998</v>
      </c>
      <c r="M194" s="1530">
        <v>2.2999999999999998</v>
      </c>
      <c r="N194" s="557">
        <f t="shared" si="103"/>
        <v>0</v>
      </c>
      <c r="O194" s="446">
        <v>2.2999999999999998</v>
      </c>
      <c r="P194" s="1530">
        <v>2.2999999999999998</v>
      </c>
      <c r="Q194" s="446">
        <v>2.2999999999999998</v>
      </c>
      <c r="R194" s="1530">
        <v>2.2999999999999998</v>
      </c>
      <c r="S194" s="880"/>
      <c r="T194" s="469" t="s">
        <v>3043</v>
      </c>
      <c r="U194" s="2829"/>
      <c r="V194" s="269"/>
      <c r="W194" s="297"/>
      <c r="X194" s="296"/>
      <c r="Y194" s="296"/>
      <c r="Z194" s="296"/>
      <c r="AA194" s="296"/>
      <c r="AB194" s="296"/>
      <c r="AC194" s="296"/>
    </row>
    <row r="195" spans="1:29" ht="39" hidden="1" customHeight="1">
      <c r="A195" s="455"/>
      <c r="B195" s="665" t="s">
        <v>3044</v>
      </c>
      <c r="C195" s="539" t="s">
        <v>3026</v>
      </c>
      <c r="D195" s="444"/>
      <c r="E195" s="445"/>
      <c r="F195" s="468"/>
      <c r="G195" s="445"/>
      <c r="H195" s="445"/>
      <c r="I195" s="445"/>
      <c r="J195" s="447">
        <v>0.3</v>
      </c>
      <c r="K195" s="446">
        <v>0</v>
      </c>
      <c r="L195" s="446">
        <v>0</v>
      </c>
      <c r="M195" s="1530">
        <v>0</v>
      </c>
      <c r="N195" s="557" t="e">
        <f t="shared" si="103"/>
        <v>#DIV/0!</v>
      </c>
      <c r="O195" s="446">
        <v>0</v>
      </c>
      <c r="P195" s="1530">
        <v>0</v>
      </c>
      <c r="Q195" s="446">
        <v>0</v>
      </c>
      <c r="R195" s="1530">
        <v>0</v>
      </c>
      <c r="S195" s="880"/>
      <c r="T195" s="445" t="s">
        <v>3045</v>
      </c>
      <c r="U195" s="2829"/>
      <c r="V195" s="269"/>
      <c r="W195" s="297"/>
      <c r="X195" s="296"/>
      <c r="Y195" s="296"/>
      <c r="Z195" s="296"/>
      <c r="AA195" s="296"/>
      <c r="AB195" s="296"/>
      <c r="AC195" s="296"/>
    </row>
    <row r="196" spans="1:29" ht="39" hidden="1" customHeight="1">
      <c r="A196" s="455"/>
      <c r="B196" s="665" t="s">
        <v>3046</v>
      </c>
      <c r="C196" s="539" t="s">
        <v>3026</v>
      </c>
      <c r="D196" s="444"/>
      <c r="E196" s="445"/>
      <c r="F196" s="468"/>
      <c r="G196" s="445"/>
      <c r="H196" s="445"/>
      <c r="I196" s="445"/>
      <c r="J196" s="447">
        <v>3</v>
      </c>
      <c r="K196" s="446">
        <v>0</v>
      </c>
      <c r="L196" s="446">
        <v>0</v>
      </c>
      <c r="M196" s="1530">
        <v>0</v>
      </c>
      <c r="N196" s="557" t="e">
        <f t="shared" si="103"/>
        <v>#DIV/0!</v>
      </c>
      <c r="O196" s="446">
        <v>0</v>
      </c>
      <c r="P196" s="1530">
        <v>0</v>
      </c>
      <c r="Q196" s="446">
        <v>0</v>
      </c>
      <c r="R196" s="1530">
        <v>0</v>
      </c>
      <c r="S196" s="880"/>
      <c r="T196" s="445" t="s">
        <v>3045</v>
      </c>
      <c r="U196" s="2829"/>
      <c r="V196" s="269"/>
      <c r="W196" s="297"/>
      <c r="X196" s="296"/>
      <c r="Y196" s="296"/>
      <c r="Z196" s="296"/>
      <c r="AA196" s="296"/>
      <c r="AB196" s="296"/>
      <c r="AC196" s="296"/>
    </row>
    <row r="197" spans="1:29" ht="39" hidden="1" customHeight="1">
      <c r="A197" s="455"/>
      <c r="B197" s="665" t="s">
        <v>3047</v>
      </c>
      <c r="C197" s="539" t="s">
        <v>3026</v>
      </c>
      <c r="D197" s="444"/>
      <c r="E197" s="445"/>
      <c r="F197" s="468"/>
      <c r="G197" s="445"/>
      <c r="H197" s="445"/>
      <c r="I197" s="445"/>
      <c r="J197" s="447">
        <v>1</v>
      </c>
      <c r="K197" s="446">
        <v>1</v>
      </c>
      <c r="L197" s="446">
        <v>1</v>
      </c>
      <c r="M197" s="1530">
        <v>1</v>
      </c>
      <c r="N197" s="557">
        <f t="shared" si="103"/>
        <v>0</v>
      </c>
      <c r="O197" s="446">
        <v>1</v>
      </c>
      <c r="P197" s="1530">
        <v>1</v>
      </c>
      <c r="Q197" s="446">
        <v>1</v>
      </c>
      <c r="R197" s="1530">
        <v>1</v>
      </c>
      <c r="S197" s="880"/>
      <c r="T197" s="445" t="s">
        <v>3048</v>
      </c>
      <c r="U197" s="2829"/>
      <c r="V197" s="269"/>
      <c r="W197" s="297"/>
      <c r="X197" s="296"/>
      <c r="Y197" s="296"/>
      <c r="Z197" s="296"/>
      <c r="AA197" s="296"/>
      <c r="AB197" s="296"/>
      <c r="AC197" s="296"/>
    </row>
    <row r="198" spans="1:29" ht="39" hidden="1" customHeight="1">
      <c r="A198" s="455"/>
      <c r="B198" s="665" t="s">
        <v>3049</v>
      </c>
      <c r="C198" s="539" t="s">
        <v>3026</v>
      </c>
      <c r="D198" s="444"/>
      <c r="E198" s="445"/>
      <c r="F198" s="468"/>
      <c r="G198" s="445"/>
      <c r="H198" s="445"/>
      <c r="I198" s="445"/>
      <c r="J198" s="447">
        <v>1.7</v>
      </c>
      <c r="K198" s="446">
        <v>0</v>
      </c>
      <c r="L198" s="446">
        <v>0</v>
      </c>
      <c r="M198" s="1530">
        <v>0</v>
      </c>
      <c r="N198" s="557" t="e">
        <f t="shared" si="103"/>
        <v>#DIV/0!</v>
      </c>
      <c r="O198" s="446">
        <v>0</v>
      </c>
      <c r="P198" s="1530">
        <v>0</v>
      </c>
      <c r="Q198" s="446">
        <v>0</v>
      </c>
      <c r="R198" s="1530">
        <v>0</v>
      </c>
      <c r="S198" s="880"/>
      <c r="T198" s="469" t="s">
        <v>3050</v>
      </c>
      <c r="U198" s="2829"/>
      <c r="V198" s="269"/>
      <c r="W198" s="297"/>
      <c r="X198" s="296"/>
      <c r="Y198" s="296"/>
      <c r="Z198" s="296"/>
      <c r="AA198" s="296"/>
      <c r="AB198" s="296"/>
      <c r="AC198" s="296"/>
    </row>
    <row r="199" spans="1:29" ht="39" hidden="1" customHeight="1">
      <c r="A199" s="455"/>
      <c r="B199" s="1344" t="s">
        <v>3023</v>
      </c>
      <c r="C199" s="539"/>
      <c r="D199" s="444"/>
      <c r="E199" s="445"/>
      <c r="F199" s="468"/>
      <c r="G199" s="445"/>
      <c r="H199" s="445"/>
      <c r="I199" s="445"/>
      <c r="J199" s="447">
        <v>1</v>
      </c>
      <c r="K199" s="446"/>
      <c r="L199" s="446"/>
      <c r="M199" s="1530"/>
      <c r="N199" s="557" t="e">
        <f t="shared" si="103"/>
        <v>#DIV/0!</v>
      </c>
      <c r="O199" s="446"/>
      <c r="P199" s="1530"/>
      <c r="Q199" s="446"/>
      <c r="R199" s="1530"/>
      <c r="S199" s="880"/>
      <c r="T199" s="555" t="s">
        <v>3243</v>
      </c>
      <c r="U199" s="2829"/>
      <c r="V199" s="269"/>
      <c r="W199" s="297"/>
      <c r="X199" s="296"/>
      <c r="Y199" s="296"/>
      <c r="Z199" s="296"/>
      <c r="AA199" s="296"/>
      <c r="AB199" s="296"/>
      <c r="AC199" s="296"/>
    </row>
    <row r="200" spans="1:29" ht="39" customHeight="1">
      <c r="A200" s="2791" t="s">
        <v>1928</v>
      </c>
      <c r="B200" s="2703" t="s">
        <v>3958</v>
      </c>
      <c r="C200" s="2806" t="s">
        <v>1071</v>
      </c>
      <c r="D200" s="276" t="s">
        <v>470</v>
      </c>
      <c r="E200" s="213">
        <v>0.8</v>
      </c>
      <c r="F200" s="291">
        <f>H200/E200-1</f>
        <v>0.125</v>
      </c>
      <c r="G200" s="213">
        <v>0.9</v>
      </c>
      <c r="H200" s="213">
        <v>0.9</v>
      </c>
      <c r="I200" s="442">
        <f>K200/H200-1</f>
        <v>0.11111111111111116</v>
      </c>
      <c r="J200" s="216">
        <f>J207</f>
        <v>1</v>
      </c>
      <c r="K200" s="213">
        <f>K207</f>
        <v>1</v>
      </c>
      <c r="L200" s="213">
        <f>L207</f>
        <v>1</v>
      </c>
      <c r="M200" s="1527">
        <f>M207</f>
        <v>1</v>
      </c>
      <c r="N200" s="2079">
        <f t="shared" si="103"/>
        <v>0</v>
      </c>
      <c r="O200" s="213">
        <f>O207</f>
        <v>1</v>
      </c>
      <c r="P200" s="1527">
        <f>P207</f>
        <v>1</v>
      </c>
      <c r="Q200" s="213">
        <f t="shared" ref="Q200" si="138">Q207</f>
        <v>1</v>
      </c>
      <c r="R200" s="1527">
        <f>R207</f>
        <v>1</v>
      </c>
      <c r="S200" s="2691" t="s">
        <v>1770</v>
      </c>
      <c r="T200" s="2704" t="s">
        <v>3959</v>
      </c>
      <c r="U200" s="2829"/>
      <c r="V200" s="2766" t="s">
        <v>1137</v>
      </c>
      <c r="W200" s="2694" t="s">
        <v>2792</v>
      </c>
      <c r="X200" s="2766" t="s">
        <v>308</v>
      </c>
      <c r="Y200" s="2766" t="s">
        <v>308</v>
      </c>
      <c r="Z200" s="2766" t="s">
        <v>308</v>
      </c>
      <c r="AA200" s="2764" t="s">
        <v>308</v>
      </c>
      <c r="AB200" s="2764" t="s">
        <v>308</v>
      </c>
      <c r="AC200" s="2766" t="s">
        <v>851</v>
      </c>
    </row>
    <row r="201" spans="1:29" ht="39" customHeight="1">
      <c r="A201" s="2791"/>
      <c r="B201" s="2703"/>
      <c r="C201" s="2806"/>
      <c r="D201" s="276" t="s">
        <v>1113</v>
      </c>
      <c r="E201" s="213">
        <v>5.6</v>
      </c>
      <c r="F201" s="291">
        <f>H201/E201-1</f>
        <v>7.1428571428571397E-2</v>
      </c>
      <c r="G201" s="213">
        <f>SUM(G204,G206)</f>
        <v>10.705</v>
      </c>
      <c r="H201" s="213">
        <f>H206</f>
        <v>6</v>
      </c>
      <c r="I201" s="442">
        <f t="shared" ref="I201:I203" si="139">K201/H201-1</f>
        <v>3.3333333333333437E-2</v>
      </c>
      <c r="J201" s="216">
        <f>J208</f>
        <v>11</v>
      </c>
      <c r="K201" s="213">
        <v>6.2</v>
      </c>
      <c r="L201" s="213">
        <f>L208</f>
        <v>5.07</v>
      </c>
      <c r="M201" s="1527">
        <f>M208</f>
        <v>0</v>
      </c>
      <c r="N201" s="2079">
        <f t="shared" si="103"/>
        <v>-0.182258064516129</v>
      </c>
      <c r="O201" s="213">
        <f>O208</f>
        <v>5.07</v>
      </c>
      <c r="P201" s="1527">
        <f>P208</f>
        <v>0</v>
      </c>
      <c r="Q201" s="213">
        <f>Q208</f>
        <v>5.07</v>
      </c>
      <c r="R201" s="1527">
        <f>R208</f>
        <v>0</v>
      </c>
      <c r="S201" s="2691"/>
      <c r="T201" s="2734"/>
      <c r="U201" s="2829"/>
      <c r="V201" s="2766"/>
      <c r="W201" s="2694"/>
      <c r="X201" s="2766"/>
      <c r="Y201" s="2766"/>
      <c r="Z201" s="2766"/>
      <c r="AA201" s="2764"/>
      <c r="AB201" s="2764"/>
      <c r="AC201" s="2766"/>
    </row>
    <row r="202" spans="1:29" ht="39" customHeight="1">
      <c r="A202" s="2791"/>
      <c r="B202" s="2703"/>
      <c r="C202" s="2806"/>
      <c r="D202" s="276" t="s">
        <v>1353</v>
      </c>
      <c r="E202" s="213"/>
      <c r="F202" s="291"/>
      <c r="G202" s="213"/>
      <c r="H202" s="213"/>
      <c r="I202" s="442"/>
      <c r="J202" s="216"/>
      <c r="K202" s="213">
        <f>K205</f>
        <v>0.1</v>
      </c>
      <c r="L202" s="213">
        <f>L205</f>
        <v>0.2</v>
      </c>
      <c r="M202" s="1527">
        <f>M205</f>
        <v>0.2</v>
      </c>
      <c r="N202" s="2079">
        <f t="shared" si="103"/>
        <v>1</v>
      </c>
      <c r="O202" s="213">
        <v>0.2</v>
      </c>
      <c r="P202" s="1527">
        <f>P205</f>
        <v>0.2</v>
      </c>
      <c r="Q202" s="213">
        <v>0.2</v>
      </c>
      <c r="R202" s="1527">
        <f>R205</f>
        <v>0.2</v>
      </c>
      <c r="S202" s="2691"/>
      <c r="T202" s="2734"/>
      <c r="U202" s="2829"/>
      <c r="V202" s="2766"/>
      <c r="W202" s="2694"/>
      <c r="X202" s="2766"/>
      <c r="Y202" s="2766"/>
      <c r="Z202" s="2766"/>
      <c r="AA202" s="2764"/>
      <c r="AB202" s="2764"/>
      <c r="AC202" s="2766"/>
    </row>
    <row r="203" spans="1:29" ht="39" customHeight="1">
      <c r="A203" s="2791"/>
      <c r="B203" s="2703"/>
      <c r="C203" s="2806"/>
      <c r="D203" s="301" t="s">
        <v>1110</v>
      </c>
      <c r="E203" s="212">
        <f>SUM(E200:E201)</f>
        <v>6.3999999999999995</v>
      </c>
      <c r="F203" s="294">
        <f>H203/E203-1</f>
        <v>7.8125000000000222E-2</v>
      </c>
      <c r="G203" s="212">
        <f t="shared" ref="G203" si="140">SUM(G200:G201)</f>
        <v>11.605</v>
      </c>
      <c r="H203" s="212">
        <f t="shared" ref="H203" si="141">SUM(H200:H201)</f>
        <v>6.9</v>
      </c>
      <c r="I203" s="452">
        <f t="shared" si="139"/>
        <v>5.7971014492753437E-2</v>
      </c>
      <c r="J203" s="257">
        <f>SUM(J200,J201)</f>
        <v>12</v>
      </c>
      <c r="K203" s="212">
        <f>SUM(K200,K201,K202)</f>
        <v>7.3</v>
      </c>
      <c r="L203" s="212">
        <f t="shared" ref="L203:O203" si="142">SUM(L200,L201,L202)</f>
        <v>6.2700000000000005</v>
      </c>
      <c r="M203" s="1528">
        <f>SUM(M200,M201,M202)</f>
        <v>1.2</v>
      </c>
      <c r="N203" s="2080">
        <f t="shared" si="103"/>
        <v>-0.14109589041095882</v>
      </c>
      <c r="O203" s="212">
        <f t="shared" si="142"/>
        <v>6.2700000000000005</v>
      </c>
      <c r="P203" s="1528">
        <f>SUM(P200,P201,P202)</f>
        <v>1.2</v>
      </c>
      <c r="Q203" s="212">
        <f t="shared" ref="Q203" si="143">SUM(Q200,Q201,Q202)</f>
        <v>6.2700000000000005</v>
      </c>
      <c r="R203" s="1528">
        <f>SUM(R200,R201,R202)</f>
        <v>1.2</v>
      </c>
      <c r="S203" s="2691"/>
      <c r="T203" s="2734"/>
      <c r="U203" s="2829"/>
      <c r="V203" s="2766"/>
      <c r="W203" s="2694"/>
      <c r="X203" s="2766"/>
      <c r="Y203" s="2766"/>
      <c r="Z203" s="2766"/>
      <c r="AA203" s="2764"/>
      <c r="AB203" s="2764"/>
      <c r="AC203" s="2766"/>
    </row>
    <row r="204" spans="1:29" ht="39" hidden="1" customHeight="1">
      <c r="A204" s="1345" t="s">
        <v>3010</v>
      </c>
      <c r="B204" s="1346" t="s">
        <v>1132</v>
      </c>
      <c r="C204" s="1347"/>
      <c r="D204" s="1348" t="s">
        <v>1744</v>
      </c>
      <c r="E204" s="464"/>
      <c r="F204" s="467"/>
      <c r="G204" s="464">
        <v>0.70499999999999996</v>
      </c>
      <c r="H204" s="464">
        <v>0.70499999999999996</v>
      </c>
      <c r="I204" s="464"/>
      <c r="J204" s="466"/>
      <c r="K204" s="464">
        <v>0</v>
      </c>
      <c r="L204" s="464">
        <v>0</v>
      </c>
      <c r="M204" s="1533">
        <v>0</v>
      </c>
      <c r="N204" s="2073" t="e">
        <f t="shared" si="103"/>
        <v>#DIV/0!</v>
      </c>
      <c r="O204" s="464"/>
      <c r="P204" s="1533"/>
      <c r="Q204" s="464"/>
      <c r="R204" s="1533"/>
      <c r="S204" s="881"/>
      <c r="T204" s="464"/>
      <c r="U204" s="2829"/>
      <c r="V204" s="465"/>
      <c r="W204" s="465"/>
      <c r="X204" s="465"/>
      <c r="Y204" s="465"/>
      <c r="Z204" s="465"/>
      <c r="AA204" s="465"/>
      <c r="AB204" s="465"/>
      <c r="AC204" s="465"/>
    </row>
    <row r="205" spans="1:29" ht="39" hidden="1" customHeight="1">
      <c r="A205" s="455"/>
      <c r="B205" s="665" t="s">
        <v>3448</v>
      </c>
      <c r="C205" s="539"/>
      <c r="D205" s="444" t="s">
        <v>1353</v>
      </c>
      <c r="E205" s="445"/>
      <c r="F205" s="457"/>
      <c r="G205" s="445"/>
      <c r="H205" s="445"/>
      <c r="I205" s="445"/>
      <c r="J205" s="447"/>
      <c r="K205" s="445">
        <v>0.1</v>
      </c>
      <c r="L205" s="445">
        <v>0.2</v>
      </c>
      <c r="M205" s="1529">
        <v>0.2</v>
      </c>
      <c r="N205" s="557">
        <f t="shared" si="103"/>
        <v>1</v>
      </c>
      <c r="O205" s="445">
        <v>0.2</v>
      </c>
      <c r="P205" s="1529">
        <v>0.2</v>
      </c>
      <c r="Q205" s="445">
        <v>0.2</v>
      </c>
      <c r="R205" s="1529">
        <v>0.2</v>
      </c>
      <c r="S205" s="651"/>
      <c r="T205" s="218"/>
      <c r="U205" s="2829"/>
      <c r="V205" s="269"/>
      <c r="W205" s="269"/>
      <c r="X205" s="269"/>
      <c r="Y205" s="269"/>
      <c r="Z205" s="269"/>
      <c r="AA205" s="269"/>
      <c r="AB205" s="269"/>
      <c r="AC205" s="269"/>
    </row>
    <row r="206" spans="1:29" ht="39" hidden="1" customHeight="1">
      <c r="A206" s="1343"/>
      <c r="B206" s="665" t="s">
        <v>2540</v>
      </c>
      <c r="C206" s="1349"/>
      <c r="D206" s="444" t="s">
        <v>1744</v>
      </c>
      <c r="E206" s="218"/>
      <c r="F206" s="295"/>
      <c r="G206" s="218">
        <v>10</v>
      </c>
      <c r="H206" s="445">
        <v>6</v>
      </c>
      <c r="I206" s="445"/>
      <c r="J206" s="447"/>
      <c r="K206" s="445">
        <v>0</v>
      </c>
      <c r="L206" s="445">
        <v>0</v>
      </c>
      <c r="M206" s="1529"/>
      <c r="N206" s="557" t="e">
        <f t="shared" si="103"/>
        <v>#DIV/0!</v>
      </c>
      <c r="O206" s="445">
        <v>0</v>
      </c>
      <c r="P206" s="1529">
        <v>0</v>
      </c>
      <c r="Q206" s="445">
        <v>0</v>
      </c>
      <c r="R206" s="1529">
        <v>0</v>
      </c>
      <c r="S206" s="651"/>
      <c r="T206" s="218"/>
      <c r="U206" s="2829"/>
      <c r="V206" s="269"/>
      <c r="W206" s="269"/>
      <c r="X206" s="269"/>
      <c r="Y206" s="269"/>
      <c r="Z206" s="269"/>
      <c r="AA206" s="269"/>
      <c r="AB206" s="269"/>
      <c r="AC206" s="269"/>
    </row>
    <row r="207" spans="1:29" ht="75.599999999999994" hidden="1" customHeight="1">
      <c r="A207" s="1343"/>
      <c r="B207" s="665" t="s">
        <v>3960</v>
      </c>
      <c r="C207" s="539" t="s">
        <v>3026</v>
      </c>
      <c r="D207" s="444" t="s">
        <v>470</v>
      </c>
      <c r="E207" s="445"/>
      <c r="F207" s="468"/>
      <c r="G207" s="445"/>
      <c r="H207" s="445"/>
      <c r="I207" s="445"/>
      <c r="J207" s="447">
        <v>1</v>
      </c>
      <c r="K207" s="445">
        <v>1</v>
      </c>
      <c r="L207" s="445">
        <v>1</v>
      </c>
      <c r="M207" s="1529">
        <v>1</v>
      </c>
      <c r="N207" s="557">
        <f t="shared" ref="N207:N270" si="144">SUM(L207-K207)/K207</f>
        <v>0</v>
      </c>
      <c r="O207" s="445">
        <v>1</v>
      </c>
      <c r="P207" s="1529">
        <v>1</v>
      </c>
      <c r="Q207" s="445">
        <v>1</v>
      </c>
      <c r="R207" s="1529">
        <v>1</v>
      </c>
      <c r="S207" s="880"/>
      <c r="T207" s="445" t="s">
        <v>3051</v>
      </c>
      <c r="U207" s="2829"/>
      <c r="V207" s="269"/>
      <c r="W207" s="297"/>
      <c r="X207" s="296"/>
      <c r="Y207" s="296"/>
      <c r="Z207" s="296"/>
      <c r="AA207" s="296"/>
      <c r="AB207" s="296"/>
      <c r="AC207" s="296"/>
    </row>
    <row r="208" spans="1:29" ht="39" hidden="1" customHeight="1">
      <c r="A208" s="1343"/>
      <c r="B208" s="665" t="s">
        <v>3052</v>
      </c>
      <c r="C208" s="539" t="s">
        <v>3026</v>
      </c>
      <c r="D208" s="444" t="s">
        <v>1744</v>
      </c>
      <c r="E208" s="445"/>
      <c r="F208" s="468"/>
      <c r="G208" s="445"/>
      <c r="H208" s="445"/>
      <c r="I208" s="445"/>
      <c r="J208" s="447">
        <v>11</v>
      </c>
      <c r="K208" s="445"/>
      <c r="L208" s="445">
        <v>5.07</v>
      </c>
      <c r="M208" s="1529"/>
      <c r="N208" s="557"/>
      <c r="O208" s="445">
        <v>5.07</v>
      </c>
      <c r="P208" s="1529"/>
      <c r="Q208" s="445">
        <v>5.07</v>
      </c>
      <c r="R208" s="1529"/>
      <c r="S208" s="880"/>
      <c r="T208" s="445" t="s">
        <v>3053</v>
      </c>
      <c r="U208" s="2829"/>
      <c r="V208" s="269"/>
      <c r="W208" s="297"/>
      <c r="X208" s="296"/>
      <c r="Y208" s="296"/>
      <c r="Z208" s="296"/>
      <c r="AA208" s="296"/>
      <c r="AB208" s="296"/>
      <c r="AC208" s="296"/>
    </row>
    <row r="209" spans="1:31" ht="33.75" customHeight="1">
      <c r="A209" s="2791" t="s">
        <v>1929</v>
      </c>
      <c r="B209" s="2703" t="s">
        <v>1119</v>
      </c>
      <c r="C209" s="2806" t="s">
        <v>1071</v>
      </c>
      <c r="D209" s="276" t="s">
        <v>2747</v>
      </c>
      <c r="E209" s="213">
        <v>8</v>
      </c>
      <c r="F209" s="291">
        <f>H209/E209-1</f>
        <v>4.3962500000000002</v>
      </c>
      <c r="G209" s="213">
        <f>SUM(G216,G220,G222,)</f>
        <v>63.082000000000001</v>
      </c>
      <c r="H209" s="216">
        <f>SUM(H216,H220,H222,)</f>
        <v>43.17</v>
      </c>
      <c r="I209" s="442">
        <f t="shared" ref="I209:I215" si="145">K209/H209-1</f>
        <v>-0.68781561269400049</v>
      </c>
      <c r="J209" s="216">
        <f>SUM(J216,J222,J226)</f>
        <v>5.4770000000000003</v>
      </c>
      <c r="K209" s="213">
        <f>SUM(K216,K222,K226)</f>
        <v>13.477</v>
      </c>
      <c r="L209" s="213"/>
      <c r="M209" s="1527"/>
      <c r="N209" s="2079"/>
      <c r="O209" s="213"/>
      <c r="P209" s="1527"/>
      <c r="Q209" s="213"/>
      <c r="R209" s="1527">
        <f t="shared" ref="R209" si="146">SUM(R216,R222,R226)</f>
        <v>0</v>
      </c>
      <c r="S209" s="2796" t="s">
        <v>2168</v>
      </c>
      <c r="T209" s="2704" t="s">
        <v>4003</v>
      </c>
      <c r="U209" s="2829"/>
      <c r="V209" s="2766" t="s">
        <v>1138</v>
      </c>
      <c r="W209" s="2766" t="s">
        <v>1126</v>
      </c>
      <c r="X209" s="2766" t="s">
        <v>1372</v>
      </c>
      <c r="Y209" s="2766" t="s">
        <v>324</v>
      </c>
      <c r="Z209" s="2766" t="s">
        <v>324</v>
      </c>
      <c r="AA209" s="2764" t="s">
        <v>324</v>
      </c>
      <c r="AB209" s="2764" t="s">
        <v>324</v>
      </c>
      <c r="AC209" s="2766" t="s">
        <v>2840</v>
      </c>
    </row>
    <row r="210" spans="1:31" ht="33" customHeight="1">
      <c r="A210" s="2791"/>
      <c r="B210" s="2703"/>
      <c r="C210" s="2806"/>
      <c r="D210" s="276" t="s">
        <v>470</v>
      </c>
      <c r="E210" s="213"/>
      <c r="F210" s="291"/>
      <c r="G210" s="213"/>
      <c r="H210" s="213"/>
      <c r="I210" s="442"/>
      <c r="J210" s="216"/>
      <c r="K210" s="213"/>
      <c r="L210" s="213"/>
      <c r="M210" s="1527"/>
      <c r="N210" s="2079"/>
      <c r="O210" s="213"/>
      <c r="P210" s="1527"/>
      <c r="Q210" s="213"/>
      <c r="R210" s="1527"/>
      <c r="S210" s="2796"/>
      <c r="T210" s="2704"/>
      <c r="U210" s="2829"/>
      <c r="V210" s="2766"/>
      <c r="W210" s="2766"/>
      <c r="X210" s="2766"/>
      <c r="Y210" s="2766"/>
      <c r="Z210" s="2766"/>
      <c r="AA210" s="2764"/>
      <c r="AB210" s="2764"/>
      <c r="AC210" s="2766"/>
    </row>
    <row r="211" spans="1:31" ht="29.25" hidden="1" customHeight="1">
      <c r="A211" s="2791"/>
      <c r="B211" s="2703"/>
      <c r="C211" s="2806"/>
      <c r="D211" s="276" t="s">
        <v>1353</v>
      </c>
      <c r="E211" s="213"/>
      <c r="F211" s="291"/>
      <c r="G211" s="213"/>
      <c r="H211" s="213"/>
      <c r="I211" s="442" t="e">
        <f t="shared" si="145"/>
        <v>#DIV/0!</v>
      </c>
      <c r="J211" s="216"/>
      <c r="K211" s="213"/>
      <c r="L211" s="213"/>
      <c r="M211" s="1527"/>
      <c r="N211" s="2079"/>
      <c r="O211" s="213"/>
      <c r="P211" s="1527"/>
      <c r="Q211" s="213"/>
      <c r="R211" s="1527"/>
      <c r="S211" s="2796"/>
      <c r="T211" s="2704"/>
      <c r="U211" s="2829"/>
      <c r="V211" s="2766"/>
      <c r="W211" s="2766"/>
      <c r="X211" s="2766"/>
      <c r="Y211" s="2766"/>
      <c r="Z211" s="2766"/>
      <c r="AA211" s="2764"/>
      <c r="AB211" s="2764"/>
      <c r="AC211" s="2766"/>
    </row>
    <row r="212" spans="1:31" ht="39" hidden="1" customHeight="1">
      <c r="A212" s="2791"/>
      <c r="B212" s="2703"/>
      <c r="C212" s="2806"/>
      <c r="D212" s="276" t="s">
        <v>1136</v>
      </c>
      <c r="E212" s="275">
        <v>66.822000000000003</v>
      </c>
      <c r="F212" s="291">
        <f>H212/E212-1</f>
        <v>-0.37655263236658598</v>
      </c>
      <c r="G212" s="275">
        <f>SUM(G218,G221,)</f>
        <v>91.88</v>
      </c>
      <c r="H212" s="213">
        <f>SUM(H218,H221,)</f>
        <v>41.66</v>
      </c>
      <c r="I212" s="442">
        <f t="shared" si="145"/>
        <v>-1</v>
      </c>
      <c r="J212" s="216"/>
      <c r="K212" s="213">
        <v>0</v>
      </c>
      <c r="L212" s="213"/>
      <c r="M212" s="1527"/>
      <c r="N212" s="2079"/>
      <c r="O212" s="213"/>
      <c r="P212" s="1527"/>
      <c r="Q212" s="213"/>
      <c r="R212" s="1527"/>
      <c r="S212" s="2796"/>
      <c r="T212" s="2734"/>
      <c r="U212" s="2829"/>
      <c r="V212" s="2766"/>
      <c r="W212" s="2766"/>
      <c r="X212" s="2766"/>
      <c r="Y212" s="2766"/>
      <c r="Z212" s="2766"/>
      <c r="AA212" s="2764"/>
      <c r="AB212" s="2764"/>
      <c r="AC212" s="2766"/>
    </row>
    <row r="213" spans="1:31" ht="39" customHeight="1">
      <c r="A213" s="2791"/>
      <c r="B213" s="2703"/>
      <c r="C213" s="2806"/>
      <c r="D213" s="276" t="s">
        <v>412</v>
      </c>
      <c r="E213" s="275"/>
      <c r="F213" s="291"/>
      <c r="G213" s="275">
        <f>SUM(G224)</f>
        <v>3</v>
      </c>
      <c r="H213" s="213">
        <f>41.66+3</f>
        <v>44.66</v>
      </c>
      <c r="I213" s="442">
        <f t="shared" si="145"/>
        <v>-0.91634572324227492</v>
      </c>
      <c r="J213" s="216">
        <f>SUM(J218,J224)</f>
        <v>1.54</v>
      </c>
      <c r="K213" s="213">
        <f>SUM(K218,K224)</f>
        <v>3.7360000000000002</v>
      </c>
      <c r="L213" s="213"/>
      <c r="M213" s="1527"/>
      <c r="N213" s="2079"/>
      <c r="O213" s="213"/>
      <c r="P213" s="1527"/>
      <c r="Q213" s="213"/>
      <c r="R213" s="1527">
        <f t="shared" ref="R213" si="147">SUM(R218,R224)</f>
        <v>0</v>
      </c>
      <c r="S213" s="2796"/>
      <c r="T213" s="2734"/>
      <c r="U213" s="2829"/>
      <c r="V213" s="2766"/>
      <c r="W213" s="2766"/>
      <c r="X213" s="2766"/>
      <c r="Y213" s="2766"/>
      <c r="Z213" s="2766"/>
      <c r="AA213" s="2764"/>
      <c r="AB213" s="2764"/>
      <c r="AC213" s="2766"/>
      <c r="AE213" s="280"/>
    </row>
    <row r="214" spans="1:31" ht="39" customHeight="1">
      <c r="A214" s="2791"/>
      <c r="B214" s="2703"/>
      <c r="C214" s="2806"/>
      <c r="D214" s="276" t="s">
        <v>246</v>
      </c>
      <c r="E214" s="275"/>
      <c r="F214" s="291"/>
      <c r="G214" s="275">
        <f>SUM(G223)</f>
        <v>20.405999999999999</v>
      </c>
      <c r="H214" s="216">
        <f>SUM(H223)</f>
        <v>242</v>
      </c>
      <c r="I214" s="442">
        <f t="shared" si="145"/>
        <v>-0.68143801652892555</v>
      </c>
      <c r="J214" s="216">
        <f>SUM(J217,J223,)</f>
        <v>61.6</v>
      </c>
      <c r="K214" s="213">
        <f t="shared" ref="K214:O214" si="148">SUM(K217,K223,)</f>
        <v>77.091999999999999</v>
      </c>
      <c r="L214" s="213"/>
      <c r="M214" s="1527"/>
      <c r="N214" s="2079"/>
      <c r="O214" s="213"/>
      <c r="P214" s="1527"/>
      <c r="Q214" s="213"/>
      <c r="R214" s="1527">
        <f t="shared" ref="R214" si="149">SUM(R217,R223,)</f>
        <v>0</v>
      </c>
      <c r="S214" s="2796"/>
      <c r="T214" s="2734"/>
      <c r="U214" s="2829"/>
      <c r="V214" s="2766"/>
      <c r="W214" s="2766"/>
      <c r="X214" s="2766"/>
      <c r="Y214" s="2766"/>
      <c r="Z214" s="2766"/>
      <c r="AA214" s="2764"/>
      <c r="AB214" s="2764"/>
      <c r="AC214" s="2766"/>
    </row>
    <row r="215" spans="1:31" ht="39" customHeight="1">
      <c r="A215" s="2791"/>
      <c r="B215" s="2703"/>
      <c r="C215" s="2806"/>
      <c r="D215" s="301" t="s">
        <v>1110</v>
      </c>
      <c r="E215" s="212">
        <f>SUM(E209:E212)</f>
        <v>74.822000000000003</v>
      </c>
      <c r="F215" s="294">
        <f>H215/E215-1</f>
        <v>3.4081954505359384</v>
      </c>
      <c r="G215" s="212">
        <f>SUM(G209:G214)</f>
        <v>178.36799999999999</v>
      </c>
      <c r="H215" s="212">
        <f>H209+H213+H214</f>
        <v>329.83</v>
      </c>
      <c r="I215" s="452">
        <f t="shared" si="145"/>
        <v>-0.71407998059606459</v>
      </c>
      <c r="J215" s="212">
        <f t="shared" ref="J215:O215" si="150">SUM(J209:J214)</f>
        <v>68.617000000000004</v>
      </c>
      <c r="K215" s="212">
        <f>SUM(K209:K214)</f>
        <v>94.305000000000007</v>
      </c>
      <c r="L215" s="212">
        <f t="shared" si="150"/>
        <v>0</v>
      </c>
      <c r="M215" s="1528">
        <f t="shared" ref="M215" si="151">SUM(M209:M214)</f>
        <v>0</v>
      </c>
      <c r="N215" s="2080">
        <f t="shared" si="144"/>
        <v>-1</v>
      </c>
      <c r="O215" s="212">
        <f t="shared" si="150"/>
        <v>0</v>
      </c>
      <c r="P215" s="1528">
        <f t="shared" ref="P215:Q215" si="152">SUM(P209:P214)</f>
        <v>0</v>
      </c>
      <c r="Q215" s="212">
        <f t="shared" si="152"/>
        <v>0</v>
      </c>
      <c r="R215" s="1528">
        <f t="shared" ref="R215" si="153">SUM(R209:R214)</f>
        <v>0</v>
      </c>
      <c r="S215" s="2796"/>
      <c r="T215" s="2734"/>
      <c r="U215" s="2829"/>
      <c r="V215" s="2766"/>
      <c r="W215" s="2766"/>
      <c r="X215" s="2766"/>
      <c r="Y215" s="2766"/>
      <c r="Z215" s="2766"/>
      <c r="AA215" s="2764"/>
      <c r="AB215" s="2764"/>
      <c r="AC215" s="2766"/>
    </row>
    <row r="216" spans="1:31" ht="39" hidden="1" customHeight="1">
      <c r="A216" s="2834" t="s">
        <v>3454</v>
      </c>
      <c r="B216" s="2835" t="s">
        <v>2503</v>
      </c>
      <c r="C216" s="2833"/>
      <c r="D216" s="1679" t="s">
        <v>2747</v>
      </c>
      <c r="E216" s="1550"/>
      <c r="F216" s="1680"/>
      <c r="G216" s="1550">
        <v>8</v>
      </c>
      <c r="H216" s="1550">
        <v>8</v>
      </c>
      <c r="I216" s="1550"/>
      <c r="J216" s="1674"/>
      <c r="K216" s="1550">
        <v>8</v>
      </c>
      <c r="L216" s="1550"/>
      <c r="M216" s="1549"/>
      <c r="N216" s="2074">
        <f t="shared" si="144"/>
        <v>-1</v>
      </c>
      <c r="O216" s="1550"/>
      <c r="P216" s="1549"/>
      <c r="Q216" s="1550"/>
      <c r="R216" s="1549"/>
      <c r="S216" s="2852"/>
      <c r="T216" s="2852"/>
      <c r="U216" s="2829"/>
      <c r="V216" s="2853"/>
      <c r="W216" s="2853"/>
      <c r="X216" s="2853"/>
      <c r="Y216" s="2853"/>
      <c r="Z216" s="2853"/>
      <c r="AA216" s="2853"/>
      <c r="AB216" s="2853"/>
      <c r="AC216" s="2853"/>
    </row>
    <row r="217" spans="1:31" ht="39" hidden="1" customHeight="1">
      <c r="A217" s="2834"/>
      <c r="B217" s="2835"/>
      <c r="C217" s="2833"/>
      <c r="D217" s="1679" t="s">
        <v>246</v>
      </c>
      <c r="E217" s="1550"/>
      <c r="F217" s="1680"/>
      <c r="G217" s="1550"/>
      <c r="H217" s="1550"/>
      <c r="I217" s="1682"/>
      <c r="J217" s="1674"/>
      <c r="K217" s="1550">
        <v>15.492000000000001</v>
      </c>
      <c r="L217" s="1550"/>
      <c r="M217" s="1549"/>
      <c r="N217" s="2074">
        <f t="shared" si="144"/>
        <v>-1</v>
      </c>
      <c r="O217" s="1550"/>
      <c r="P217" s="1549"/>
      <c r="Q217" s="1550"/>
      <c r="R217" s="1549"/>
      <c r="S217" s="2852"/>
      <c r="T217" s="2852"/>
      <c r="U217" s="2829"/>
      <c r="V217" s="2853"/>
      <c r="W217" s="2853"/>
      <c r="X217" s="2853"/>
      <c r="Y217" s="2853"/>
      <c r="Z217" s="2853"/>
      <c r="AA217" s="2853"/>
      <c r="AB217" s="2853"/>
      <c r="AC217" s="2853"/>
    </row>
    <row r="218" spans="1:31" ht="39" hidden="1" customHeight="1">
      <c r="A218" s="2834"/>
      <c r="B218" s="2835"/>
      <c r="C218" s="2833"/>
      <c r="D218" s="1679" t="s">
        <v>412</v>
      </c>
      <c r="E218" s="1550"/>
      <c r="F218" s="1680"/>
      <c r="G218" s="1550">
        <v>35</v>
      </c>
      <c r="H218" s="1550">
        <v>35</v>
      </c>
      <c r="I218" s="1550"/>
      <c r="J218" s="1674"/>
      <c r="K218" s="1550">
        <v>2.1960000000000002</v>
      </c>
      <c r="L218" s="1550"/>
      <c r="M218" s="1549"/>
      <c r="N218" s="2074">
        <f t="shared" si="144"/>
        <v>-1</v>
      </c>
      <c r="O218" s="1550"/>
      <c r="P218" s="1549"/>
      <c r="Q218" s="1550"/>
      <c r="R218" s="1549"/>
      <c r="S218" s="2852"/>
      <c r="T218" s="2852"/>
      <c r="U218" s="2829"/>
      <c r="V218" s="2853"/>
      <c r="W218" s="2853"/>
      <c r="X218" s="2853"/>
      <c r="Y218" s="2853"/>
      <c r="Z218" s="2853"/>
      <c r="AA218" s="2853"/>
      <c r="AB218" s="2853"/>
      <c r="AC218" s="2853"/>
    </row>
    <row r="219" spans="1:31" ht="39" hidden="1" customHeight="1">
      <c r="A219" s="2834"/>
      <c r="B219" s="2835"/>
      <c r="C219" s="2833"/>
      <c r="D219" s="1679" t="s">
        <v>3452</v>
      </c>
      <c r="E219" s="1550"/>
      <c r="F219" s="1680"/>
      <c r="G219" s="1550"/>
      <c r="H219" s="1550"/>
      <c r="I219" s="1550"/>
      <c r="J219" s="1674"/>
      <c r="K219" s="1550">
        <f>SUM(K216,K217,K218,)</f>
        <v>25.688000000000002</v>
      </c>
      <c r="L219" s="1550"/>
      <c r="M219" s="1549"/>
      <c r="N219" s="2074">
        <f t="shared" si="144"/>
        <v>-1</v>
      </c>
      <c r="O219" s="1550"/>
      <c r="P219" s="1549"/>
      <c r="Q219" s="1550"/>
      <c r="R219" s="1549"/>
      <c r="S219" s="2852"/>
      <c r="T219" s="2852"/>
      <c r="U219" s="2829"/>
      <c r="V219" s="2853"/>
      <c r="W219" s="2853"/>
      <c r="X219" s="2853"/>
      <c r="Y219" s="2853"/>
      <c r="Z219" s="2853"/>
      <c r="AA219" s="2853"/>
      <c r="AB219" s="2853"/>
      <c r="AC219" s="2853"/>
    </row>
    <row r="220" spans="1:31" ht="39" hidden="1" customHeight="1">
      <c r="A220" s="2834"/>
      <c r="B220" s="2835" t="s">
        <v>2505</v>
      </c>
      <c r="C220" s="2850"/>
      <c r="D220" s="1679" t="s">
        <v>470</v>
      </c>
      <c r="E220" s="1674"/>
      <c r="F220" s="1680"/>
      <c r="G220" s="1550">
        <v>19.911999999999999</v>
      </c>
      <c r="H220" s="1550">
        <v>0</v>
      </c>
      <c r="I220" s="1550"/>
      <c r="J220" s="1674"/>
      <c r="K220" s="1674"/>
      <c r="L220" s="1674"/>
      <c r="M220" s="1549"/>
      <c r="N220" s="2074" t="e">
        <f t="shared" si="144"/>
        <v>#DIV/0!</v>
      </c>
      <c r="O220" s="1674"/>
      <c r="P220" s="1549"/>
      <c r="Q220" s="1674"/>
      <c r="R220" s="1549"/>
      <c r="S220" s="2852"/>
      <c r="T220" s="2852"/>
      <c r="U220" s="2829"/>
      <c r="V220" s="2853"/>
      <c r="W220" s="2853"/>
      <c r="X220" s="2853"/>
      <c r="Y220" s="2853"/>
      <c r="Z220" s="2853"/>
      <c r="AA220" s="2853"/>
      <c r="AB220" s="2853"/>
      <c r="AC220" s="2853"/>
    </row>
    <row r="221" spans="1:31" ht="39" hidden="1" customHeight="1">
      <c r="A221" s="2834"/>
      <c r="B221" s="2835"/>
      <c r="C221" s="2850"/>
      <c r="D221" s="1679" t="s">
        <v>2504</v>
      </c>
      <c r="E221" s="1674"/>
      <c r="F221" s="1680"/>
      <c r="G221" s="1550">
        <v>56.88</v>
      </c>
      <c r="H221" s="1550">
        <v>6.66</v>
      </c>
      <c r="I221" s="1550"/>
      <c r="J221" s="1674"/>
      <c r="K221" s="1674"/>
      <c r="L221" s="1674"/>
      <c r="M221" s="1549"/>
      <c r="N221" s="2074" t="e">
        <f t="shared" si="144"/>
        <v>#DIV/0!</v>
      </c>
      <c r="O221" s="1674"/>
      <c r="P221" s="1549"/>
      <c r="Q221" s="1674"/>
      <c r="R221" s="1549"/>
      <c r="S221" s="2852"/>
      <c r="T221" s="2852"/>
      <c r="U221" s="2829"/>
      <c r="V221" s="2853"/>
      <c r="W221" s="2853"/>
      <c r="X221" s="2853"/>
      <c r="Y221" s="2853"/>
      <c r="Z221" s="2853"/>
      <c r="AA221" s="2853"/>
      <c r="AB221" s="2853"/>
      <c r="AC221" s="2853"/>
    </row>
    <row r="222" spans="1:31" ht="39" hidden="1" customHeight="1">
      <c r="A222" s="2844" t="s">
        <v>3204</v>
      </c>
      <c r="B222" s="2835" t="s">
        <v>3453</v>
      </c>
      <c r="C222" s="2839"/>
      <c r="D222" s="1679" t="s">
        <v>2747</v>
      </c>
      <c r="E222" s="1674"/>
      <c r="F222" s="1680"/>
      <c r="G222" s="1550">
        <v>35.17</v>
      </c>
      <c r="H222" s="1550">
        <v>35.17</v>
      </c>
      <c r="I222" s="1550"/>
      <c r="J222" s="1674">
        <v>5.4770000000000003</v>
      </c>
      <c r="K222" s="1550">
        <v>5.4770000000000003</v>
      </c>
      <c r="L222" s="1674"/>
      <c r="M222" s="1549"/>
      <c r="N222" s="2074">
        <f t="shared" si="144"/>
        <v>-1</v>
      </c>
      <c r="O222" s="1674"/>
      <c r="P222" s="1549"/>
      <c r="Q222" s="1674"/>
      <c r="R222" s="1549"/>
      <c r="S222" s="2852"/>
      <c r="T222" s="2852"/>
      <c r="U222" s="2829"/>
      <c r="V222" s="2853"/>
      <c r="W222" s="2853"/>
      <c r="X222" s="2853"/>
      <c r="Y222" s="2853"/>
      <c r="Z222" s="2853"/>
      <c r="AA222" s="2853"/>
      <c r="AB222" s="2853"/>
      <c r="AC222" s="2853"/>
    </row>
    <row r="223" spans="1:31" ht="39" hidden="1" customHeight="1">
      <c r="A223" s="2844"/>
      <c r="B223" s="2835"/>
      <c r="C223" s="2839"/>
      <c r="D223" s="1679" t="s">
        <v>246</v>
      </c>
      <c r="E223" s="1674"/>
      <c r="F223" s="1680"/>
      <c r="G223" s="1550">
        <v>20.405999999999999</v>
      </c>
      <c r="H223" s="1550">
        <v>242</v>
      </c>
      <c r="I223" s="1550"/>
      <c r="J223" s="1674">
        <v>61.6</v>
      </c>
      <c r="K223" s="1550">
        <v>61.6</v>
      </c>
      <c r="L223" s="1674"/>
      <c r="M223" s="1549"/>
      <c r="N223" s="2074">
        <f t="shared" si="144"/>
        <v>-1</v>
      </c>
      <c r="O223" s="1674"/>
      <c r="P223" s="1549"/>
      <c r="Q223" s="1674"/>
      <c r="R223" s="1549"/>
      <c r="S223" s="2852"/>
      <c r="T223" s="2852"/>
      <c r="U223" s="2829"/>
      <c r="V223" s="2853"/>
      <c r="W223" s="2853"/>
      <c r="X223" s="2853"/>
      <c r="Y223" s="2853"/>
      <c r="Z223" s="2853"/>
      <c r="AA223" s="2853"/>
      <c r="AB223" s="2853"/>
      <c r="AC223" s="2853"/>
    </row>
    <row r="224" spans="1:31" ht="39" hidden="1" customHeight="1">
      <c r="A224" s="2844"/>
      <c r="B224" s="2835"/>
      <c r="C224" s="2839"/>
      <c r="D224" s="1679" t="s">
        <v>412</v>
      </c>
      <c r="E224" s="1674"/>
      <c r="F224" s="1680"/>
      <c r="G224" s="1550">
        <v>3</v>
      </c>
      <c r="H224" s="1550">
        <v>3</v>
      </c>
      <c r="I224" s="1550"/>
      <c r="J224" s="1674">
        <v>1.54</v>
      </c>
      <c r="K224" s="1550">
        <v>1.54</v>
      </c>
      <c r="L224" s="1674"/>
      <c r="M224" s="1549"/>
      <c r="N224" s="2074">
        <f t="shared" si="144"/>
        <v>-1</v>
      </c>
      <c r="O224" s="1674"/>
      <c r="P224" s="1549"/>
      <c r="Q224" s="1674"/>
      <c r="R224" s="1549"/>
      <c r="S224" s="2852"/>
      <c r="T224" s="2852"/>
      <c r="U224" s="2829"/>
      <c r="V224" s="2853"/>
      <c r="W224" s="2853"/>
      <c r="X224" s="2853"/>
      <c r="Y224" s="2853"/>
      <c r="Z224" s="2853"/>
      <c r="AA224" s="2853"/>
      <c r="AB224" s="2853"/>
      <c r="AC224" s="2853"/>
    </row>
    <row r="225" spans="1:29" ht="39" hidden="1" customHeight="1">
      <c r="A225" s="2844"/>
      <c r="B225" s="1678"/>
      <c r="C225" s="2839"/>
      <c r="D225" s="1679" t="s">
        <v>3452</v>
      </c>
      <c r="E225" s="1550"/>
      <c r="F225" s="1680"/>
      <c r="G225" s="1550"/>
      <c r="H225" s="1550"/>
      <c r="I225" s="1550"/>
      <c r="J225" s="1674"/>
      <c r="K225" s="1550">
        <f>SUM(K222,K223,K224,)</f>
        <v>68.617000000000004</v>
      </c>
      <c r="L225" s="1550"/>
      <c r="M225" s="1549"/>
      <c r="N225" s="2074">
        <f t="shared" si="144"/>
        <v>-1</v>
      </c>
      <c r="O225" s="1550"/>
      <c r="P225" s="1549"/>
      <c r="Q225" s="1550"/>
      <c r="R225" s="1549"/>
      <c r="S225" s="2852"/>
      <c r="T225" s="2852"/>
      <c r="U225" s="2829"/>
      <c r="V225" s="2853"/>
      <c r="W225" s="2853"/>
      <c r="X225" s="2853"/>
      <c r="Y225" s="2853"/>
      <c r="Z225" s="2853"/>
      <c r="AA225" s="2853"/>
      <c r="AB225" s="2853"/>
      <c r="AC225" s="2853"/>
    </row>
    <row r="226" spans="1:29" ht="39" hidden="1" customHeight="1">
      <c r="A226" s="2844" t="s">
        <v>3203</v>
      </c>
      <c r="B226" s="2835" t="s">
        <v>3202</v>
      </c>
      <c r="C226" s="2839"/>
      <c r="D226" s="1679" t="s">
        <v>2747</v>
      </c>
      <c r="E226" s="1674"/>
      <c r="F226" s="1680"/>
      <c r="G226" s="1550"/>
      <c r="H226" s="1550"/>
      <c r="I226" s="1550"/>
      <c r="J226" s="1674">
        <v>0</v>
      </c>
      <c r="K226" s="1550"/>
      <c r="L226" s="1674"/>
      <c r="M226" s="1549"/>
      <c r="N226" s="2074" t="e">
        <f t="shared" si="144"/>
        <v>#DIV/0!</v>
      </c>
      <c r="O226" s="1674"/>
      <c r="P226" s="1549"/>
      <c r="Q226" s="1674"/>
      <c r="R226" s="1549"/>
      <c r="S226" s="2852"/>
      <c r="T226" s="2852"/>
      <c r="U226" s="2829"/>
      <c r="V226" s="2853"/>
      <c r="W226" s="2853"/>
      <c r="X226" s="2853"/>
      <c r="Y226" s="2853"/>
      <c r="Z226" s="2853"/>
      <c r="AA226" s="2853"/>
      <c r="AB226" s="2853"/>
      <c r="AC226" s="2853"/>
    </row>
    <row r="227" spans="1:29" ht="39" hidden="1" customHeight="1">
      <c r="A227" s="2844"/>
      <c r="B227" s="2835"/>
      <c r="C227" s="2839"/>
      <c r="D227" s="1679" t="s">
        <v>3452</v>
      </c>
      <c r="E227" s="1550"/>
      <c r="F227" s="1680"/>
      <c r="G227" s="1550"/>
      <c r="H227" s="1550"/>
      <c r="I227" s="1550"/>
      <c r="J227" s="1674"/>
      <c r="K227" s="1550"/>
      <c r="L227" s="1550"/>
      <c r="M227" s="1549"/>
      <c r="N227" s="2074" t="e">
        <f t="shared" si="144"/>
        <v>#DIV/0!</v>
      </c>
      <c r="O227" s="1550"/>
      <c r="P227" s="1549"/>
      <c r="Q227" s="1550"/>
      <c r="R227" s="1549"/>
      <c r="S227" s="2852"/>
      <c r="T227" s="2852"/>
      <c r="U227" s="2829"/>
      <c r="V227" s="2853"/>
      <c r="W227" s="2853"/>
      <c r="X227" s="2853"/>
      <c r="Y227" s="2853"/>
      <c r="Z227" s="2853"/>
      <c r="AA227" s="2853"/>
      <c r="AB227" s="2853"/>
      <c r="AC227" s="2853"/>
    </row>
    <row r="228" spans="1:29" ht="39" hidden="1" customHeight="1">
      <c r="A228" s="2846"/>
      <c r="B228" s="2826" t="s">
        <v>2505</v>
      </c>
      <c r="C228" s="2832"/>
      <c r="D228" s="444" t="s">
        <v>2504</v>
      </c>
      <c r="E228" s="447"/>
      <c r="F228" s="468"/>
      <c r="G228" s="445"/>
      <c r="H228" s="445">
        <v>6.66</v>
      </c>
      <c r="I228" s="445"/>
      <c r="J228" s="447"/>
      <c r="K228" s="445"/>
      <c r="L228" s="447"/>
      <c r="M228" s="1529"/>
      <c r="N228" s="557" t="e">
        <f t="shared" si="144"/>
        <v>#DIV/0!</v>
      </c>
      <c r="O228" s="447"/>
      <c r="P228" s="1529"/>
      <c r="Q228" s="447"/>
      <c r="R228" s="1529"/>
      <c r="S228" s="2795"/>
      <c r="T228" s="2795"/>
      <c r="U228" s="2829"/>
      <c r="V228" s="211"/>
      <c r="W228" s="2794"/>
      <c r="X228" s="2794"/>
      <c r="Y228" s="2794"/>
      <c r="Z228" s="2794"/>
      <c r="AA228" s="2794"/>
      <c r="AB228" s="2794"/>
      <c r="AC228" s="2794"/>
    </row>
    <row r="229" spans="1:29" ht="39" hidden="1" customHeight="1">
      <c r="A229" s="2846"/>
      <c r="B229" s="2826"/>
      <c r="C229" s="2832"/>
      <c r="D229" s="613" t="s">
        <v>3452</v>
      </c>
      <c r="E229" s="614"/>
      <c r="F229" s="616"/>
      <c r="G229" s="614"/>
      <c r="H229" s="614"/>
      <c r="I229" s="614"/>
      <c r="J229" s="615"/>
      <c r="K229" s="614"/>
      <c r="L229" s="614"/>
      <c r="M229" s="1534"/>
      <c r="N229" s="2075" t="e">
        <f t="shared" si="144"/>
        <v>#DIV/0!</v>
      </c>
      <c r="O229" s="614"/>
      <c r="P229" s="1534"/>
      <c r="Q229" s="614"/>
      <c r="R229" s="1534"/>
      <c r="S229" s="2795"/>
      <c r="T229" s="2795"/>
      <c r="U229" s="2829"/>
      <c r="V229" s="211"/>
      <c r="W229" s="2794"/>
      <c r="X229" s="2794"/>
      <c r="Y229" s="2794"/>
      <c r="Z229" s="2794"/>
      <c r="AA229" s="2794"/>
      <c r="AB229" s="2794"/>
      <c r="AC229" s="2794"/>
    </row>
    <row r="230" spans="1:29" ht="39" customHeight="1">
      <c r="A230" s="2791" t="s">
        <v>1930</v>
      </c>
      <c r="B230" s="2703" t="s">
        <v>1120</v>
      </c>
      <c r="C230" s="2806" t="s">
        <v>1071</v>
      </c>
      <c r="D230" s="276" t="s">
        <v>470</v>
      </c>
      <c r="E230" s="213">
        <v>218</v>
      </c>
      <c r="F230" s="291">
        <f>H230/E230-1</f>
        <v>5.7903669724770639</v>
      </c>
      <c r="G230" s="213"/>
      <c r="H230" s="213">
        <f>SUM(H235,H240,H244)</f>
        <v>1480.3</v>
      </c>
      <c r="I230" s="442">
        <f>K230/H230-1</f>
        <v>-1.7712625819090722E-2</v>
      </c>
      <c r="J230" s="216"/>
      <c r="K230" s="213">
        <f>SUM(K235,K240,K244,K246)</f>
        <v>1454.08</v>
      </c>
      <c r="L230" s="213">
        <f>SUM(L235,L240,L244,L246)</f>
        <v>1564.3500000000001</v>
      </c>
      <c r="M230" s="1527">
        <f>SUM(M235,M240,M244,M246)</f>
        <v>1780.049</v>
      </c>
      <c r="N230" s="2079">
        <f>SUM(L230-K230)/K230</f>
        <v>7.5834892165493106E-2</v>
      </c>
      <c r="O230" s="213">
        <f>L230+(L230*5%)</f>
        <v>1642.5675000000001</v>
      </c>
      <c r="P230" s="1527">
        <f>SUM(P235,P240,P244,P246)</f>
        <v>1800.9469999999999</v>
      </c>
      <c r="Q230" s="213">
        <f>O230+(O230*5%)</f>
        <v>1724.6958750000001</v>
      </c>
      <c r="R230" s="1527">
        <f>SUM(R235,R240,R244,R246)</f>
        <v>1844.672</v>
      </c>
      <c r="S230" s="2796" t="s">
        <v>859</v>
      </c>
      <c r="T230" s="2704" t="s">
        <v>3961</v>
      </c>
      <c r="U230" s="2829"/>
      <c r="V230" s="2766" t="s">
        <v>1605</v>
      </c>
      <c r="W230" s="265" t="s">
        <v>2326</v>
      </c>
      <c r="X230" s="265" t="s">
        <v>308</v>
      </c>
      <c r="Y230" s="265" t="s">
        <v>308</v>
      </c>
      <c r="Z230" s="265" t="s">
        <v>308</v>
      </c>
      <c r="AA230" s="265" t="s">
        <v>308</v>
      </c>
      <c r="AB230" s="265" t="s">
        <v>308</v>
      </c>
      <c r="AC230" s="2766" t="s">
        <v>2839</v>
      </c>
    </row>
    <row r="231" spans="1:29" ht="39" customHeight="1">
      <c r="A231" s="2791"/>
      <c r="B231" s="2703"/>
      <c r="C231" s="2806"/>
      <c r="D231" s="276" t="s">
        <v>1111</v>
      </c>
      <c r="E231" s="213">
        <f>83.94+24.26</f>
        <v>108.2</v>
      </c>
      <c r="F231" s="291">
        <f>H231/E231-1</f>
        <v>2.7726432532347411E-2</v>
      </c>
      <c r="G231" s="275"/>
      <c r="H231" s="213">
        <f>H241+H243</f>
        <v>111.2</v>
      </c>
      <c r="I231" s="442">
        <f t="shared" ref="I231:I234" si="154">K231/H231-1</f>
        <v>1.8239208633093522</v>
      </c>
      <c r="J231" s="216"/>
      <c r="K231" s="213">
        <f>K241+K238</f>
        <v>314.02</v>
      </c>
      <c r="L231" s="213">
        <f>L241+L238</f>
        <v>144.85599999999999</v>
      </c>
      <c r="M231" s="1527">
        <f>M241+M238</f>
        <v>0</v>
      </c>
      <c r="N231" s="2079">
        <f t="shared" si="144"/>
        <v>-0.53870454111203103</v>
      </c>
      <c r="O231" s="213">
        <f t="shared" ref="O231" si="155">O241+O238</f>
        <v>144.85599999999999</v>
      </c>
      <c r="P231" s="1527">
        <f>P241+P238</f>
        <v>144.85599999999999</v>
      </c>
      <c r="Q231" s="213">
        <f t="shared" ref="Q231" si="156">Q241+Q238</f>
        <v>144.85599999999999</v>
      </c>
      <c r="R231" s="1527">
        <f>R241+R238</f>
        <v>0</v>
      </c>
      <c r="S231" s="2796"/>
      <c r="T231" s="2734"/>
      <c r="U231" s="2829"/>
      <c r="V231" s="2766"/>
      <c r="W231" s="2766" t="s">
        <v>3962</v>
      </c>
      <c r="X231" s="2766" t="s">
        <v>2827</v>
      </c>
      <c r="Y231" s="2766" t="s">
        <v>3627</v>
      </c>
      <c r="Z231" s="2766" t="s">
        <v>3963</v>
      </c>
      <c r="AA231" s="2766" t="s">
        <v>3964</v>
      </c>
      <c r="AB231" s="2766" t="s">
        <v>3964</v>
      </c>
      <c r="AC231" s="2766"/>
    </row>
    <row r="232" spans="1:29" ht="39" customHeight="1">
      <c r="A232" s="2791"/>
      <c r="B232" s="2703"/>
      <c r="C232" s="2806"/>
      <c r="D232" s="276" t="s">
        <v>1353</v>
      </c>
      <c r="E232" s="213"/>
      <c r="F232" s="291"/>
      <c r="G232" s="275"/>
      <c r="H232" s="213"/>
      <c r="I232" s="442"/>
      <c r="J232" s="216"/>
      <c r="K232" s="213">
        <f>K237</f>
        <v>158.19999999999999</v>
      </c>
      <c r="L232" s="213">
        <f>L237+L247</f>
        <v>141.07</v>
      </c>
      <c r="M232" s="1527">
        <f>M237+M247</f>
        <v>141.07</v>
      </c>
      <c r="N232" s="2079">
        <f t="shared" si="144"/>
        <v>-0.10828065739570163</v>
      </c>
      <c r="O232" s="213">
        <f t="shared" ref="O232:R232" si="157">O237+O247</f>
        <v>142.57</v>
      </c>
      <c r="P232" s="1527">
        <f t="shared" si="157"/>
        <v>142.57</v>
      </c>
      <c r="Q232" s="213">
        <f>Q237+Q247</f>
        <v>146.57</v>
      </c>
      <c r="R232" s="1527">
        <f t="shared" si="157"/>
        <v>146.57</v>
      </c>
      <c r="S232" s="2796"/>
      <c r="T232" s="2734"/>
      <c r="U232" s="2829"/>
      <c r="V232" s="2766"/>
      <c r="W232" s="2766"/>
      <c r="X232" s="2766"/>
      <c r="Y232" s="2766"/>
      <c r="Z232" s="2766"/>
      <c r="AA232" s="2766"/>
      <c r="AB232" s="2766"/>
      <c r="AC232" s="2766"/>
    </row>
    <row r="233" spans="1:29" ht="39" customHeight="1">
      <c r="A233" s="2791"/>
      <c r="B233" s="2703"/>
      <c r="C233" s="2806"/>
      <c r="D233" s="276" t="s">
        <v>1744</v>
      </c>
      <c r="E233" s="213"/>
      <c r="F233" s="291"/>
      <c r="G233" s="275"/>
      <c r="H233" s="213"/>
      <c r="I233" s="442"/>
      <c r="J233" s="216"/>
      <c r="K233" s="213">
        <f>K236</f>
        <v>20.45</v>
      </c>
      <c r="L233" s="213">
        <f t="shared" ref="L233:O233" si="158">L236</f>
        <v>24.89</v>
      </c>
      <c r="M233" s="1527">
        <f>M236</f>
        <v>20.45</v>
      </c>
      <c r="N233" s="2079">
        <f t="shared" si="144"/>
        <v>0.21711491442542794</v>
      </c>
      <c r="O233" s="213">
        <f t="shared" si="158"/>
        <v>24.89</v>
      </c>
      <c r="P233" s="1527">
        <f>P236</f>
        <v>20.45</v>
      </c>
      <c r="Q233" s="213">
        <f t="shared" ref="Q233" si="159">Q236</f>
        <v>24.89</v>
      </c>
      <c r="R233" s="1527">
        <f>R236</f>
        <v>20.45</v>
      </c>
      <c r="S233" s="2796"/>
      <c r="T233" s="2734"/>
      <c r="U233" s="2829"/>
      <c r="V233" s="2766"/>
      <c r="W233" s="2766"/>
      <c r="X233" s="2766"/>
      <c r="Y233" s="2766"/>
      <c r="Z233" s="2766"/>
      <c r="AA233" s="2766"/>
      <c r="AB233" s="2766"/>
      <c r="AC233" s="2766"/>
    </row>
    <row r="234" spans="1:29" ht="39" customHeight="1">
      <c r="A234" s="2791"/>
      <c r="B234" s="2703"/>
      <c r="C234" s="2806"/>
      <c r="D234" s="301" t="s">
        <v>1110</v>
      </c>
      <c r="E234" s="212">
        <f>SUM(E230:E231)</f>
        <v>326.2</v>
      </c>
      <c r="F234" s="294">
        <f>H234/E234-1</f>
        <v>3.8789086450030661</v>
      </c>
      <c r="G234" s="212">
        <f t="shared" ref="G234" si="160">SUM(G230:G231)</f>
        <v>0</v>
      </c>
      <c r="H234" s="212">
        <f>SUM(H230:H231)</f>
        <v>1591.5</v>
      </c>
      <c r="I234" s="452">
        <f t="shared" si="154"/>
        <v>0.22321709079484764</v>
      </c>
      <c r="J234" s="257"/>
      <c r="K234" s="212">
        <f>SUM(K230:K231,K232,K233)</f>
        <v>1946.75</v>
      </c>
      <c r="L234" s="212">
        <f t="shared" ref="L234:O234" si="161">SUM(L230:L231,L232,L233)</f>
        <v>1875.1660000000002</v>
      </c>
      <c r="M234" s="1528">
        <f t="shared" ref="M234" si="162">SUM(M230:M231,M232,M233)</f>
        <v>1941.569</v>
      </c>
      <c r="N234" s="2080">
        <f t="shared" si="144"/>
        <v>-3.6771028637472628E-2</v>
      </c>
      <c r="O234" s="212">
        <f t="shared" si="161"/>
        <v>1954.8835000000001</v>
      </c>
      <c r="P234" s="1528">
        <f t="shared" ref="P234:Q234" si="163">SUM(P230:P231,P232,P233)</f>
        <v>2108.8229999999999</v>
      </c>
      <c r="Q234" s="212">
        <f t="shared" si="163"/>
        <v>2041.0118750000001</v>
      </c>
      <c r="R234" s="1528">
        <f t="shared" ref="R234" si="164">SUM(R230:R231,R232,R233)</f>
        <v>2011.692</v>
      </c>
      <c r="S234" s="2796"/>
      <c r="T234" s="2734"/>
      <c r="U234" s="2829"/>
      <c r="V234" s="2766"/>
      <c r="W234" s="2766"/>
      <c r="X234" s="2766"/>
      <c r="Y234" s="2766"/>
      <c r="Z234" s="2766"/>
      <c r="AA234" s="2766"/>
      <c r="AB234" s="2766"/>
      <c r="AC234" s="2766"/>
    </row>
    <row r="235" spans="1:29" ht="39" hidden="1" customHeight="1">
      <c r="A235" s="2809" t="s">
        <v>3509</v>
      </c>
      <c r="B235" s="2826" t="s">
        <v>2541</v>
      </c>
      <c r="C235" s="2808"/>
      <c r="D235" s="444" t="s">
        <v>470</v>
      </c>
      <c r="E235" s="445"/>
      <c r="F235" s="468"/>
      <c r="G235" s="445"/>
      <c r="H235" s="445">
        <f>1247+11.3</f>
        <v>1258.3</v>
      </c>
      <c r="I235" s="445"/>
      <c r="J235" s="447">
        <v>1215.5219999999999</v>
      </c>
      <c r="K235" s="1824">
        <v>1100.78</v>
      </c>
      <c r="L235" s="1824">
        <v>1227</v>
      </c>
      <c r="M235" s="1529">
        <v>1420.8119999999999</v>
      </c>
      <c r="N235" s="557">
        <f t="shared" si="144"/>
        <v>0.11466414724104729</v>
      </c>
      <c r="O235" s="1824">
        <f>L235+(L235*5%)</f>
        <v>1288.3499999999999</v>
      </c>
      <c r="P235" s="1529">
        <v>1400.0219999999999</v>
      </c>
      <c r="Q235" s="1824">
        <f>O235+(O235*5%)</f>
        <v>1352.7674999999999</v>
      </c>
      <c r="R235" s="1529">
        <v>1396.672</v>
      </c>
      <c r="S235" s="651"/>
      <c r="T235" s="218" t="s">
        <v>3450</v>
      </c>
      <c r="U235" s="2829"/>
      <c r="V235" s="269"/>
      <c r="W235" s="269" t="s">
        <v>4004</v>
      </c>
      <c r="X235" s="269"/>
      <c r="Y235" s="269" t="s">
        <v>3245</v>
      </c>
      <c r="Z235" s="269" t="s">
        <v>3245</v>
      </c>
      <c r="AA235" s="269" t="s">
        <v>3245</v>
      </c>
      <c r="AB235" s="269" t="s">
        <v>3245</v>
      </c>
      <c r="AC235" s="296"/>
    </row>
    <row r="236" spans="1:29" ht="39" hidden="1" customHeight="1">
      <c r="A236" s="2809"/>
      <c r="B236" s="2826"/>
      <c r="C236" s="2808"/>
      <c r="D236" s="444" t="s">
        <v>1744</v>
      </c>
      <c r="E236" s="445"/>
      <c r="F236" s="468"/>
      <c r="G236" s="445"/>
      <c r="H236" s="445"/>
      <c r="I236" s="445"/>
      <c r="J236" s="447">
        <v>19.34</v>
      </c>
      <c r="K236" s="445">
        <v>20.45</v>
      </c>
      <c r="L236" s="445">
        <v>24.89</v>
      </c>
      <c r="M236" s="1529">
        <v>20.45</v>
      </c>
      <c r="N236" s="557">
        <f t="shared" si="144"/>
        <v>0.21711491442542794</v>
      </c>
      <c r="O236" s="445">
        <v>24.89</v>
      </c>
      <c r="P236" s="1529">
        <v>20.45</v>
      </c>
      <c r="Q236" s="445">
        <v>24.89</v>
      </c>
      <c r="R236" s="1529">
        <v>20.45</v>
      </c>
      <c r="S236" s="651"/>
      <c r="T236" s="218"/>
      <c r="U236" s="2829"/>
      <c r="V236" s="269"/>
      <c r="W236" s="269"/>
      <c r="X236" s="269"/>
      <c r="Y236" s="269"/>
      <c r="Z236" s="269"/>
      <c r="AA236" s="269"/>
      <c r="AB236" s="269"/>
      <c r="AC236" s="296"/>
    </row>
    <row r="237" spans="1:29" ht="39" hidden="1" customHeight="1">
      <c r="A237" s="2809"/>
      <c r="B237" s="2826"/>
      <c r="C237" s="2808"/>
      <c r="D237" s="444" t="s">
        <v>1353</v>
      </c>
      <c r="E237" s="445"/>
      <c r="F237" s="468"/>
      <c r="G237" s="445"/>
      <c r="H237" s="445"/>
      <c r="I237" s="445"/>
      <c r="J237" s="447">
        <v>107.25</v>
      </c>
      <c r="K237" s="445">
        <v>158.19999999999999</v>
      </c>
      <c r="L237" s="445">
        <f>M237</f>
        <v>136.5</v>
      </c>
      <c r="M237" s="1529">
        <v>136.5</v>
      </c>
      <c r="N237" s="557">
        <f t="shared" si="144"/>
        <v>-0.13716814159292029</v>
      </c>
      <c r="O237" s="445">
        <f>P237</f>
        <v>138</v>
      </c>
      <c r="P237" s="1529">
        <v>138</v>
      </c>
      <c r="Q237" s="445">
        <f>R237</f>
        <v>142</v>
      </c>
      <c r="R237" s="1958">
        <v>142</v>
      </c>
      <c r="S237" s="651"/>
      <c r="T237" s="218"/>
      <c r="U237" s="2829"/>
      <c r="V237" s="269"/>
      <c r="W237" s="269"/>
      <c r="X237" s="269"/>
      <c r="Y237" s="269"/>
      <c r="Z237" s="269"/>
      <c r="AA237" s="269"/>
      <c r="AB237" s="269"/>
      <c r="AC237" s="296"/>
    </row>
    <row r="238" spans="1:29" ht="39" hidden="1" customHeight="1">
      <c r="A238" s="2809"/>
      <c r="B238" s="2826"/>
      <c r="C238" s="2808"/>
      <c r="D238" s="444" t="s">
        <v>1111</v>
      </c>
      <c r="E238" s="445"/>
      <c r="F238" s="468"/>
      <c r="G238" s="445"/>
      <c r="H238" s="445"/>
      <c r="I238" s="445"/>
      <c r="J238" s="447"/>
      <c r="K238" s="445">
        <f>228.5+0.456</f>
        <v>228.95599999999999</v>
      </c>
      <c r="L238" s="2097"/>
      <c r="M238" s="1529"/>
      <c r="N238" s="557">
        <f t="shared" si="144"/>
        <v>-1</v>
      </c>
      <c r="O238" s="2097"/>
      <c r="P238" s="2098"/>
      <c r="Q238" s="2097"/>
      <c r="R238" s="1529"/>
      <c r="S238" s="651"/>
      <c r="T238" s="218"/>
      <c r="U238" s="2829"/>
      <c r="V238" s="269"/>
      <c r="W238" s="269"/>
      <c r="X238" s="269"/>
      <c r="Y238" s="269"/>
      <c r="Z238" s="269"/>
      <c r="AA238" s="269"/>
      <c r="AB238" s="269"/>
      <c r="AC238" s="296"/>
    </row>
    <row r="239" spans="1:29" ht="39" hidden="1" customHeight="1">
      <c r="A239" s="2809"/>
      <c r="B239" s="2826"/>
      <c r="C239" s="2808"/>
      <c r="D239" s="1838" t="s">
        <v>2646</v>
      </c>
      <c r="E239" s="1834"/>
      <c r="F239" s="1839"/>
      <c r="G239" s="1834"/>
      <c r="H239" s="1834">
        <f>SUM(H235,H236,H237,H238,)</f>
        <v>1258.3</v>
      </c>
      <c r="I239" s="1834">
        <f t="shared" ref="I239:O239" si="165">SUM(I235,I236,I237,I238,)</f>
        <v>0</v>
      </c>
      <c r="J239" s="1835">
        <f t="shared" si="165"/>
        <v>1342.1119999999999</v>
      </c>
      <c r="K239" s="1834">
        <f t="shared" si="165"/>
        <v>1508.386</v>
      </c>
      <c r="L239" s="1834">
        <f t="shared" si="165"/>
        <v>1388.39</v>
      </c>
      <c r="M239" s="1836">
        <f t="shared" ref="M239" si="166">SUM(M235,M236,M237,M238,)</f>
        <v>1577.7619999999999</v>
      </c>
      <c r="N239" s="2072">
        <f t="shared" si="144"/>
        <v>-7.9552581368429479E-2</v>
      </c>
      <c r="O239" s="1834">
        <f t="shared" si="165"/>
        <v>1451.24</v>
      </c>
      <c r="P239" s="1836">
        <f t="shared" ref="P239:Q239" si="167">SUM(P235,P236,P237,P238,)</f>
        <v>1558.472</v>
      </c>
      <c r="Q239" s="1834">
        <f t="shared" si="167"/>
        <v>1519.6575</v>
      </c>
      <c r="R239" s="1836">
        <f t="shared" ref="R239" si="168">SUM(R235,R236,R237,R238,)</f>
        <v>1559.1220000000001</v>
      </c>
      <c r="S239" s="651"/>
      <c r="T239" s="218"/>
      <c r="U239" s="2829"/>
      <c r="V239" s="269"/>
      <c r="W239" s="269"/>
      <c r="X239" s="269"/>
      <c r="Y239" s="269"/>
      <c r="Z239" s="269"/>
      <c r="AA239" s="269"/>
      <c r="AB239" s="269"/>
      <c r="AC239" s="296"/>
    </row>
    <row r="240" spans="1:29" ht="39" hidden="1" customHeight="1">
      <c r="A240" s="2809" t="s">
        <v>3508</v>
      </c>
      <c r="B240" s="2826" t="s">
        <v>2540</v>
      </c>
      <c r="C240" s="2808"/>
      <c r="D240" s="444" t="s">
        <v>470</v>
      </c>
      <c r="E240" s="445"/>
      <c r="F240" s="468"/>
      <c r="G240" s="445"/>
      <c r="H240" s="445">
        <v>1.6</v>
      </c>
      <c r="I240" s="445"/>
      <c r="J240" s="447">
        <v>114</v>
      </c>
      <c r="K240" s="445">
        <f>29+6</f>
        <v>35</v>
      </c>
      <c r="L240" s="445"/>
      <c r="M240" s="1529"/>
      <c r="N240" s="557">
        <f t="shared" si="144"/>
        <v>-1</v>
      </c>
      <c r="O240" s="445"/>
      <c r="P240" s="1529"/>
      <c r="Q240" s="445"/>
      <c r="R240" s="1529"/>
      <c r="S240" s="651"/>
      <c r="T240" s="454"/>
      <c r="U240" s="2829"/>
      <c r="V240" s="269"/>
      <c r="W240" s="269"/>
      <c r="X240" s="269"/>
      <c r="Y240" s="269"/>
      <c r="Z240" s="269"/>
      <c r="AA240" s="269"/>
      <c r="AB240" s="269"/>
      <c r="AC240" s="296"/>
    </row>
    <row r="241" spans="1:136" ht="39" hidden="1" customHeight="1">
      <c r="A241" s="2809"/>
      <c r="B241" s="2826"/>
      <c r="C241" s="2808"/>
      <c r="D241" s="444" t="s">
        <v>1111</v>
      </c>
      <c r="E241" s="445"/>
      <c r="F241" s="468"/>
      <c r="G241" s="445"/>
      <c r="H241" s="445">
        <f>111.2-46.69</f>
        <v>64.510000000000005</v>
      </c>
      <c r="I241" s="445"/>
      <c r="J241" s="447">
        <v>150</v>
      </c>
      <c r="K241" s="445">
        <f>85.52-0.456</f>
        <v>85.063999999999993</v>
      </c>
      <c r="L241" s="445">
        <v>144.85599999999999</v>
      </c>
      <c r="M241" s="1529"/>
      <c r="N241" s="557">
        <f t="shared" si="144"/>
        <v>0.7029060472115114</v>
      </c>
      <c r="O241" s="445">
        <v>144.85599999999999</v>
      </c>
      <c r="P241" s="445">
        <v>144.85599999999999</v>
      </c>
      <c r="Q241" s="445">
        <v>144.85599999999999</v>
      </c>
      <c r="R241" s="1529"/>
      <c r="S241" s="651"/>
      <c r="T241" s="218"/>
      <c r="U241" s="2829"/>
      <c r="V241" s="269"/>
      <c r="W241" s="269"/>
      <c r="X241" s="269"/>
      <c r="Y241" s="269"/>
      <c r="Z241" s="269"/>
      <c r="AA241" s="269"/>
      <c r="AB241" s="269"/>
      <c r="AC241" s="296"/>
    </row>
    <row r="242" spans="1:136" ht="39" hidden="1" customHeight="1">
      <c r="A242" s="2809"/>
      <c r="B242" s="2826"/>
      <c r="C242" s="2808"/>
      <c r="D242" s="1838" t="s">
        <v>2646</v>
      </c>
      <c r="E242" s="1834"/>
      <c r="F242" s="1839"/>
      <c r="G242" s="1834"/>
      <c r="H242" s="1834">
        <f>SUM(H240,H241)</f>
        <v>66.11</v>
      </c>
      <c r="I242" s="1834">
        <f t="shared" ref="I242:O242" si="169">SUM(I240,I241)</f>
        <v>0</v>
      </c>
      <c r="J242" s="1835">
        <f t="shared" si="169"/>
        <v>264</v>
      </c>
      <c r="K242" s="1834">
        <f t="shared" si="169"/>
        <v>120.06399999999999</v>
      </c>
      <c r="L242" s="1834">
        <f t="shared" si="169"/>
        <v>144.85599999999999</v>
      </c>
      <c r="M242" s="1836">
        <f t="shared" ref="M242" si="170">SUM(M240,M241)</f>
        <v>0</v>
      </c>
      <c r="N242" s="2072">
        <f t="shared" si="144"/>
        <v>0.2064898720682303</v>
      </c>
      <c r="O242" s="1834">
        <f t="shared" si="169"/>
        <v>144.85599999999999</v>
      </c>
      <c r="P242" s="1836">
        <f t="shared" ref="P242:Q242" si="171">SUM(P240,P241)</f>
        <v>144.85599999999999</v>
      </c>
      <c r="Q242" s="1834">
        <f t="shared" si="171"/>
        <v>144.85599999999999</v>
      </c>
      <c r="R242" s="1836">
        <f t="shared" ref="R242" si="172">SUM(R240,R241)</f>
        <v>0</v>
      </c>
      <c r="S242" s="651"/>
      <c r="T242" s="218"/>
      <c r="U242" s="2829"/>
      <c r="V242" s="269"/>
      <c r="W242" s="269"/>
      <c r="X242" s="269"/>
      <c r="Y242" s="269"/>
      <c r="Z242" s="269"/>
      <c r="AA242" s="269"/>
      <c r="AB242" s="269"/>
      <c r="AC242" s="296"/>
    </row>
    <row r="243" spans="1:136" ht="39" hidden="1" customHeight="1">
      <c r="A243" s="1351"/>
      <c r="B243" s="901" t="s">
        <v>2541</v>
      </c>
      <c r="C243" s="1349"/>
      <c r="D243" s="444" t="s">
        <v>1111</v>
      </c>
      <c r="E243" s="445"/>
      <c r="F243" s="468"/>
      <c r="G243" s="445"/>
      <c r="H243" s="445">
        <f>46.69</f>
        <v>46.69</v>
      </c>
      <c r="I243" s="445"/>
      <c r="J243" s="447"/>
      <c r="K243" s="445"/>
      <c r="L243" s="445"/>
      <c r="M243" s="1529"/>
      <c r="N243" s="557" t="e">
        <f t="shared" si="144"/>
        <v>#DIV/0!</v>
      </c>
      <c r="O243" s="445"/>
      <c r="P243" s="1529"/>
      <c r="Q243" s="445"/>
      <c r="R243" s="1529"/>
      <c r="S243" s="651"/>
      <c r="T243" s="218"/>
      <c r="U243" s="2829"/>
      <c r="V243" s="269"/>
      <c r="W243" s="269"/>
      <c r="X243" s="269"/>
      <c r="Y243" s="269"/>
      <c r="Z243" s="269"/>
      <c r="AA243" s="269"/>
      <c r="AB243" s="269"/>
      <c r="AC243" s="296"/>
    </row>
    <row r="244" spans="1:136" ht="39" hidden="1" customHeight="1">
      <c r="A244" s="2809" t="s">
        <v>3508</v>
      </c>
      <c r="B244" s="2826" t="s">
        <v>2544</v>
      </c>
      <c r="C244" s="2808"/>
      <c r="D244" s="444" t="s">
        <v>470</v>
      </c>
      <c r="E244" s="445"/>
      <c r="F244" s="468"/>
      <c r="G244" s="445">
        <v>350</v>
      </c>
      <c r="H244" s="445">
        <v>220.4</v>
      </c>
      <c r="I244" s="445"/>
      <c r="J244" s="447">
        <v>370</v>
      </c>
      <c r="K244" s="445">
        <v>253</v>
      </c>
      <c r="L244" s="445">
        <v>262.13</v>
      </c>
      <c r="M244" s="445">
        <v>277.5</v>
      </c>
      <c r="N244" s="557">
        <f t="shared" si="144"/>
        <v>3.6086956521739114E-2</v>
      </c>
      <c r="O244" s="445">
        <f>L244+(L244*5%)</f>
        <v>275.23649999999998</v>
      </c>
      <c r="P244" s="1529">
        <v>319.125</v>
      </c>
      <c r="Q244" s="445">
        <f>O244+(O244*5%)</f>
        <v>288.99832499999997</v>
      </c>
      <c r="R244" s="1529">
        <v>366</v>
      </c>
      <c r="S244" s="651"/>
      <c r="T244" s="218"/>
      <c r="U244" s="2829"/>
      <c r="V244" s="269"/>
      <c r="W244" s="269" t="s">
        <v>3586</v>
      </c>
      <c r="X244" s="269"/>
      <c r="Y244" s="269"/>
      <c r="Z244" s="269"/>
      <c r="AA244" s="269"/>
      <c r="AB244" s="269"/>
      <c r="AC244" s="296"/>
    </row>
    <row r="245" spans="1:136" ht="39" hidden="1" customHeight="1">
      <c r="A245" s="2809"/>
      <c r="B245" s="2826"/>
      <c r="C245" s="2808"/>
      <c r="D245" s="1838" t="s">
        <v>2646</v>
      </c>
      <c r="E245" s="1834"/>
      <c r="F245" s="1839"/>
      <c r="G245" s="1834"/>
      <c r="H245" s="1834">
        <f>H244</f>
        <v>220.4</v>
      </c>
      <c r="I245" s="1834">
        <f t="shared" ref="I245:O245" si="173">I244</f>
        <v>0</v>
      </c>
      <c r="J245" s="1835">
        <f t="shared" si="173"/>
        <v>370</v>
      </c>
      <c r="K245" s="1834">
        <f t="shared" si="173"/>
        <v>253</v>
      </c>
      <c r="L245" s="1834">
        <f t="shared" si="173"/>
        <v>262.13</v>
      </c>
      <c r="M245" s="1836">
        <f t="shared" ref="M245" si="174">M244</f>
        <v>277.5</v>
      </c>
      <c r="N245" s="2072">
        <f t="shared" si="144"/>
        <v>3.6086956521739114E-2</v>
      </c>
      <c r="O245" s="1834">
        <f t="shared" si="173"/>
        <v>275.23649999999998</v>
      </c>
      <c r="P245" s="1836">
        <f t="shared" ref="P245:Q245" si="175">P244</f>
        <v>319.125</v>
      </c>
      <c r="Q245" s="1834">
        <f t="shared" si="175"/>
        <v>288.99832499999997</v>
      </c>
      <c r="R245" s="1836">
        <f t="shared" ref="R245" si="176">R244</f>
        <v>366</v>
      </c>
      <c r="S245" s="651"/>
      <c r="T245" s="218"/>
      <c r="U245" s="2829"/>
      <c r="V245" s="269"/>
      <c r="W245" s="269"/>
      <c r="X245" s="269"/>
      <c r="Y245" s="269"/>
      <c r="Z245" s="269"/>
      <c r="AA245" s="269"/>
      <c r="AB245" s="269"/>
      <c r="AC245" s="296"/>
    </row>
    <row r="246" spans="1:136" ht="39" hidden="1" customHeight="1">
      <c r="A246" s="2809" t="s">
        <v>3509</v>
      </c>
      <c r="B246" s="2826" t="s">
        <v>1116</v>
      </c>
      <c r="C246" s="2808"/>
      <c r="D246" s="444" t="s">
        <v>470</v>
      </c>
      <c r="E246" s="445"/>
      <c r="F246" s="468"/>
      <c r="G246" s="445">
        <v>350</v>
      </c>
      <c r="H246" s="445"/>
      <c r="I246" s="445"/>
      <c r="J246" s="447">
        <v>72.233999999999995</v>
      </c>
      <c r="K246" s="445">
        <v>65.3</v>
      </c>
      <c r="L246" s="445">
        <v>75.22</v>
      </c>
      <c r="M246" s="1529">
        <v>81.736999999999995</v>
      </c>
      <c r="N246" s="557">
        <f t="shared" si="144"/>
        <v>0.1519142419601838</v>
      </c>
      <c r="O246" s="445">
        <f>L246+(L246*5%)</f>
        <v>78.980999999999995</v>
      </c>
      <c r="P246" s="1529">
        <v>81.8</v>
      </c>
      <c r="Q246" s="445">
        <f>N246+(N246*5%)</f>
        <v>0.15950995405819299</v>
      </c>
      <c r="R246" s="1529">
        <v>82</v>
      </c>
      <c r="S246" s="651"/>
      <c r="T246" s="1530" t="s">
        <v>3451</v>
      </c>
      <c r="U246" s="2829"/>
      <c r="V246" s="269"/>
      <c r="W246" s="269"/>
      <c r="X246" s="269"/>
      <c r="Y246" s="269"/>
      <c r="Z246" s="269"/>
      <c r="AA246" s="269"/>
      <c r="AB246" s="269"/>
      <c r="AC246" s="296"/>
    </row>
    <row r="247" spans="1:136" ht="39" hidden="1" customHeight="1">
      <c r="A247" s="2809"/>
      <c r="B247" s="2826"/>
      <c r="C247" s="2808"/>
      <c r="D247" s="1976" t="s">
        <v>1353</v>
      </c>
      <c r="E247" s="445"/>
      <c r="F247" s="468"/>
      <c r="G247" s="445"/>
      <c r="H247" s="445"/>
      <c r="I247" s="445"/>
      <c r="J247" s="445"/>
      <c r="K247" s="445"/>
      <c r="L247" s="445">
        <v>4.57</v>
      </c>
      <c r="M247" s="445">
        <v>4.57</v>
      </c>
      <c r="N247" s="557"/>
      <c r="O247" s="445">
        <v>4.57</v>
      </c>
      <c r="P247" s="445">
        <v>4.57</v>
      </c>
      <c r="Q247" s="445">
        <v>4.57</v>
      </c>
      <c r="R247" s="1960">
        <v>4.57</v>
      </c>
      <c r="S247" s="651"/>
      <c r="T247" s="1530"/>
      <c r="U247" s="2829"/>
      <c r="V247" s="269"/>
      <c r="W247" s="269"/>
      <c r="X247" s="269"/>
      <c r="Y247" s="269"/>
      <c r="Z247" s="269"/>
      <c r="AA247" s="269"/>
      <c r="AB247" s="269"/>
      <c r="AC247" s="296"/>
    </row>
    <row r="248" spans="1:136" ht="39" hidden="1" customHeight="1">
      <c r="A248" s="2809"/>
      <c r="B248" s="2826"/>
      <c r="C248" s="2808"/>
      <c r="D248" s="1838" t="s">
        <v>2646</v>
      </c>
      <c r="E248" s="1834"/>
      <c r="F248" s="1839"/>
      <c r="G248" s="1834"/>
      <c r="H248" s="1834">
        <v>0</v>
      </c>
      <c r="I248" s="1834">
        <f t="shared" ref="I248:O248" si="177">I246</f>
        <v>0</v>
      </c>
      <c r="J248" s="1835">
        <f t="shared" si="177"/>
        <v>72.233999999999995</v>
      </c>
      <c r="K248" s="1834">
        <f t="shared" si="177"/>
        <v>65.3</v>
      </c>
      <c r="L248" s="1834">
        <f t="shared" si="177"/>
        <v>75.22</v>
      </c>
      <c r="M248" s="1836">
        <f t="shared" ref="M248" si="178">M246</f>
        <v>81.736999999999995</v>
      </c>
      <c r="N248" s="2072">
        <f t="shared" si="144"/>
        <v>0.1519142419601838</v>
      </c>
      <c r="O248" s="1834">
        <f t="shared" si="177"/>
        <v>78.980999999999995</v>
      </c>
      <c r="P248" s="1836">
        <f t="shared" ref="P248:Q248" si="179">P246</f>
        <v>81.8</v>
      </c>
      <c r="Q248" s="1834">
        <f t="shared" si="179"/>
        <v>0.15950995405819299</v>
      </c>
      <c r="R248" s="1836">
        <f t="shared" ref="R248" si="180">R246</f>
        <v>82</v>
      </c>
      <c r="S248" s="651"/>
      <c r="T248" s="218"/>
      <c r="U248" s="2829"/>
      <c r="V248" s="269"/>
      <c r="W248" s="269"/>
      <c r="X248" s="269"/>
      <c r="Y248" s="269"/>
      <c r="Z248" s="269"/>
      <c r="AA248" s="269"/>
      <c r="AB248" s="269"/>
      <c r="AC248" s="296"/>
    </row>
    <row r="249" spans="1:136" s="1681" customFormat="1" ht="39" customHeight="1">
      <c r="A249" s="2790" t="s">
        <v>4086</v>
      </c>
      <c r="B249" s="2728" t="s">
        <v>3950</v>
      </c>
      <c r="C249" s="2849">
        <v>300665693</v>
      </c>
      <c r="D249" s="2590" t="s">
        <v>246</v>
      </c>
      <c r="E249" s="1809"/>
      <c r="F249" s="1810"/>
      <c r="G249" s="1809">
        <v>890.596</v>
      </c>
      <c r="H249" s="1809">
        <v>890.596</v>
      </c>
      <c r="I249" s="1811">
        <f t="shared" ref="I249:I251" si="181">K249/H249-1</f>
        <v>-1</v>
      </c>
      <c r="J249" s="1809">
        <f>SUM(J258,J263,J268,J273)</f>
        <v>1702.9759999999997</v>
      </c>
      <c r="K249" s="617"/>
      <c r="L249" s="617"/>
      <c r="M249" s="617"/>
      <c r="N249" s="2082"/>
      <c r="O249" s="617">
        <v>140.01599999999999</v>
      </c>
      <c r="P249" s="1527">
        <v>140.01599999999999</v>
      </c>
      <c r="Q249" s="617"/>
      <c r="R249" s="617"/>
      <c r="S249" s="2779" t="s">
        <v>2162</v>
      </c>
      <c r="T249" s="2859" t="s">
        <v>4319</v>
      </c>
      <c r="U249" s="2829"/>
      <c r="V249" s="2790" t="s">
        <v>4087</v>
      </c>
      <c r="W249" s="2694" t="s">
        <v>4105</v>
      </c>
      <c r="X249" s="2766" t="s">
        <v>1306</v>
      </c>
      <c r="Y249" s="2766" t="s">
        <v>308</v>
      </c>
      <c r="Z249" s="2766" t="s">
        <v>433</v>
      </c>
      <c r="AA249" s="2764" t="s">
        <v>1304</v>
      </c>
      <c r="AB249" s="2764" t="s">
        <v>433</v>
      </c>
      <c r="AC249" s="2815"/>
      <c r="AE249" s="450"/>
      <c r="AF249" s="450"/>
      <c r="AG249" s="450"/>
      <c r="AH249" s="450"/>
      <c r="AI249" s="450"/>
      <c r="AJ249" s="450"/>
      <c r="AK249" s="450"/>
      <c r="AL249" s="450"/>
      <c r="AM249" s="450"/>
      <c r="AN249" s="450"/>
      <c r="AO249" s="450"/>
      <c r="AP249" s="450"/>
      <c r="AQ249" s="450"/>
      <c r="AR249" s="450"/>
      <c r="AS249" s="450"/>
      <c r="AT249" s="450"/>
      <c r="AU249" s="450"/>
      <c r="AV249" s="450"/>
      <c r="AW249" s="450"/>
      <c r="AX249" s="450"/>
      <c r="AY249" s="450"/>
      <c r="AZ249" s="450"/>
      <c r="BA249" s="450"/>
      <c r="BB249" s="450"/>
      <c r="BC249" s="450"/>
      <c r="BD249" s="450"/>
      <c r="BE249" s="450"/>
      <c r="BF249" s="450"/>
      <c r="BG249" s="450"/>
      <c r="BH249" s="450"/>
      <c r="BI249" s="450"/>
      <c r="BJ249" s="450"/>
      <c r="BK249" s="450"/>
      <c r="BL249" s="450"/>
      <c r="BM249" s="450"/>
      <c r="BN249" s="450"/>
      <c r="BO249" s="450"/>
      <c r="BP249" s="450"/>
      <c r="BQ249" s="450"/>
      <c r="BR249" s="450"/>
      <c r="BS249" s="450"/>
      <c r="BT249" s="450"/>
      <c r="BU249" s="450"/>
      <c r="BV249" s="450"/>
      <c r="BW249" s="450"/>
      <c r="BX249" s="450"/>
      <c r="BY249" s="450"/>
      <c r="BZ249" s="450"/>
      <c r="CA249" s="450"/>
      <c r="CB249" s="450"/>
      <c r="CC249" s="450"/>
      <c r="CD249" s="450"/>
      <c r="CE249" s="450"/>
      <c r="CF249" s="450"/>
      <c r="CG249" s="450"/>
      <c r="CH249" s="450"/>
      <c r="CI249" s="450"/>
      <c r="CJ249" s="450"/>
      <c r="CK249" s="450"/>
      <c r="CL249" s="450"/>
      <c r="CM249" s="450"/>
      <c r="CN249" s="450"/>
      <c r="CO249" s="450"/>
      <c r="CP249" s="450"/>
      <c r="CQ249" s="450"/>
      <c r="CR249" s="450"/>
      <c r="CS249" s="450"/>
      <c r="CT249" s="450"/>
      <c r="CU249" s="450"/>
      <c r="CV249" s="450"/>
      <c r="CW249" s="450"/>
      <c r="CX249" s="450"/>
      <c r="CY249" s="450"/>
      <c r="CZ249" s="450"/>
      <c r="DA249" s="450"/>
      <c r="DB249" s="450"/>
      <c r="DC249" s="450"/>
      <c r="DD249" s="450"/>
      <c r="DE249" s="450"/>
      <c r="DF249" s="450"/>
      <c r="DG249" s="450"/>
      <c r="DH249" s="450"/>
      <c r="DI249" s="450"/>
      <c r="DJ249" s="450"/>
      <c r="DK249" s="450"/>
      <c r="DL249" s="450"/>
      <c r="DM249" s="450"/>
      <c r="DN249" s="450"/>
      <c r="DO249" s="450"/>
      <c r="DP249" s="450"/>
      <c r="DQ249" s="450"/>
      <c r="DR249" s="450"/>
      <c r="DS249" s="450"/>
      <c r="DT249" s="450"/>
      <c r="DU249" s="450"/>
      <c r="DV249" s="450"/>
      <c r="DW249" s="450"/>
      <c r="DX249" s="450"/>
      <c r="DY249" s="450"/>
      <c r="DZ249" s="450"/>
      <c r="EA249" s="450"/>
      <c r="EB249" s="450"/>
      <c r="EC249" s="450"/>
      <c r="ED249" s="450"/>
      <c r="EE249" s="450"/>
      <c r="EF249" s="450"/>
    </row>
    <row r="250" spans="1:136" s="1681" customFormat="1" ht="39" customHeight="1">
      <c r="A250" s="2845"/>
      <c r="B250" s="2728"/>
      <c r="C250" s="2849"/>
      <c r="D250" s="2591" t="s">
        <v>2747</v>
      </c>
      <c r="E250" s="1809">
        <v>60.359000000000002</v>
      </c>
      <c r="F250" s="1810">
        <f>H250/E250-1</f>
        <v>0.73796782584204501</v>
      </c>
      <c r="G250" s="1809">
        <v>104.902</v>
      </c>
      <c r="H250" s="1809">
        <v>104.902</v>
      </c>
      <c r="I250" s="1811">
        <f t="shared" si="181"/>
        <v>-1</v>
      </c>
      <c r="J250" s="1809">
        <f>SUM(J260,J261,J265,J266,J270,J271,J275,J276)</f>
        <v>410.22300000000007</v>
      </c>
      <c r="K250" s="617"/>
      <c r="L250" s="617">
        <v>138.83199999999999</v>
      </c>
      <c r="M250" s="617"/>
      <c r="N250" s="2082"/>
      <c r="O250" s="617"/>
      <c r="P250" s="617"/>
      <c r="Q250" s="617"/>
      <c r="R250" s="617"/>
      <c r="S250" s="2779"/>
      <c r="T250" s="2860"/>
      <c r="U250" s="2829"/>
      <c r="V250" s="2790"/>
      <c r="W250" s="2694"/>
      <c r="X250" s="2766"/>
      <c r="Y250" s="2766"/>
      <c r="Z250" s="2766"/>
      <c r="AA250" s="2764"/>
      <c r="AB250" s="2764"/>
      <c r="AC250" s="2815"/>
      <c r="AE250" s="450"/>
      <c r="AF250" s="450"/>
      <c r="AG250" s="450"/>
      <c r="AH250" s="450"/>
      <c r="AI250" s="450"/>
      <c r="AJ250" s="450"/>
      <c r="AK250" s="450"/>
      <c r="AL250" s="450"/>
      <c r="AM250" s="450"/>
      <c r="AN250" s="450"/>
      <c r="AO250" s="450"/>
      <c r="AP250" s="450"/>
      <c r="AQ250" s="450"/>
      <c r="AR250" s="450"/>
      <c r="AS250" s="450"/>
      <c r="AT250" s="450"/>
      <c r="AU250" s="450"/>
      <c r="AV250" s="450"/>
      <c r="AW250" s="450"/>
      <c r="AX250" s="450"/>
      <c r="AY250" s="450"/>
      <c r="AZ250" s="450"/>
      <c r="BA250" s="450"/>
      <c r="BB250" s="450"/>
      <c r="BC250" s="450"/>
      <c r="BD250" s="450"/>
      <c r="BE250" s="450"/>
      <c r="BF250" s="450"/>
      <c r="BG250" s="450"/>
      <c r="BH250" s="450"/>
      <c r="BI250" s="450"/>
      <c r="BJ250" s="450"/>
      <c r="BK250" s="450"/>
      <c r="BL250" s="450"/>
      <c r="BM250" s="450"/>
      <c r="BN250" s="450"/>
      <c r="BO250" s="450"/>
      <c r="BP250" s="450"/>
      <c r="BQ250" s="450"/>
      <c r="BR250" s="450"/>
      <c r="BS250" s="450"/>
      <c r="BT250" s="450"/>
      <c r="BU250" s="450"/>
      <c r="BV250" s="450"/>
      <c r="BW250" s="450"/>
      <c r="BX250" s="450"/>
      <c r="BY250" s="450"/>
      <c r="BZ250" s="450"/>
      <c r="CA250" s="450"/>
      <c r="CB250" s="450"/>
      <c r="CC250" s="450"/>
      <c r="CD250" s="450"/>
      <c r="CE250" s="450"/>
      <c r="CF250" s="450"/>
      <c r="CG250" s="450"/>
      <c r="CH250" s="450"/>
      <c r="CI250" s="450"/>
      <c r="CJ250" s="450"/>
      <c r="CK250" s="450"/>
      <c r="CL250" s="450"/>
      <c r="CM250" s="450"/>
      <c r="CN250" s="450"/>
      <c r="CO250" s="450"/>
      <c r="CP250" s="450"/>
      <c r="CQ250" s="450"/>
      <c r="CR250" s="450"/>
      <c r="CS250" s="450"/>
      <c r="CT250" s="450"/>
      <c r="CU250" s="450"/>
      <c r="CV250" s="450"/>
      <c r="CW250" s="450"/>
      <c r="CX250" s="450"/>
      <c r="CY250" s="450"/>
      <c r="CZ250" s="450"/>
      <c r="DA250" s="450"/>
      <c r="DB250" s="450"/>
      <c r="DC250" s="450"/>
      <c r="DD250" s="450"/>
      <c r="DE250" s="450"/>
      <c r="DF250" s="450"/>
      <c r="DG250" s="450"/>
      <c r="DH250" s="450"/>
      <c r="DI250" s="450"/>
      <c r="DJ250" s="450"/>
      <c r="DK250" s="450"/>
      <c r="DL250" s="450"/>
      <c r="DM250" s="450"/>
      <c r="DN250" s="450"/>
      <c r="DO250" s="450"/>
      <c r="DP250" s="450"/>
      <c r="DQ250" s="450"/>
      <c r="DR250" s="450"/>
      <c r="DS250" s="450"/>
      <c r="DT250" s="450"/>
      <c r="DU250" s="450"/>
      <c r="DV250" s="450"/>
      <c r="DW250" s="450"/>
      <c r="DX250" s="450"/>
      <c r="DY250" s="450"/>
      <c r="DZ250" s="450"/>
      <c r="EA250" s="450"/>
      <c r="EB250" s="450"/>
      <c r="EC250" s="450"/>
      <c r="ED250" s="450"/>
      <c r="EE250" s="450"/>
      <c r="EF250" s="450"/>
    </row>
    <row r="251" spans="1:136" s="1681" customFormat="1" ht="39" customHeight="1">
      <c r="A251" s="2845"/>
      <c r="B251" s="2728"/>
      <c r="C251" s="2849"/>
      <c r="D251" s="2591" t="s">
        <v>412</v>
      </c>
      <c r="E251" s="1809"/>
      <c r="F251" s="1810"/>
      <c r="G251" s="1809">
        <v>260.47000000000003</v>
      </c>
      <c r="H251" s="1809">
        <v>260.47000000000003</v>
      </c>
      <c r="I251" s="1811">
        <f t="shared" si="181"/>
        <v>-1</v>
      </c>
      <c r="J251" s="1809">
        <f>SUM(J259,J264,J269,J274)</f>
        <v>397.91999999999996</v>
      </c>
      <c r="K251" s="617"/>
      <c r="L251" s="617"/>
      <c r="M251" s="617"/>
      <c r="N251" s="2082"/>
      <c r="O251" s="617">
        <v>17.501999999999999</v>
      </c>
      <c r="P251" s="1527">
        <v>17.501999999999999</v>
      </c>
      <c r="Q251" s="617"/>
      <c r="R251" s="617"/>
      <c r="S251" s="2779"/>
      <c r="T251" s="2860"/>
      <c r="U251" s="2829"/>
      <c r="V251" s="2790"/>
      <c r="W251" s="2694"/>
      <c r="X251" s="2766"/>
      <c r="Y251" s="2766"/>
      <c r="Z251" s="2766"/>
      <c r="AA251" s="2764"/>
      <c r="AB251" s="2764"/>
      <c r="AC251" s="2815"/>
      <c r="AE251" s="450"/>
      <c r="AF251" s="450"/>
      <c r="AG251" s="450"/>
      <c r="AH251" s="450"/>
      <c r="AI251" s="450"/>
      <c r="AJ251" s="450"/>
      <c r="AK251" s="450"/>
      <c r="AL251" s="450"/>
      <c r="AM251" s="450"/>
      <c r="AN251" s="450"/>
      <c r="AO251" s="450"/>
      <c r="AP251" s="450"/>
      <c r="AQ251" s="450"/>
      <c r="AR251" s="450"/>
      <c r="AS251" s="450"/>
      <c r="AT251" s="450"/>
      <c r="AU251" s="450"/>
      <c r="AV251" s="450"/>
      <c r="AW251" s="450"/>
      <c r="AX251" s="450"/>
      <c r="AY251" s="450"/>
      <c r="AZ251" s="450"/>
      <c r="BA251" s="450"/>
      <c r="BB251" s="450"/>
      <c r="BC251" s="450"/>
      <c r="BD251" s="450"/>
      <c r="BE251" s="450"/>
      <c r="BF251" s="450"/>
      <c r="BG251" s="450"/>
      <c r="BH251" s="450"/>
      <c r="BI251" s="450"/>
      <c r="BJ251" s="450"/>
      <c r="BK251" s="450"/>
      <c r="BL251" s="450"/>
      <c r="BM251" s="450"/>
      <c r="BN251" s="450"/>
      <c r="BO251" s="450"/>
      <c r="BP251" s="450"/>
      <c r="BQ251" s="450"/>
      <c r="BR251" s="450"/>
      <c r="BS251" s="450"/>
      <c r="BT251" s="450"/>
      <c r="BU251" s="450"/>
      <c r="BV251" s="450"/>
      <c r="BW251" s="450"/>
      <c r="BX251" s="450"/>
      <c r="BY251" s="450"/>
      <c r="BZ251" s="450"/>
      <c r="CA251" s="450"/>
      <c r="CB251" s="450"/>
      <c r="CC251" s="450"/>
      <c r="CD251" s="450"/>
      <c r="CE251" s="450"/>
      <c r="CF251" s="450"/>
      <c r="CG251" s="450"/>
      <c r="CH251" s="450"/>
      <c r="CI251" s="450"/>
      <c r="CJ251" s="450"/>
      <c r="CK251" s="450"/>
      <c r="CL251" s="450"/>
      <c r="CM251" s="450"/>
      <c r="CN251" s="450"/>
      <c r="CO251" s="450"/>
      <c r="CP251" s="450"/>
      <c r="CQ251" s="450"/>
      <c r="CR251" s="450"/>
      <c r="CS251" s="450"/>
      <c r="CT251" s="450"/>
      <c r="CU251" s="450"/>
      <c r="CV251" s="450"/>
      <c r="CW251" s="450"/>
      <c r="CX251" s="450"/>
      <c r="CY251" s="450"/>
      <c r="CZ251" s="450"/>
      <c r="DA251" s="450"/>
      <c r="DB251" s="450"/>
      <c r="DC251" s="450"/>
      <c r="DD251" s="450"/>
      <c r="DE251" s="450"/>
      <c r="DF251" s="450"/>
      <c r="DG251" s="450"/>
      <c r="DH251" s="450"/>
      <c r="DI251" s="450"/>
      <c r="DJ251" s="450"/>
      <c r="DK251" s="450"/>
      <c r="DL251" s="450"/>
      <c r="DM251" s="450"/>
      <c r="DN251" s="450"/>
      <c r="DO251" s="450"/>
      <c r="DP251" s="450"/>
      <c r="DQ251" s="450"/>
      <c r="DR251" s="450"/>
      <c r="DS251" s="450"/>
      <c r="DT251" s="450"/>
      <c r="DU251" s="450"/>
      <c r="DV251" s="450"/>
      <c r="DW251" s="450"/>
      <c r="DX251" s="450"/>
      <c r="DY251" s="450"/>
      <c r="DZ251" s="450"/>
      <c r="EA251" s="450"/>
      <c r="EB251" s="450"/>
      <c r="EC251" s="450"/>
      <c r="ED251" s="450"/>
      <c r="EE251" s="450"/>
      <c r="EF251" s="450"/>
    </row>
    <row r="252" spans="1:136" s="1681" customFormat="1" ht="39" customHeight="1">
      <c r="A252" s="2845"/>
      <c r="B252" s="2728"/>
      <c r="C252" s="2849"/>
      <c r="D252" s="2591" t="s">
        <v>470</v>
      </c>
      <c r="E252" s="1809"/>
      <c r="F252" s="1810"/>
      <c r="G252" s="1809"/>
      <c r="H252" s="1809"/>
      <c r="I252" s="1811"/>
      <c r="J252" s="1809"/>
      <c r="K252" s="617"/>
      <c r="L252" s="617"/>
      <c r="M252" s="1527">
        <v>138.83199999999999</v>
      </c>
      <c r="N252" s="2082"/>
      <c r="O252" s="213">
        <v>2.1829999999999998</v>
      </c>
      <c r="P252" s="1527">
        <v>2.1829999999999998</v>
      </c>
      <c r="Q252" s="617"/>
      <c r="R252" s="617"/>
      <c r="S252" s="2779"/>
      <c r="T252" s="2860"/>
      <c r="U252" s="2829"/>
      <c r="V252" s="2790"/>
      <c r="W252" s="2694"/>
      <c r="X252" s="2766"/>
      <c r="Y252" s="2766"/>
      <c r="Z252" s="2766"/>
      <c r="AA252" s="2764"/>
      <c r="AB252" s="2764"/>
      <c r="AC252" s="2815"/>
      <c r="AE252" s="450"/>
      <c r="AF252" s="450"/>
      <c r="AG252" s="450"/>
      <c r="AH252" s="450"/>
      <c r="AI252" s="450"/>
      <c r="AJ252" s="450"/>
      <c r="AK252" s="450"/>
      <c r="AL252" s="450"/>
      <c r="AM252" s="450"/>
      <c r="AN252" s="450"/>
      <c r="AO252" s="450"/>
      <c r="AP252" s="450"/>
      <c r="AQ252" s="450"/>
      <c r="AR252" s="450"/>
      <c r="AS252" s="450"/>
      <c r="AT252" s="450"/>
      <c r="AU252" s="450"/>
      <c r="AV252" s="450"/>
      <c r="AW252" s="450"/>
      <c r="AX252" s="450"/>
      <c r="AY252" s="450"/>
      <c r="AZ252" s="450"/>
      <c r="BA252" s="450"/>
      <c r="BB252" s="450"/>
      <c r="BC252" s="450"/>
      <c r="BD252" s="450"/>
      <c r="BE252" s="450"/>
      <c r="BF252" s="450"/>
      <c r="BG252" s="450"/>
      <c r="BH252" s="450"/>
      <c r="BI252" s="450"/>
      <c r="BJ252" s="450"/>
      <c r="BK252" s="450"/>
      <c r="BL252" s="450"/>
      <c r="BM252" s="450"/>
      <c r="BN252" s="450"/>
      <c r="BO252" s="450"/>
      <c r="BP252" s="450"/>
      <c r="BQ252" s="450"/>
      <c r="BR252" s="450"/>
      <c r="BS252" s="450"/>
      <c r="BT252" s="450"/>
      <c r="BU252" s="450"/>
      <c r="BV252" s="450"/>
      <c r="BW252" s="450"/>
      <c r="BX252" s="450"/>
      <c r="BY252" s="450"/>
      <c r="BZ252" s="450"/>
      <c r="CA252" s="450"/>
      <c r="CB252" s="450"/>
      <c r="CC252" s="450"/>
      <c r="CD252" s="450"/>
      <c r="CE252" s="450"/>
      <c r="CF252" s="450"/>
      <c r="CG252" s="450"/>
      <c r="CH252" s="450"/>
      <c r="CI252" s="450"/>
      <c r="CJ252" s="450"/>
      <c r="CK252" s="450"/>
      <c r="CL252" s="450"/>
      <c r="CM252" s="450"/>
      <c r="CN252" s="450"/>
      <c r="CO252" s="450"/>
      <c r="CP252" s="450"/>
      <c r="CQ252" s="450"/>
      <c r="CR252" s="450"/>
      <c r="CS252" s="450"/>
      <c r="CT252" s="450"/>
      <c r="CU252" s="450"/>
      <c r="CV252" s="450"/>
      <c r="CW252" s="450"/>
      <c r="CX252" s="450"/>
      <c r="CY252" s="450"/>
      <c r="CZ252" s="450"/>
      <c r="DA252" s="450"/>
      <c r="DB252" s="450"/>
      <c r="DC252" s="450"/>
      <c r="DD252" s="450"/>
      <c r="DE252" s="450"/>
      <c r="DF252" s="450"/>
      <c r="DG252" s="450"/>
      <c r="DH252" s="450"/>
      <c r="DI252" s="450"/>
      <c r="DJ252" s="450"/>
      <c r="DK252" s="450"/>
      <c r="DL252" s="450"/>
      <c r="DM252" s="450"/>
      <c r="DN252" s="450"/>
      <c r="DO252" s="450"/>
      <c r="DP252" s="450"/>
      <c r="DQ252" s="450"/>
      <c r="DR252" s="450"/>
      <c r="DS252" s="450"/>
      <c r="DT252" s="450"/>
      <c r="DU252" s="450"/>
      <c r="DV252" s="450"/>
      <c r="DW252" s="450"/>
      <c r="DX252" s="450"/>
      <c r="DY252" s="450"/>
      <c r="DZ252" s="450"/>
      <c r="EA252" s="450"/>
      <c r="EB252" s="450"/>
      <c r="EC252" s="450"/>
      <c r="ED252" s="450"/>
      <c r="EE252" s="450"/>
      <c r="EF252" s="450"/>
    </row>
    <row r="253" spans="1:136" s="1681" customFormat="1" ht="39" customHeight="1">
      <c r="A253" s="2845"/>
      <c r="B253" s="2728"/>
      <c r="C253" s="2849"/>
      <c r="D253" s="2592" t="s">
        <v>1110</v>
      </c>
      <c r="E253" s="1812">
        <f>SUM(E249:E250)</f>
        <v>60.359000000000002</v>
      </c>
      <c r="F253" s="1813">
        <f>H253/E253-1</f>
        <v>19.808297022813498</v>
      </c>
      <c r="G253" s="1812">
        <f>SUM(G249:G251)</f>
        <v>1255.9680000000001</v>
      </c>
      <c r="H253" s="1812">
        <f>SUM(H249,H250,H251,H252,)</f>
        <v>1255.9680000000001</v>
      </c>
      <c r="I253" s="1814">
        <f t="shared" ref="I253:I254" si="182">K253/H253-1</f>
        <v>-1</v>
      </c>
      <c r="J253" s="1812">
        <f>SUM(J249,J250,J251,J252,)</f>
        <v>2511.1189999999997</v>
      </c>
      <c r="K253" s="1812"/>
      <c r="L253" s="1812">
        <f>L250</f>
        <v>138.83199999999999</v>
      </c>
      <c r="M253" s="1812">
        <f>M252</f>
        <v>138.83199999999999</v>
      </c>
      <c r="N253" s="2083"/>
      <c r="O253" s="1812">
        <f>SUM(O252,O251,O250,O249,)</f>
        <v>159.70099999999999</v>
      </c>
      <c r="P253" s="1812">
        <f t="shared" ref="P253:R253" si="183">SUM(P252,P251,P250,P249,)</f>
        <v>159.70099999999999</v>
      </c>
      <c r="Q253" s="1812">
        <f t="shared" si="183"/>
        <v>0</v>
      </c>
      <c r="R253" s="1812">
        <f t="shared" si="183"/>
        <v>0</v>
      </c>
      <c r="S253" s="2779"/>
      <c r="T253" s="2860"/>
      <c r="U253" s="2829"/>
      <c r="V253" s="2790"/>
      <c r="W253" s="2694"/>
      <c r="X253" s="2766"/>
      <c r="Y253" s="2766"/>
      <c r="Z253" s="2766"/>
      <c r="AA253" s="2764"/>
      <c r="AB253" s="2764"/>
      <c r="AC253" s="2815"/>
      <c r="AE253" s="450"/>
      <c r="AF253" s="450"/>
      <c r="AG253" s="450"/>
      <c r="AH253" s="450"/>
      <c r="AI253" s="450"/>
      <c r="AJ253" s="450"/>
      <c r="AK253" s="450"/>
      <c r="AL253" s="450"/>
      <c r="AM253" s="450"/>
      <c r="AN253" s="450"/>
      <c r="AO253" s="450"/>
      <c r="AP253" s="450"/>
      <c r="AQ253" s="450"/>
      <c r="AR253" s="450"/>
      <c r="AS253" s="450"/>
      <c r="AT253" s="450"/>
      <c r="AU253" s="450"/>
      <c r="AV253" s="450"/>
      <c r="AW253" s="450"/>
      <c r="AX253" s="450"/>
      <c r="AY253" s="450"/>
      <c r="AZ253" s="450"/>
      <c r="BA253" s="450"/>
      <c r="BB253" s="450"/>
      <c r="BC253" s="450"/>
      <c r="BD253" s="450"/>
      <c r="BE253" s="450"/>
      <c r="BF253" s="450"/>
      <c r="BG253" s="450"/>
      <c r="BH253" s="450"/>
      <c r="BI253" s="450"/>
      <c r="BJ253" s="450"/>
      <c r="BK253" s="450"/>
      <c r="BL253" s="450"/>
      <c r="BM253" s="450"/>
      <c r="BN253" s="450"/>
      <c r="BO253" s="450"/>
      <c r="BP253" s="450"/>
      <c r="BQ253" s="450"/>
      <c r="BR253" s="450"/>
      <c r="BS253" s="450"/>
      <c r="BT253" s="450"/>
      <c r="BU253" s="450"/>
      <c r="BV253" s="450"/>
      <c r="BW253" s="450"/>
      <c r="BX253" s="450"/>
      <c r="BY253" s="450"/>
      <c r="BZ253" s="450"/>
      <c r="CA253" s="450"/>
      <c r="CB253" s="450"/>
      <c r="CC253" s="450"/>
      <c r="CD253" s="450"/>
      <c r="CE253" s="450"/>
      <c r="CF253" s="450"/>
      <c r="CG253" s="450"/>
      <c r="CH253" s="450"/>
      <c r="CI253" s="450"/>
      <c r="CJ253" s="450"/>
      <c r="CK253" s="450"/>
      <c r="CL253" s="450"/>
      <c r="CM253" s="450"/>
      <c r="CN253" s="450"/>
      <c r="CO253" s="450"/>
      <c r="CP253" s="450"/>
      <c r="CQ253" s="450"/>
      <c r="CR253" s="450"/>
      <c r="CS253" s="450"/>
      <c r="CT253" s="450"/>
      <c r="CU253" s="450"/>
      <c r="CV253" s="450"/>
      <c r="CW253" s="450"/>
      <c r="CX253" s="450"/>
      <c r="CY253" s="450"/>
      <c r="CZ253" s="450"/>
      <c r="DA253" s="450"/>
      <c r="DB253" s="450"/>
      <c r="DC253" s="450"/>
      <c r="DD253" s="450"/>
      <c r="DE253" s="450"/>
      <c r="DF253" s="450"/>
      <c r="DG253" s="450"/>
      <c r="DH253" s="450"/>
      <c r="DI253" s="450"/>
      <c r="DJ253" s="450"/>
      <c r="DK253" s="450"/>
      <c r="DL253" s="450"/>
      <c r="DM253" s="450"/>
      <c r="DN253" s="450"/>
      <c r="DO253" s="450"/>
      <c r="DP253" s="450"/>
      <c r="DQ253" s="450"/>
      <c r="DR253" s="450"/>
      <c r="DS253" s="450"/>
      <c r="DT253" s="450"/>
      <c r="DU253" s="450"/>
      <c r="DV253" s="450"/>
      <c r="DW253" s="450"/>
      <c r="DX253" s="450"/>
      <c r="DY253" s="450"/>
      <c r="DZ253" s="450"/>
      <c r="EA253" s="450"/>
      <c r="EB253" s="450"/>
      <c r="EC253" s="450"/>
      <c r="ED253" s="450"/>
      <c r="EE253" s="450"/>
      <c r="EF253" s="450"/>
    </row>
    <row r="254" spans="1:136" s="1681" customFormat="1" ht="39" customHeight="1">
      <c r="A254" s="2790" t="s">
        <v>4085</v>
      </c>
      <c r="B254" s="2728" t="s">
        <v>4005</v>
      </c>
      <c r="C254" s="2849" t="s">
        <v>3016</v>
      </c>
      <c r="D254" s="276" t="s">
        <v>470</v>
      </c>
      <c r="E254" s="1527"/>
      <c r="F254" s="1806"/>
      <c r="G254" s="1527">
        <v>890.596</v>
      </c>
      <c r="H254" s="1527">
        <v>890.596</v>
      </c>
      <c r="I254" s="1807">
        <f t="shared" si="182"/>
        <v>-1</v>
      </c>
      <c r="J254" s="1527">
        <f>SUM(J263,J268,J273,J278)</f>
        <v>1952.8809999999996</v>
      </c>
      <c r="K254" s="1527"/>
      <c r="L254" s="213">
        <f>SUM(L256,L257)</f>
        <v>4</v>
      </c>
      <c r="M254" s="1527">
        <v>10</v>
      </c>
      <c r="N254" s="2082"/>
      <c r="O254" s="213">
        <v>10</v>
      </c>
      <c r="P254" s="1527">
        <v>10</v>
      </c>
      <c r="Q254" s="213">
        <v>10</v>
      </c>
      <c r="R254" s="1527">
        <v>10</v>
      </c>
      <c r="S254" s="2779" t="s">
        <v>2162</v>
      </c>
      <c r="T254" s="2701" t="s">
        <v>4320</v>
      </c>
      <c r="U254" s="2829"/>
      <c r="V254" s="2766" t="s">
        <v>4084</v>
      </c>
      <c r="W254" s="2694" t="s">
        <v>4303</v>
      </c>
      <c r="X254" s="2766" t="s">
        <v>1306</v>
      </c>
      <c r="Y254" s="2766" t="s">
        <v>308</v>
      </c>
      <c r="Z254" s="2766" t="s">
        <v>432</v>
      </c>
      <c r="AA254" s="2764" t="s">
        <v>1372</v>
      </c>
      <c r="AB254" s="2764" t="s">
        <v>1372</v>
      </c>
      <c r="AC254" s="2790"/>
      <c r="AE254" s="450"/>
      <c r="AF254" s="450"/>
      <c r="AG254" s="450"/>
      <c r="AH254" s="450"/>
      <c r="AI254" s="450"/>
      <c r="AJ254" s="450"/>
      <c r="AK254" s="450"/>
      <c r="AL254" s="450"/>
      <c r="AM254" s="450"/>
      <c r="AN254" s="450"/>
      <c r="AO254" s="450"/>
      <c r="AP254" s="450"/>
      <c r="AQ254" s="450"/>
      <c r="AR254" s="450"/>
      <c r="AS254" s="450"/>
      <c r="AT254" s="450"/>
      <c r="AU254" s="450"/>
      <c r="AV254" s="450"/>
      <c r="AW254" s="450"/>
      <c r="AX254" s="450"/>
      <c r="AY254" s="450"/>
      <c r="AZ254" s="450"/>
      <c r="BA254" s="450"/>
      <c r="BB254" s="450"/>
      <c r="BC254" s="450"/>
      <c r="BD254" s="450"/>
      <c r="BE254" s="450"/>
      <c r="BF254" s="450"/>
      <c r="BG254" s="450"/>
      <c r="BH254" s="450"/>
      <c r="BI254" s="450"/>
      <c r="BJ254" s="450"/>
      <c r="BK254" s="450"/>
      <c r="BL254" s="450"/>
      <c r="BM254" s="450"/>
      <c r="BN254" s="450"/>
      <c r="BO254" s="450"/>
      <c r="BP254" s="450"/>
      <c r="BQ254" s="450"/>
      <c r="BR254" s="450"/>
      <c r="BS254" s="450"/>
      <c r="BT254" s="450"/>
      <c r="BU254" s="450"/>
      <c r="BV254" s="450"/>
      <c r="BW254" s="450"/>
      <c r="BX254" s="450"/>
      <c r="BY254" s="450"/>
      <c r="BZ254" s="450"/>
      <c r="CA254" s="450"/>
      <c r="CB254" s="450"/>
      <c r="CC254" s="450"/>
      <c r="CD254" s="450"/>
      <c r="CE254" s="450"/>
      <c r="CF254" s="450"/>
      <c r="CG254" s="450"/>
      <c r="CH254" s="450"/>
      <c r="CI254" s="450"/>
      <c r="CJ254" s="450"/>
      <c r="CK254" s="450"/>
      <c r="CL254" s="450"/>
      <c r="CM254" s="450"/>
      <c r="CN254" s="450"/>
      <c r="CO254" s="450"/>
      <c r="CP254" s="450"/>
      <c r="CQ254" s="450"/>
      <c r="CR254" s="450"/>
      <c r="CS254" s="450"/>
      <c r="CT254" s="450"/>
      <c r="CU254" s="450"/>
      <c r="CV254" s="450"/>
      <c r="CW254" s="450"/>
      <c r="CX254" s="450"/>
      <c r="CY254" s="450"/>
      <c r="CZ254" s="450"/>
      <c r="DA254" s="450"/>
      <c r="DB254" s="450"/>
      <c r="DC254" s="450"/>
      <c r="DD254" s="450"/>
      <c r="DE254" s="450"/>
      <c r="DF254" s="450"/>
      <c r="DG254" s="450"/>
      <c r="DH254" s="450"/>
      <c r="DI254" s="450"/>
      <c r="DJ254" s="450"/>
      <c r="DK254" s="450"/>
      <c r="DL254" s="450"/>
      <c r="DM254" s="450"/>
      <c r="DN254" s="450"/>
      <c r="DO254" s="450"/>
      <c r="DP254" s="450"/>
      <c r="DQ254" s="450"/>
      <c r="DR254" s="450"/>
      <c r="DS254" s="450"/>
      <c r="DT254" s="450"/>
      <c r="DU254" s="450"/>
      <c r="DV254" s="450"/>
      <c r="DW254" s="450"/>
      <c r="DX254" s="450"/>
      <c r="DY254" s="450"/>
      <c r="DZ254" s="450"/>
      <c r="EA254" s="450"/>
      <c r="EB254" s="450"/>
      <c r="EC254" s="450"/>
      <c r="ED254" s="450"/>
      <c r="EE254" s="450"/>
      <c r="EF254" s="450"/>
    </row>
    <row r="255" spans="1:136" s="1681" customFormat="1" ht="70.2" customHeight="1">
      <c r="A255" s="2845"/>
      <c r="B255" s="2728"/>
      <c r="C255" s="2849"/>
      <c r="D255" s="185" t="s">
        <v>1110</v>
      </c>
      <c r="E255" s="1528">
        <f>SUM(E254:E254)</f>
        <v>0</v>
      </c>
      <c r="F255" s="1808" t="e">
        <f t="shared" ref="F255:F262" si="184">H255/E255-1</f>
        <v>#REF!</v>
      </c>
      <c r="G255" s="1528">
        <f>SUM(G254:G254)</f>
        <v>890.596</v>
      </c>
      <c r="H255" s="1528" t="e">
        <f>SUM(H254,#REF!,#REF!,#REF!,)</f>
        <v>#REF!</v>
      </c>
      <c r="I255" s="1547" t="e">
        <f t="shared" ref="I255" si="185">K255/H255-1</f>
        <v>#REF!</v>
      </c>
      <c r="J255" s="1528" t="e">
        <f>SUM(J254,#REF!,#REF!,#REF!,)</f>
        <v>#REF!</v>
      </c>
      <c r="K255" s="1528"/>
      <c r="L255" s="212">
        <f>L254</f>
        <v>4</v>
      </c>
      <c r="M255" s="1528">
        <f>M254</f>
        <v>10</v>
      </c>
      <c r="N255" s="2080"/>
      <c r="O255" s="212">
        <f>O254</f>
        <v>10</v>
      </c>
      <c r="P255" s="1528">
        <f>P254</f>
        <v>10</v>
      </c>
      <c r="Q255" s="212">
        <f>Q254</f>
        <v>10</v>
      </c>
      <c r="R255" s="1528">
        <f>R254</f>
        <v>10</v>
      </c>
      <c r="S255" s="2779"/>
      <c r="T255" s="2780"/>
      <c r="U255" s="2829"/>
      <c r="V255" s="2766"/>
      <c r="W255" s="2694"/>
      <c r="X255" s="2766"/>
      <c r="Y255" s="2766"/>
      <c r="Z255" s="2766"/>
      <c r="AA255" s="2764"/>
      <c r="AB255" s="2764"/>
      <c r="AC255" s="2790"/>
      <c r="AE255" s="450"/>
      <c r="AF255" s="450"/>
      <c r="AG255" s="450"/>
      <c r="AH255" s="450"/>
      <c r="AI255" s="450"/>
      <c r="AJ255" s="450"/>
      <c r="AK255" s="450"/>
      <c r="AL255" s="450"/>
      <c r="AM255" s="450"/>
      <c r="AN255" s="450"/>
      <c r="AO255" s="450"/>
      <c r="AP255" s="450"/>
      <c r="AQ255" s="450"/>
      <c r="AR255" s="450"/>
      <c r="AS255" s="450"/>
      <c r="AT255" s="450"/>
      <c r="AU255" s="450"/>
      <c r="AV255" s="450"/>
      <c r="AW255" s="450"/>
      <c r="AX255" s="450"/>
      <c r="AY255" s="450"/>
      <c r="AZ255" s="450"/>
      <c r="BA255" s="450"/>
      <c r="BB255" s="450"/>
      <c r="BC255" s="450"/>
      <c r="BD255" s="450"/>
      <c r="BE255" s="450"/>
      <c r="BF255" s="450"/>
      <c r="BG255" s="450"/>
      <c r="BH255" s="450"/>
      <c r="BI255" s="450"/>
      <c r="BJ255" s="450"/>
      <c r="BK255" s="450"/>
      <c r="BL255" s="450"/>
      <c r="BM255" s="450"/>
      <c r="BN255" s="450"/>
      <c r="BO255" s="450"/>
      <c r="BP255" s="450"/>
      <c r="BQ255" s="450"/>
      <c r="BR255" s="450"/>
      <c r="BS255" s="450"/>
      <c r="BT255" s="450"/>
      <c r="BU255" s="450"/>
      <c r="BV255" s="450"/>
      <c r="BW255" s="450"/>
      <c r="BX255" s="450"/>
      <c r="BY255" s="450"/>
      <c r="BZ255" s="450"/>
      <c r="CA255" s="450"/>
      <c r="CB255" s="450"/>
      <c r="CC255" s="450"/>
      <c r="CD255" s="450"/>
      <c r="CE255" s="450"/>
      <c r="CF255" s="450"/>
      <c r="CG255" s="450"/>
      <c r="CH255" s="450"/>
      <c r="CI255" s="450"/>
      <c r="CJ255" s="450"/>
      <c r="CK255" s="450"/>
      <c r="CL255" s="450"/>
      <c r="CM255" s="450"/>
      <c r="CN255" s="450"/>
      <c r="CO255" s="450"/>
      <c r="CP255" s="450"/>
      <c r="CQ255" s="450"/>
      <c r="CR255" s="450"/>
      <c r="CS255" s="450"/>
      <c r="CT255" s="450"/>
      <c r="CU255" s="450"/>
      <c r="CV255" s="450"/>
      <c r="CW255" s="450"/>
      <c r="CX255" s="450"/>
      <c r="CY255" s="450"/>
      <c r="CZ255" s="450"/>
      <c r="DA255" s="450"/>
      <c r="DB255" s="450"/>
      <c r="DC255" s="450"/>
      <c r="DD255" s="450"/>
      <c r="DE255" s="450"/>
      <c r="DF255" s="450"/>
      <c r="DG255" s="450"/>
      <c r="DH255" s="450"/>
      <c r="DI255" s="450"/>
      <c r="DJ255" s="450"/>
      <c r="DK255" s="450"/>
      <c r="DL255" s="450"/>
      <c r="DM255" s="450"/>
      <c r="DN255" s="450"/>
      <c r="DO255" s="450"/>
      <c r="DP255" s="450"/>
      <c r="DQ255" s="450"/>
      <c r="DR255" s="450"/>
      <c r="DS255" s="450"/>
      <c r="DT255" s="450"/>
      <c r="DU255" s="450"/>
      <c r="DV255" s="450"/>
      <c r="DW255" s="450"/>
      <c r="DX255" s="450"/>
      <c r="DY255" s="450"/>
      <c r="DZ255" s="450"/>
      <c r="EA255" s="450"/>
      <c r="EB255" s="450"/>
      <c r="EC255" s="450"/>
      <c r="ED255" s="450"/>
      <c r="EE255" s="450"/>
      <c r="EF255" s="450"/>
    </row>
    <row r="256" spans="1:136" s="1681" customFormat="1" ht="30.6" hidden="1" customHeight="1">
      <c r="A256" s="1967"/>
      <c r="B256" s="1975" t="s">
        <v>1130</v>
      </c>
      <c r="C256" s="1968"/>
      <c r="D256" s="1969"/>
      <c r="E256" s="1543"/>
      <c r="F256" s="1970"/>
      <c r="G256" s="1543"/>
      <c r="H256" s="1543"/>
      <c r="I256" s="1971"/>
      <c r="J256" s="1543"/>
      <c r="K256" s="1543"/>
      <c r="L256" s="445">
        <v>2</v>
      </c>
      <c r="M256" s="1543"/>
      <c r="N256" s="2084"/>
      <c r="O256" s="298"/>
      <c r="P256" s="1543"/>
      <c r="Q256" s="298"/>
      <c r="R256" s="1543"/>
      <c r="S256" s="1972"/>
      <c r="T256" s="1930"/>
      <c r="U256" s="2829"/>
      <c r="V256" s="1973"/>
      <c r="W256" s="1008"/>
      <c r="X256" s="604"/>
      <c r="Y256" s="604"/>
      <c r="Z256" s="1417"/>
      <c r="AA256" s="1974"/>
      <c r="AB256" s="1974"/>
      <c r="AC256" s="1973"/>
      <c r="AE256" s="450"/>
      <c r="AF256" s="450"/>
      <c r="AG256" s="450"/>
      <c r="AH256" s="450"/>
      <c r="AI256" s="450"/>
      <c r="AJ256" s="450"/>
      <c r="AK256" s="450"/>
      <c r="AL256" s="450"/>
      <c r="AM256" s="450"/>
      <c r="AN256" s="450"/>
      <c r="AO256" s="450"/>
      <c r="AP256" s="450"/>
      <c r="AQ256" s="450"/>
      <c r="AR256" s="450"/>
      <c r="AS256" s="450"/>
      <c r="AT256" s="450"/>
      <c r="AU256" s="450"/>
      <c r="AV256" s="450"/>
      <c r="AW256" s="450"/>
      <c r="AX256" s="450"/>
      <c r="AY256" s="450"/>
      <c r="AZ256" s="450"/>
      <c r="BA256" s="450"/>
      <c r="BB256" s="450"/>
      <c r="BC256" s="450"/>
      <c r="BD256" s="450"/>
      <c r="BE256" s="450"/>
      <c r="BF256" s="450"/>
      <c r="BG256" s="450"/>
      <c r="BH256" s="450"/>
      <c r="BI256" s="450"/>
      <c r="BJ256" s="450"/>
      <c r="BK256" s="450"/>
      <c r="BL256" s="450"/>
      <c r="BM256" s="450"/>
      <c r="BN256" s="450"/>
      <c r="BO256" s="450"/>
      <c r="BP256" s="450"/>
      <c r="BQ256" s="450"/>
      <c r="BR256" s="450"/>
      <c r="BS256" s="450"/>
      <c r="BT256" s="450"/>
      <c r="BU256" s="450"/>
      <c r="BV256" s="450"/>
      <c r="BW256" s="450"/>
      <c r="BX256" s="450"/>
      <c r="BY256" s="450"/>
      <c r="BZ256" s="450"/>
      <c r="CA256" s="450"/>
      <c r="CB256" s="450"/>
      <c r="CC256" s="450"/>
      <c r="CD256" s="450"/>
      <c r="CE256" s="450"/>
      <c r="CF256" s="450"/>
      <c r="CG256" s="450"/>
      <c r="CH256" s="450"/>
      <c r="CI256" s="450"/>
      <c r="CJ256" s="450"/>
      <c r="CK256" s="450"/>
      <c r="CL256" s="450"/>
      <c r="CM256" s="450"/>
      <c r="CN256" s="450"/>
      <c r="CO256" s="450"/>
      <c r="CP256" s="450"/>
      <c r="CQ256" s="450"/>
      <c r="CR256" s="450"/>
      <c r="CS256" s="450"/>
      <c r="CT256" s="450"/>
      <c r="CU256" s="450"/>
      <c r="CV256" s="450"/>
      <c r="CW256" s="450"/>
      <c r="CX256" s="450"/>
      <c r="CY256" s="450"/>
      <c r="CZ256" s="450"/>
      <c r="DA256" s="450"/>
      <c r="DB256" s="450"/>
      <c r="DC256" s="450"/>
      <c r="DD256" s="450"/>
      <c r="DE256" s="450"/>
      <c r="DF256" s="450"/>
      <c r="DG256" s="450"/>
      <c r="DH256" s="450"/>
      <c r="DI256" s="450"/>
      <c r="DJ256" s="450"/>
      <c r="DK256" s="450"/>
      <c r="DL256" s="450"/>
      <c r="DM256" s="450"/>
      <c r="DN256" s="450"/>
      <c r="DO256" s="450"/>
      <c r="DP256" s="450"/>
      <c r="DQ256" s="450"/>
      <c r="DR256" s="450"/>
      <c r="DS256" s="450"/>
      <c r="DT256" s="450"/>
      <c r="DU256" s="450"/>
      <c r="DV256" s="450"/>
      <c r="DW256" s="450"/>
      <c r="DX256" s="450"/>
      <c r="DY256" s="450"/>
      <c r="DZ256" s="450"/>
      <c r="EA256" s="450"/>
      <c r="EB256" s="450"/>
      <c r="EC256" s="450"/>
      <c r="ED256" s="450"/>
      <c r="EE256" s="450"/>
      <c r="EF256" s="450"/>
    </row>
    <row r="257" spans="1:136" s="1681" customFormat="1" ht="33.6" hidden="1" customHeight="1">
      <c r="A257" s="1967"/>
      <c r="B257" s="1975" t="s">
        <v>1104</v>
      </c>
      <c r="C257" s="1968"/>
      <c r="D257" s="1969"/>
      <c r="E257" s="1543"/>
      <c r="F257" s="1970"/>
      <c r="G257" s="1543"/>
      <c r="H257" s="1543"/>
      <c r="I257" s="1971"/>
      <c r="J257" s="1543"/>
      <c r="K257" s="1543"/>
      <c r="L257" s="445">
        <v>2</v>
      </c>
      <c r="M257" s="1543"/>
      <c r="N257" s="2084"/>
      <c r="O257" s="298"/>
      <c r="P257" s="1543"/>
      <c r="Q257" s="298"/>
      <c r="R257" s="1543"/>
      <c r="S257" s="1972"/>
      <c r="T257" s="1930"/>
      <c r="U257" s="2829"/>
      <c r="V257" s="1973"/>
      <c r="W257" s="1008"/>
      <c r="X257" s="604"/>
      <c r="Y257" s="604"/>
      <c r="Z257" s="1417"/>
      <c r="AA257" s="1974"/>
      <c r="AB257" s="1974"/>
      <c r="AC257" s="1973"/>
      <c r="AE257" s="450"/>
      <c r="AF257" s="450"/>
      <c r="AG257" s="450"/>
      <c r="AH257" s="450"/>
      <c r="AI257" s="450"/>
      <c r="AJ257" s="450"/>
      <c r="AK257" s="450"/>
      <c r="AL257" s="450"/>
      <c r="AM257" s="450"/>
      <c r="AN257" s="450"/>
      <c r="AO257" s="450"/>
      <c r="AP257" s="450"/>
      <c r="AQ257" s="450"/>
      <c r="AR257" s="450"/>
      <c r="AS257" s="450"/>
      <c r="AT257" s="450"/>
      <c r="AU257" s="450"/>
      <c r="AV257" s="450"/>
      <c r="AW257" s="450"/>
      <c r="AX257" s="450"/>
      <c r="AY257" s="450"/>
      <c r="AZ257" s="450"/>
      <c r="BA257" s="450"/>
      <c r="BB257" s="450"/>
      <c r="BC257" s="450"/>
      <c r="BD257" s="450"/>
      <c r="BE257" s="450"/>
      <c r="BF257" s="450"/>
      <c r="BG257" s="450"/>
      <c r="BH257" s="450"/>
      <c r="BI257" s="450"/>
      <c r="BJ257" s="450"/>
      <c r="BK257" s="450"/>
      <c r="BL257" s="450"/>
      <c r="BM257" s="450"/>
      <c r="BN257" s="450"/>
      <c r="BO257" s="450"/>
      <c r="BP257" s="450"/>
      <c r="BQ257" s="450"/>
      <c r="BR257" s="450"/>
      <c r="BS257" s="450"/>
      <c r="BT257" s="450"/>
      <c r="BU257" s="450"/>
      <c r="BV257" s="450"/>
      <c r="BW257" s="450"/>
      <c r="BX257" s="450"/>
      <c r="BY257" s="450"/>
      <c r="BZ257" s="450"/>
      <c r="CA257" s="450"/>
      <c r="CB257" s="450"/>
      <c r="CC257" s="450"/>
      <c r="CD257" s="450"/>
      <c r="CE257" s="450"/>
      <c r="CF257" s="450"/>
      <c r="CG257" s="450"/>
      <c r="CH257" s="450"/>
      <c r="CI257" s="450"/>
      <c r="CJ257" s="450"/>
      <c r="CK257" s="450"/>
      <c r="CL257" s="450"/>
      <c r="CM257" s="450"/>
      <c r="CN257" s="450"/>
      <c r="CO257" s="450"/>
      <c r="CP257" s="450"/>
      <c r="CQ257" s="450"/>
      <c r="CR257" s="450"/>
      <c r="CS257" s="450"/>
      <c r="CT257" s="450"/>
      <c r="CU257" s="450"/>
      <c r="CV257" s="450"/>
      <c r="CW257" s="450"/>
      <c r="CX257" s="450"/>
      <c r="CY257" s="450"/>
      <c r="CZ257" s="450"/>
      <c r="DA257" s="450"/>
      <c r="DB257" s="450"/>
      <c r="DC257" s="450"/>
      <c r="DD257" s="450"/>
      <c r="DE257" s="450"/>
      <c r="DF257" s="450"/>
      <c r="DG257" s="450"/>
      <c r="DH257" s="450"/>
      <c r="DI257" s="450"/>
      <c r="DJ257" s="450"/>
      <c r="DK257" s="450"/>
      <c r="DL257" s="450"/>
      <c r="DM257" s="450"/>
      <c r="DN257" s="450"/>
      <c r="DO257" s="450"/>
      <c r="DP257" s="450"/>
      <c r="DQ257" s="450"/>
      <c r="DR257" s="450"/>
      <c r="DS257" s="450"/>
      <c r="DT257" s="450"/>
      <c r="DU257" s="450"/>
      <c r="DV257" s="450"/>
      <c r="DW257" s="450"/>
      <c r="DX257" s="450"/>
      <c r="DY257" s="450"/>
      <c r="DZ257" s="450"/>
      <c r="EA257" s="450"/>
      <c r="EB257" s="450"/>
      <c r="EC257" s="450"/>
      <c r="ED257" s="450"/>
      <c r="EE257" s="450"/>
      <c r="EF257" s="450"/>
    </row>
    <row r="258" spans="1:136" ht="39" customHeight="1">
      <c r="A258" s="2845" t="s">
        <v>1931</v>
      </c>
      <c r="B258" s="2728" t="s">
        <v>3397</v>
      </c>
      <c r="C258" s="2806">
        <v>188711925</v>
      </c>
      <c r="D258" s="276" t="s">
        <v>470</v>
      </c>
      <c r="E258" s="213">
        <v>4</v>
      </c>
      <c r="F258" s="291">
        <f t="shared" si="184"/>
        <v>0</v>
      </c>
      <c r="G258" s="213">
        <v>5</v>
      </c>
      <c r="H258" s="213">
        <v>4</v>
      </c>
      <c r="I258" s="442">
        <f t="shared" ref="I258:I267" si="186">K258/H258-1</f>
        <v>9</v>
      </c>
      <c r="J258" s="216">
        <v>40</v>
      </c>
      <c r="K258" s="213">
        <v>40</v>
      </c>
      <c r="L258" s="213">
        <v>50</v>
      </c>
      <c r="M258" s="1527">
        <v>53.7</v>
      </c>
      <c r="N258" s="2079">
        <f t="shared" si="144"/>
        <v>0.25</v>
      </c>
      <c r="O258" s="213">
        <v>60</v>
      </c>
      <c r="P258" s="1527">
        <v>60</v>
      </c>
      <c r="Q258" s="213">
        <v>60</v>
      </c>
      <c r="R258" s="1527">
        <v>60</v>
      </c>
      <c r="S258" s="2796" t="s">
        <v>1770</v>
      </c>
      <c r="T258" s="2698" t="s">
        <v>3663</v>
      </c>
      <c r="U258" s="2829"/>
      <c r="V258" s="2766" t="s">
        <v>1606</v>
      </c>
      <c r="W258" s="2766" t="s">
        <v>1127</v>
      </c>
      <c r="X258" s="2766" t="s">
        <v>403</v>
      </c>
      <c r="Y258" s="2766" t="s">
        <v>1425</v>
      </c>
      <c r="Z258" s="2766" t="s">
        <v>1425</v>
      </c>
      <c r="AA258" s="2766" t="s">
        <v>3095</v>
      </c>
      <c r="AB258" s="2764" t="s">
        <v>3096</v>
      </c>
      <c r="AC258" s="2766" t="s">
        <v>851</v>
      </c>
    </row>
    <row r="259" spans="1:136" ht="39" customHeight="1">
      <c r="A259" s="2845"/>
      <c r="B259" s="2728"/>
      <c r="C259" s="2806"/>
      <c r="D259" s="301" t="s">
        <v>1110</v>
      </c>
      <c r="E259" s="212">
        <f>E258</f>
        <v>4</v>
      </c>
      <c r="F259" s="294">
        <f t="shared" si="184"/>
        <v>0</v>
      </c>
      <c r="G259" s="212">
        <f t="shared" ref="G259:K259" si="187">G258</f>
        <v>5</v>
      </c>
      <c r="H259" s="212">
        <f t="shared" ref="H259" si="188">H258</f>
        <v>4</v>
      </c>
      <c r="I259" s="452">
        <f t="shared" si="186"/>
        <v>9</v>
      </c>
      <c r="J259" s="257">
        <f>J258</f>
        <v>40</v>
      </c>
      <c r="K259" s="212">
        <f t="shared" si="187"/>
        <v>40</v>
      </c>
      <c r="L259" s="212">
        <f t="shared" ref="L259:R259" si="189">L258</f>
        <v>50</v>
      </c>
      <c r="M259" s="1528">
        <f t="shared" si="189"/>
        <v>53.7</v>
      </c>
      <c r="N259" s="2080">
        <f t="shared" si="144"/>
        <v>0.25</v>
      </c>
      <c r="O259" s="212">
        <f t="shared" si="189"/>
        <v>60</v>
      </c>
      <c r="P259" s="1528">
        <f t="shared" si="189"/>
        <v>60</v>
      </c>
      <c r="Q259" s="212">
        <f t="shared" si="189"/>
        <v>60</v>
      </c>
      <c r="R259" s="1528">
        <f t="shared" si="189"/>
        <v>60</v>
      </c>
      <c r="S259" s="2796"/>
      <c r="T259" s="2836"/>
      <c r="U259" s="2829"/>
      <c r="V259" s="2766"/>
      <c r="W259" s="2766"/>
      <c r="X259" s="2766"/>
      <c r="Y259" s="2766"/>
      <c r="Z259" s="2766"/>
      <c r="AA259" s="2766"/>
      <c r="AB259" s="2764"/>
      <c r="AC259" s="2766"/>
      <c r="AD259" s="303" t="s">
        <v>2612</v>
      </c>
    </row>
    <row r="260" spans="1:136" ht="39" customHeight="1">
      <c r="A260" s="2791" t="s">
        <v>1932</v>
      </c>
      <c r="B260" s="2703" t="s">
        <v>1121</v>
      </c>
      <c r="C260" s="2806">
        <v>188711925</v>
      </c>
      <c r="D260" s="276" t="s">
        <v>470</v>
      </c>
      <c r="E260" s="213">
        <v>7.5</v>
      </c>
      <c r="F260" s="291">
        <f t="shared" si="184"/>
        <v>-1</v>
      </c>
      <c r="G260" s="213">
        <v>5</v>
      </c>
      <c r="H260" s="213">
        <v>0</v>
      </c>
      <c r="I260" s="442"/>
      <c r="J260" s="216"/>
      <c r="K260" s="213">
        <v>0.5</v>
      </c>
      <c r="L260" s="213">
        <v>0.5</v>
      </c>
      <c r="M260" s="1527">
        <v>0.5</v>
      </c>
      <c r="N260" s="2079">
        <f t="shared" si="144"/>
        <v>0</v>
      </c>
      <c r="O260" s="213">
        <v>0.5</v>
      </c>
      <c r="P260" s="1527">
        <v>0.5</v>
      </c>
      <c r="Q260" s="213">
        <v>0.5</v>
      </c>
      <c r="R260" s="1527">
        <v>0.5</v>
      </c>
      <c r="S260" s="2796" t="s">
        <v>2170</v>
      </c>
      <c r="T260" s="2704" t="s">
        <v>3965</v>
      </c>
      <c r="U260" s="2829"/>
      <c r="V260" s="2766" t="s">
        <v>1607</v>
      </c>
      <c r="W260" s="2694" t="s">
        <v>3664</v>
      </c>
      <c r="X260" s="2766" t="s">
        <v>142</v>
      </c>
      <c r="Y260" s="2766" t="s">
        <v>2327</v>
      </c>
      <c r="Z260" s="2766" t="s">
        <v>308</v>
      </c>
      <c r="AA260" s="2766" t="s">
        <v>9</v>
      </c>
      <c r="AB260" s="2764" t="s">
        <v>1306</v>
      </c>
      <c r="AC260" s="2766" t="s">
        <v>2171</v>
      </c>
    </row>
    <row r="261" spans="1:136" ht="39" customHeight="1">
      <c r="A261" s="2791"/>
      <c r="B261" s="2703"/>
      <c r="C261" s="2806"/>
      <c r="D261" s="301" t="s">
        <v>1110</v>
      </c>
      <c r="E261" s="212">
        <f>E260</f>
        <v>7.5</v>
      </c>
      <c r="F261" s="294">
        <f t="shared" si="184"/>
        <v>-1</v>
      </c>
      <c r="G261" s="212">
        <f t="shared" ref="G261:O261" si="190">G260</f>
        <v>5</v>
      </c>
      <c r="H261" s="212">
        <f t="shared" ref="H261" si="191">H260</f>
        <v>0</v>
      </c>
      <c r="I261" s="452"/>
      <c r="J261" s="257"/>
      <c r="K261" s="212">
        <f t="shared" si="190"/>
        <v>0.5</v>
      </c>
      <c r="L261" s="212">
        <f t="shared" si="190"/>
        <v>0.5</v>
      </c>
      <c r="M261" s="1528">
        <f t="shared" ref="M261" si="192">M260</f>
        <v>0.5</v>
      </c>
      <c r="N261" s="2080">
        <f t="shared" si="144"/>
        <v>0</v>
      </c>
      <c r="O261" s="212">
        <f t="shared" si="190"/>
        <v>0.5</v>
      </c>
      <c r="P261" s="1528">
        <f t="shared" ref="P261:Q261" si="193">P260</f>
        <v>0.5</v>
      </c>
      <c r="Q261" s="212">
        <f t="shared" si="193"/>
        <v>0.5</v>
      </c>
      <c r="R261" s="1528">
        <f t="shared" ref="R261" si="194">R260</f>
        <v>0.5</v>
      </c>
      <c r="S261" s="2796"/>
      <c r="T261" s="2734"/>
      <c r="U261" s="2829"/>
      <c r="V261" s="2766"/>
      <c r="W261" s="2694"/>
      <c r="X261" s="2766"/>
      <c r="Y261" s="2766"/>
      <c r="Z261" s="2766"/>
      <c r="AA261" s="2766"/>
      <c r="AB261" s="2764"/>
      <c r="AC261" s="2766"/>
    </row>
    <row r="262" spans="1:136" ht="66" customHeight="1">
      <c r="A262" s="214" t="s">
        <v>2842</v>
      </c>
      <c r="B262" s="663" t="s">
        <v>1938</v>
      </c>
      <c r="C262" s="304"/>
      <c r="D262" s="305"/>
      <c r="E262" s="206" t="e">
        <f>SUM(E267,E291,#REF!,E305,E328)</f>
        <v>#REF!</v>
      </c>
      <c r="F262" s="288" t="e">
        <f t="shared" si="184"/>
        <v>#REF!</v>
      </c>
      <c r="G262" s="206" t="e">
        <f>SUM(G267,G291,#REF!,G305,G328)</f>
        <v>#REF!</v>
      </c>
      <c r="H262" s="206">
        <f>SUM(H267,H291,H296,H305,H328,H346,H348,)</f>
        <v>4041.4690000000001</v>
      </c>
      <c r="I262" s="443">
        <f t="shared" si="186"/>
        <v>0.17873080308175093</v>
      </c>
      <c r="J262" s="206">
        <f t="shared" ref="J262:R262" si="195">SUM(J267,J291,J296,J305,J328,J346,J348,)</f>
        <v>4433.0820000000003</v>
      </c>
      <c r="K262" s="206">
        <f t="shared" si="195"/>
        <v>4763.804000000001</v>
      </c>
      <c r="L262" s="206">
        <f>SUM(L267,L291,L296,L305,L328,L346,L348,)</f>
        <v>2402.7199999999998</v>
      </c>
      <c r="M262" s="206">
        <f t="shared" ref="M262:Q262" si="196">SUM(M267,M291,M296,M305,M328,M346,M348,)</f>
        <v>2402.7199999999998</v>
      </c>
      <c r="N262" s="206">
        <f t="shared" si="196"/>
        <v>-0.78420762336260452</v>
      </c>
      <c r="O262" s="206">
        <f t="shared" si="196"/>
        <v>602.06099999999992</v>
      </c>
      <c r="P262" s="206">
        <f t="shared" si="196"/>
        <v>262.01499999999999</v>
      </c>
      <c r="Q262" s="206">
        <f t="shared" si="196"/>
        <v>22.015000000000001</v>
      </c>
      <c r="R262" s="1532">
        <f t="shared" si="195"/>
        <v>22.015000000000001</v>
      </c>
      <c r="S262" s="179" t="s">
        <v>2620</v>
      </c>
      <c r="T262" s="197"/>
      <c r="U262" s="2829"/>
      <c r="V262" s="180" t="s">
        <v>1608</v>
      </c>
      <c r="W262" s="196" t="s">
        <v>1441</v>
      </c>
      <c r="X262" s="196">
        <v>0</v>
      </c>
      <c r="Y262" s="196">
        <v>7</v>
      </c>
      <c r="Z262" s="196">
        <v>7</v>
      </c>
      <c r="AA262" s="196">
        <v>2</v>
      </c>
      <c r="AB262" s="196">
        <v>2</v>
      </c>
      <c r="AC262" s="215" t="s">
        <v>1441</v>
      </c>
    </row>
    <row r="263" spans="1:136" ht="39" customHeight="1">
      <c r="A263" s="2791" t="s">
        <v>2574</v>
      </c>
      <c r="B263" s="2703" t="s">
        <v>2822</v>
      </c>
      <c r="C263" s="2806" t="s">
        <v>3016</v>
      </c>
      <c r="D263" s="1352" t="s">
        <v>246</v>
      </c>
      <c r="E263" s="213"/>
      <c r="F263" s="291"/>
      <c r="G263" s="213">
        <v>890.596</v>
      </c>
      <c r="H263" s="213">
        <v>890.596</v>
      </c>
      <c r="I263" s="442">
        <f t="shared" si="186"/>
        <v>0.10065843547467068</v>
      </c>
      <c r="J263" s="216">
        <f>SUM(J268,J273,J278,J283)</f>
        <v>980.24199999999985</v>
      </c>
      <c r="K263" s="213">
        <f>SUM(K268,K273,K278,K283)</f>
        <v>980.24199999999985</v>
      </c>
      <c r="L263" s="213">
        <f>SUM(L268,L273,L278,L283)</f>
        <v>120.881</v>
      </c>
      <c r="M263" s="1527">
        <f>SUM(M268,M273,M278,M283)</f>
        <v>120.881</v>
      </c>
      <c r="N263" s="2079">
        <f>SUM(L263-K263)/K263</f>
        <v>-0.87668249269058052</v>
      </c>
      <c r="O263" s="213"/>
      <c r="P263" s="1527"/>
      <c r="Q263" s="213"/>
      <c r="R263" s="1527"/>
      <c r="S263" s="2796" t="s">
        <v>2162</v>
      </c>
      <c r="T263" s="2701" t="s">
        <v>4103</v>
      </c>
      <c r="U263" s="2829"/>
      <c r="V263" s="2766" t="s">
        <v>1609</v>
      </c>
      <c r="W263" s="2694" t="s">
        <v>3665</v>
      </c>
      <c r="X263" s="2766" t="s">
        <v>1306</v>
      </c>
      <c r="Y263" s="2766" t="s">
        <v>308</v>
      </c>
      <c r="Z263" s="2766" t="s">
        <v>4091</v>
      </c>
      <c r="AA263" s="2764" t="s">
        <v>433</v>
      </c>
      <c r="AB263" s="2764" t="s">
        <v>433</v>
      </c>
      <c r="AC263" s="2766" t="s">
        <v>2793</v>
      </c>
    </row>
    <row r="264" spans="1:136" ht="39" customHeight="1">
      <c r="A264" s="2791"/>
      <c r="B264" s="2703"/>
      <c r="C264" s="2806"/>
      <c r="D264" s="276" t="s">
        <v>2747</v>
      </c>
      <c r="E264" s="213">
        <v>60.359000000000002</v>
      </c>
      <c r="F264" s="291">
        <f>H264/E264-1</f>
        <v>0.73796782584204501</v>
      </c>
      <c r="G264" s="213">
        <v>104.902</v>
      </c>
      <c r="H264" s="213">
        <v>104.902</v>
      </c>
      <c r="I264" s="442">
        <f t="shared" si="186"/>
        <v>1.3128348363234257</v>
      </c>
      <c r="J264" s="216">
        <f>SUM(J270,J271,J275,J276,J280,J281,J285,J286)</f>
        <v>242.62100000000001</v>
      </c>
      <c r="K264" s="213">
        <f>SUM(K270,K271,K275,K276,K280,K281,K285,K286)</f>
        <v>242.62100000000001</v>
      </c>
      <c r="L264" s="213">
        <v>104.02800000000001</v>
      </c>
      <c r="M264" s="1527"/>
      <c r="N264" s="2079">
        <f>SUM(L266-K264)/K264</f>
        <v>-1</v>
      </c>
      <c r="O264" s="213"/>
      <c r="P264" s="1527"/>
      <c r="Q264" s="213"/>
      <c r="R264" s="1527"/>
      <c r="S264" s="2796"/>
      <c r="T264" s="2780"/>
      <c r="U264" s="2829"/>
      <c r="V264" s="2766"/>
      <c r="W264" s="2694"/>
      <c r="X264" s="2766"/>
      <c r="Y264" s="2766"/>
      <c r="Z264" s="2766"/>
      <c r="AA264" s="2764"/>
      <c r="AB264" s="2764"/>
      <c r="AC264" s="2766"/>
    </row>
    <row r="265" spans="1:136" ht="39" hidden="1" customHeight="1">
      <c r="A265" s="2791"/>
      <c r="B265" s="2703"/>
      <c r="C265" s="2806"/>
      <c r="D265" s="276" t="s">
        <v>412</v>
      </c>
      <c r="E265" s="213"/>
      <c r="F265" s="291"/>
      <c r="G265" s="213">
        <v>260.47000000000003</v>
      </c>
      <c r="H265" s="213">
        <v>260.47000000000003</v>
      </c>
      <c r="I265" s="442">
        <f t="shared" si="186"/>
        <v>-0.35654010058739971</v>
      </c>
      <c r="J265" s="216">
        <f>SUM(J269,J274,J279,J284)</f>
        <v>167.602</v>
      </c>
      <c r="K265" s="213">
        <f t="shared" ref="K265" si="197">SUM(K269,K274,K279,K284)</f>
        <v>167.602</v>
      </c>
      <c r="L265" s="213"/>
      <c r="M265" s="1527"/>
      <c r="N265" s="2079">
        <f t="shared" si="144"/>
        <v>-1</v>
      </c>
      <c r="O265" s="213"/>
      <c r="P265" s="1527"/>
      <c r="Q265" s="213"/>
      <c r="R265" s="1527"/>
      <c r="S265" s="2796"/>
      <c r="T265" s="2780"/>
      <c r="U265" s="2829"/>
      <c r="V265" s="2766"/>
      <c r="W265" s="2694"/>
      <c r="X265" s="2766"/>
      <c r="Y265" s="2766"/>
      <c r="Z265" s="2766"/>
      <c r="AA265" s="2764"/>
      <c r="AB265" s="2764"/>
      <c r="AC265" s="2766"/>
    </row>
    <row r="266" spans="1:136" ht="39" customHeight="1">
      <c r="A266" s="2791"/>
      <c r="B266" s="2703"/>
      <c r="C266" s="2806"/>
      <c r="D266" s="276" t="s">
        <v>470</v>
      </c>
      <c r="E266" s="213"/>
      <c r="F266" s="291"/>
      <c r="G266" s="213"/>
      <c r="H266" s="213"/>
      <c r="I266" s="442"/>
      <c r="J266" s="216"/>
      <c r="K266" s="213"/>
      <c r="L266" s="213"/>
      <c r="M266" s="1527">
        <f>M271</f>
        <v>104.02800000000001</v>
      </c>
      <c r="N266" s="2079"/>
      <c r="O266" s="213"/>
      <c r="P266" s="1527"/>
      <c r="Q266" s="213"/>
      <c r="R266" s="1527"/>
      <c r="S266" s="2796"/>
      <c r="T266" s="2780"/>
      <c r="U266" s="2829"/>
      <c r="V266" s="2766"/>
      <c r="W266" s="2694"/>
      <c r="X266" s="2766"/>
      <c r="Y266" s="2766"/>
      <c r="Z266" s="2766"/>
      <c r="AA266" s="2764"/>
      <c r="AB266" s="2764"/>
      <c r="AC266" s="2766"/>
    </row>
    <row r="267" spans="1:136" ht="39" customHeight="1">
      <c r="A267" s="2791"/>
      <c r="B267" s="2703"/>
      <c r="C267" s="2806"/>
      <c r="D267" s="301" t="s">
        <v>1110</v>
      </c>
      <c r="E267" s="212">
        <f>SUM(E263:E264)</f>
        <v>60.359000000000002</v>
      </c>
      <c r="F267" s="294">
        <f>H267/E267-1</f>
        <v>19.808297022813498</v>
      </c>
      <c r="G267" s="212">
        <f>SUM(G263:G265)</f>
        <v>1255.9680000000001</v>
      </c>
      <c r="H267" s="212">
        <f>SUM(H263,H264,H265,H266,)</f>
        <v>1255.9680000000001</v>
      </c>
      <c r="I267" s="452">
        <f t="shared" si="186"/>
        <v>0.10708632704017917</v>
      </c>
      <c r="J267" s="257">
        <f>SUM(J263,J264,J265,J266,)</f>
        <v>1390.4649999999999</v>
      </c>
      <c r="K267" s="212">
        <f t="shared" ref="K267" si="198">SUM(K263,K264,K265,K266,)</f>
        <v>1390.4649999999999</v>
      </c>
      <c r="L267" s="212">
        <f>SUM(L263,L264,L265,L266,)</f>
        <v>224.90899999999999</v>
      </c>
      <c r="M267" s="1528">
        <f t="shared" ref="M267" si="199">SUM(M263,M264,M265,M266,)</f>
        <v>224.90899999999999</v>
      </c>
      <c r="N267" s="2080">
        <f t="shared" si="144"/>
        <v>-0.8382490749497471</v>
      </c>
      <c r="O267" s="212"/>
      <c r="P267" s="1528"/>
      <c r="Q267" s="212"/>
      <c r="R267" s="1528"/>
      <c r="S267" s="2796"/>
      <c r="T267" s="2780"/>
      <c r="U267" s="2829"/>
      <c r="V267" s="2766"/>
      <c r="W267" s="2694"/>
      <c r="X267" s="2766"/>
      <c r="Y267" s="2766"/>
      <c r="Z267" s="2766"/>
      <c r="AA267" s="2764"/>
      <c r="AB267" s="2764"/>
      <c r="AC267" s="2766"/>
    </row>
    <row r="268" spans="1:136" s="453" customFormat="1" ht="39" hidden="1" customHeight="1">
      <c r="A268" s="2841"/>
      <c r="B268" s="2793" t="s">
        <v>3018</v>
      </c>
      <c r="C268" s="2842"/>
      <c r="D268" s="444" t="s">
        <v>246</v>
      </c>
      <c r="E268" s="445"/>
      <c r="F268" s="468"/>
      <c r="G268" s="445"/>
      <c r="H268" s="445"/>
      <c r="I268" s="445"/>
      <c r="J268" s="447">
        <v>503.30799999999999</v>
      </c>
      <c r="K268" s="445">
        <v>503.30799999999999</v>
      </c>
      <c r="L268" s="445"/>
      <c r="M268" s="1529"/>
      <c r="N268" s="557">
        <f t="shared" si="144"/>
        <v>-1</v>
      </c>
      <c r="O268" s="445"/>
      <c r="P268" s="1529"/>
      <c r="Q268" s="445"/>
      <c r="R268" s="1529"/>
      <c r="S268" s="2797"/>
      <c r="T268" s="2798"/>
      <c r="U268" s="2829"/>
      <c r="V268" s="2781"/>
      <c r="W268" s="2782"/>
      <c r="X268" s="2782"/>
      <c r="Y268" s="2782"/>
      <c r="Z268" s="2782"/>
      <c r="AA268" s="2782"/>
      <c r="AB268" s="2783"/>
      <c r="AC268" s="2837" t="s">
        <v>4090</v>
      </c>
      <c r="AE268" s="274"/>
      <c r="AF268" s="274"/>
      <c r="AG268" s="274"/>
      <c r="AH268" s="274"/>
      <c r="AI268" s="274"/>
      <c r="AJ268" s="274"/>
      <c r="AK268" s="274"/>
      <c r="AL268" s="274"/>
      <c r="AM268" s="274"/>
      <c r="AN268" s="274"/>
      <c r="AO268" s="274"/>
      <c r="AP268" s="274"/>
      <c r="AQ268" s="274"/>
      <c r="AR268" s="274"/>
      <c r="AS268" s="274"/>
      <c r="AT268" s="274"/>
      <c r="AU268" s="274"/>
      <c r="AV268" s="274"/>
      <c r="AW268" s="274"/>
      <c r="AX268" s="274"/>
      <c r="AY268" s="274"/>
      <c r="AZ268" s="274"/>
      <c r="BA268" s="274"/>
      <c r="BB268" s="274"/>
      <c r="BC268" s="274"/>
      <c r="BD268" s="274"/>
      <c r="BE268" s="274"/>
      <c r="BF268" s="274"/>
      <c r="BG268" s="274"/>
      <c r="BH268" s="274"/>
      <c r="BI268" s="274"/>
      <c r="BJ268" s="274"/>
      <c r="BK268" s="274"/>
      <c r="BL268" s="274"/>
      <c r="BM268" s="274"/>
      <c r="BN268" s="274"/>
      <c r="BO268" s="274"/>
      <c r="BP268" s="274"/>
      <c r="BQ268" s="274"/>
      <c r="BR268" s="274"/>
      <c r="BS268" s="274"/>
      <c r="BT268" s="274"/>
      <c r="BU268" s="274"/>
      <c r="BV268" s="274"/>
      <c r="BW268" s="274"/>
      <c r="BX268" s="274"/>
      <c r="BY268" s="274"/>
      <c r="BZ268" s="274"/>
      <c r="CA268" s="274"/>
      <c r="CB268" s="274"/>
      <c r="CC268" s="274"/>
      <c r="CD268" s="274"/>
      <c r="CE268" s="274"/>
      <c r="CF268" s="274"/>
      <c r="CG268" s="274"/>
      <c r="CH268" s="274"/>
      <c r="CI268" s="274"/>
      <c r="CJ268" s="274"/>
      <c r="CK268" s="274"/>
      <c r="CL268" s="274"/>
      <c r="CM268" s="274"/>
      <c r="CN268" s="274"/>
      <c r="CO268" s="274"/>
      <c r="CP268" s="274"/>
      <c r="CQ268" s="274"/>
      <c r="CR268" s="274"/>
      <c r="CS268" s="274"/>
      <c r="CT268" s="274"/>
      <c r="CU268" s="274"/>
      <c r="CV268" s="274"/>
      <c r="CW268" s="274"/>
      <c r="CX268" s="274"/>
      <c r="CY268" s="274"/>
      <c r="CZ268" s="274"/>
      <c r="DA268" s="274"/>
      <c r="DB268" s="274"/>
      <c r="DC268" s="274"/>
      <c r="DD268" s="274"/>
      <c r="DE268" s="274"/>
      <c r="DF268" s="274"/>
      <c r="DG268" s="274"/>
      <c r="DH268" s="274"/>
      <c r="DI268" s="274"/>
      <c r="DJ268" s="274"/>
      <c r="DK268" s="274"/>
      <c r="DL268" s="274"/>
      <c r="DM268" s="274"/>
      <c r="DN268" s="274"/>
      <c r="DO268" s="274"/>
      <c r="DP268" s="274"/>
      <c r="DQ268" s="274"/>
      <c r="DR268" s="274"/>
      <c r="DS268" s="274"/>
      <c r="DT268" s="274"/>
      <c r="DU268" s="274"/>
      <c r="DV268" s="274"/>
      <c r="DW268" s="274"/>
      <c r="DX268" s="274"/>
      <c r="DY268" s="274"/>
      <c r="DZ268" s="274"/>
      <c r="EA268" s="274"/>
      <c r="EB268" s="274"/>
      <c r="EC268" s="274"/>
      <c r="ED268" s="274"/>
      <c r="EE268" s="274"/>
      <c r="EF268" s="274"/>
    </row>
    <row r="269" spans="1:136" s="453" customFormat="1" ht="39" hidden="1" customHeight="1">
      <c r="A269" s="2841"/>
      <c r="B269" s="2793"/>
      <c r="C269" s="2842"/>
      <c r="D269" s="444" t="s">
        <v>412</v>
      </c>
      <c r="E269" s="445"/>
      <c r="F269" s="468"/>
      <c r="G269" s="445"/>
      <c r="H269" s="445"/>
      <c r="I269" s="445"/>
      <c r="J269" s="447">
        <v>89.191999999999993</v>
      </c>
      <c r="K269" s="445">
        <v>89.191999999999993</v>
      </c>
      <c r="L269" s="445"/>
      <c r="M269" s="1529"/>
      <c r="N269" s="557">
        <f t="shared" si="144"/>
        <v>-1</v>
      </c>
      <c r="O269" s="445"/>
      <c r="P269" s="1529"/>
      <c r="Q269" s="445"/>
      <c r="R269" s="1529"/>
      <c r="S269" s="2799"/>
      <c r="T269" s="2800"/>
      <c r="U269" s="2829"/>
      <c r="V269" s="2784"/>
      <c r="W269" s="2785"/>
      <c r="X269" s="2785"/>
      <c r="Y269" s="2785"/>
      <c r="Z269" s="2785"/>
      <c r="AA269" s="2785"/>
      <c r="AB269" s="2786"/>
      <c r="AC269" s="2837"/>
      <c r="AE269" s="274"/>
      <c r="AF269" s="274"/>
      <c r="AG269" s="274"/>
      <c r="AH269" s="274"/>
      <c r="AI269" s="274"/>
      <c r="AJ269" s="274"/>
      <c r="AK269" s="274"/>
      <c r="AL269" s="274"/>
      <c r="AM269" s="274"/>
      <c r="AN269" s="274"/>
      <c r="AO269" s="274"/>
      <c r="AP269" s="274"/>
      <c r="AQ269" s="274"/>
      <c r="AR269" s="274"/>
      <c r="AS269" s="274"/>
      <c r="AT269" s="274"/>
      <c r="AU269" s="274"/>
      <c r="AV269" s="274"/>
      <c r="AW269" s="274"/>
      <c r="AX269" s="274"/>
      <c r="AY269" s="274"/>
      <c r="AZ269" s="274"/>
      <c r="BA269" s="274"/>
      <c r="BB269" s="274"/>
      <c r="BC269" s="274"/>
      <c r="BD269" s="274"/>
      <c r="BE269" s="274"/>
      <c r="BF269" s="274"/>
      <c r="BG269" s="274"/>
      <c r="BH269" s="274"/>
      <c r="BI269" s="274"/>
      <c r="BJ269" s="274"/>
      <c r="BK269" s="274"/>
      <c r="BL269" s="274"/>
      <c r="BM269" s="274"/>
      <c r="BN269" s="274"/>
      <c r="BO269" s="274"/>
      <c r="BP269" s="274"/>
      <c r="BQ269" s="274"/>
      <c r="BR269" s="274"/>
      <c r="BS269" s="274"/>
      <c r="BT269" s="274"/>
      <c r="BU269" s="274"/>
      <c r="BV269" s="274"/>
      <c r="BW269" s="274"/>
      <c r="BX269" s="274"/>
      <c r="BY269" s="274"/>
      <c r="BZ269" s="274"/>
      <c r="CA269" s="274"/>
      <c r="CB269" s="274"/>
      <c r="CC269" s="274"/>
      <c r="CD269" s="274"/>
      <c r="CE269" s="274"/>
      <c r="CF269" s="274"/>
      <c r="CG269" s="274"/>
      <c r="CH269" s="274"/>
      <c r="CI269" s="274"/>
      <c r="CJ269" s="274"/>
      <c r="CK269" s="274"/>
      <c r="CL269" s="274"/>
      <c r="CM269" s="274"/>
      <c r="CN269" s="274"/>
      <c r="CO269" s="274"/>
      <c r="CP269" s="274"/>
      <c r="CQ269" s="274"/>
      <c r="CR269" s="274"/>
      <c r="CS269" s="274"/>
      <c r="CT269" s="274"/>
      <c r="CU269" s="274"/>
      <c r="CV269" s="274"/>
      <c r="CW269" s="274"/>
      <c r="CX269" s="274"/>
      <c r="CY269" s="274"/>
      <c r="CZ269" s="274"/>
      <c r="DA269" s="274"/>
      <c r="DB269" s="274"/>
      <c r="DC269" s="274"/>
      <c r="DD269" s="274"/>
      <c r="DE269" s="274"/>
      <c r="DF269" s="274"/>
      <c r="DG269" s="274"/>
      <c r="DH269" s="274"/>
      <c r="DI269" s="274"/>
      <c r="DJ269" s="274"/>
      <c r="DK269" s="274"/>
      <c r="DL269" s="274"/>
      <c r="DM269" s="274"/>
      <c r="DN269" s="274"/>
      <c r="DO269" s="274"/>
      <c r="DP269" s="274"/>
      <c r="DQ269" s="274"/>
      <c r="DR269" s="274"/>
      <c r="DS269" s="274"/>
      <c r="DT269" s="274"/>
      <c r="DU269" s="274"/>
      <c r="DV269" s="274"/>
      <c r="DW269" s="274"/>
      <c r="DX269" s="274"/>
      <c r="DY269" s="274"/>
      <c r="DZ269" s="274"/>
      <c r="EA269" s="274"/>
      <c r="EB269" s="274"/>
      <c r="EC269" s="274"/>
      <c r="ED269" s="274"/>
      <c r="EE269" s="274"/>
      <c r="EF269" s="274"/>
    </row>
    <row r="270" spans="1:136" s="453" customFormat="1" ht="39" hidden="1" customHeight="1">
      <c r="A270" s="2841"/>
      <c r="B270" s="2793"/>
      <c r="C270" s="2842"/>
      <c r="D270" s="444" t="s">
        <v>2747</v>
      </c>
      <c r="E270" s="445"/>
      <c r="F270" s="468"/>
      <c r="G270" s="445"/>
      <c r="H270" s="445"/>
      <c r="I270" s="445"/>
      <c r="J270" s="447">
        <v>131.12700000000001</v>
      </c>
      <c r="K270" s="445">
        <v>131.12700000000001</v>
      </c>
      <c r="L270" s="445"/>
      <c r="M270" s="1529"/>
      <c r="N270" s="557">
        <f t="shared" si="144"/>
        <v>-1</v>
      </c>
      <c r="O270" s="445"/>
      <c r="P270" s="1529"/>
      <c r="Q270" s="445"/>
      <c r="R270" s="1529"/>
      <c r="S270" s="2799"/>
      <c r="T270" s="2800"/>
      <c r="U270" s="2829"/>
      <c r="V270" s="2784"/>
      <c r="W270" s="2785"/>
      <c r="X270" s="2785"/>
      <c r="Y270" s="2785"/>
      <c r="Z270" s="2785"/>
      <c r="AA270" s="2785"/>
      <c r="AB270" s="2786"/>
      <c r="AC270" s="2837"/>
      <c r="AE270" s="274"/>
      <c r="AF270" s="274"/>
      <c r="AG270" s="274"/>
      <c r="AH270" s="274"/>
      <c r="AI270" s="274"/>
      <c r="AJ270" s="274"/>
      <c r="AK270" s="274"/>
      <c r="AL270" s="274"/>
      <c r="AM270" s="274"/>
      <c r="AN270" s="274"/>
      <c r="AO270" s="274"/>
      <c r="AP270" s="274"/>
      <c r="AQ270" s="274"/>
      <c r="AR270" s="274"/>
      <c r="AS270" s="274"/>
      <c r="AT270" s="274"/>
      <c r="AU270" s="274"/>
      <c r="AV270" s="274"/>
      <c r="AW270" s="274"/>
      <c r="AX270" s="274"/>
      <c r="AY270" s="274"/>
      <c r="AZ270" s="274"/>
      <c r="BA270" s="274"/>
      <c r="BB270" s="274"/>
      <c r="BC270" s="274"/>
      <c r="BD270" s="274"/>
      <c r="BE270" s="274"/>
      <c r="BF270" s="274"/>
      <c r="BG270" s="274"/>
      <c r="BH270" s="274"/>
      <c r="BI270" s="274"/>
      <c r="BJ270" s="274"/>
      <c r="BK270" s="274"/>
      <c r="BL270" s="274"/>
      <c r="BM270" s="274"/>
      <c r="BN270" s="274"/>
      <c r="BO270" s="274"/>
      <c r="BP270" s="274"/>
      <c r="BQ270" s="274"/>
      <c r="BR270" s="274"/>
      <c r="BS270" s="274"/>
      <c r="BT270" s="274"/>
      <c r="BU270" s="274"/>
      <c r="BV270" s="274"/>
      <c r="BW270" s="274"/>
      <c r="BX270" s="274"/>
      <c r="BY270" s="274"/>
      <c r="BZ270" s="274"/>
      <c r="CA270" s="274"/>
      <c r="CB270" s="274"/>
      <c r="CC270" s="274"/>
      <c r="CD270" s="274"/>
      <c r="CE270" s="274"/>
      <c r="CF270" s="274"/>
      <c r="CG270" s="274"/>
      <c r="CH270" s="274"/>
      <c r="CI270" s="274"/>
      <c r="CJ270" s="274"/>
      <c r="CK270" s="274"/>
      <c r="CL270" s="274"/>
      <c r="CM270" s="274"/>
      <c r="CN270" s="274"/>
      <c r="CO270" s="274"/>
      <c r="CP270" s="274"/>
      <c r="CQ270" s="274"/>
      <c r="CR270" s="274"/>
      <c r="CS270" s="274"/>
      <c r="CT270" s="274"/>
      <c r="CU270" s="274"/>
      <c r="CV270" s="274"/>
      <c r="CW270" s="274"/>
      <c r="CX270" s="274"/>
      <c r="CY270" s="274"/>
      <c r="CZ270" s="274"/>
      <c r="DA270" s="274"/>
      <c r="DB270" s="274"/>
      <c r="DC270" s="274"/>
      <c r="DD270" s="274"/>
      <c r="DE270" s="274"/>
      <c r="DF270" s="274"/>
      <c r="DG270" s="274"/>
      <c r="DH270" s="274"/>
      <c r="DI270" s="274"/>
      <c r="DJ270" s="274"/>
      <c r="DK270" s="274"/>
      <c r="DL270" s="274"/>
      <c r="DM270" s="274"/>
      <c r="DN270" s="274"/>
      <c r="DO270" s="274"/>
      <c r="DP270" s="274"/>
      <c r="DQ270" s="274"/>
      <c r="DR270" s="274"/>
      <c r="DS270" s="274"/>
      <c r="DT270" s="274"/>
      <c r="DU270" s="274"/>
      <c r="DV270" s="274"/>
      <c r="DW270" s="274"/>
      <c r="DX270" s="274"/>
      <c r="DY270" s="274"/>
      <c r="DZ270" s="274"/>
      <c r="EA270" s="274"/>
      <c r="EB270" s="274"/>
      <c r="EC270" s="274"/>
      <c r="ED270" s="274"/>
      <c r="EE270" s="274"/>
      <c r="EF270" s="274"/>
    </row>
    <row r="271" spans="1:136" s="453" customFormat="1" ht="39" hidden="1" customHeight="1">
      <c r="A271" s="2841"/>
      <c r="B271" s="2793"/>
      <c r="C271" s="2842"/>
      <c r="D271" s="444" t="s">
        <v>3455</v>
      </c>
      <c r="E271" s="445"/>
      <c r="F271" s="468"/>
      <c r="G271" s="445"/>
      <c r="H271" s="445"/>
      <c r="I271" s="445"/>
      <c r="J271" s="447">
        <v>111.494</v>
      </c>
      <c r="K271" s="445">
        <v>111.494</v>
      </c>
      <c r="L271" s="445">
        <v>104.02800000000001</v>
      </c>
      <c r="M271" s="1529">
        <v>104.02800000000001</v>
      </c>
      <c r="N271" s="557">
        <f t="shared" ref="N271:N334" si="200">SUM(L271-K271)/K271</f>
        <v>-6.6963244658905352E-2</v>
      </c>
      <c r="O271" s="445"/>
      <c r="P271" s="1529"/>
      <c r="Q271" s="445"/>
      <c r="R271" s="1529"/>
      <c r="S271" s="2799"/>
      <c r="T271" s="2800"/>
      <c r="U271" s="2829"/>
      <c r="V271" s="2784"/>
      <c r="W271" s="2785"/>
      <c r="X271" s="2785"/>
      <c r="Y271" s="2785"/>
      <c r="Z271" s="2785"/>
      <c r="AA271" s="2785"/>
      <c r="AB271" s="2786"/>
      <c r="AC271" s="2837"/>
      <c r="AE271" s="274"/>
      <c r="AF271" s="274"/>
      <c r="AG271" s="274"/>
      <c r="AH271" s="274"/>
      <c r="AI271" s="274"/>
      <c r="AJ271" s="274"/>
      <c r="AK271" s="274"/>
      <c r="AL271" s="274"/>
      <c r="AM271" s="274"/>
      <c r="AN271" s="274"/>
      <c r="AO271" s="274"/>
      <c r="AP271" s="274"/>
      <c r="AQ271" s="274"/>
      <c r="AR271" s="274"/>
      <c r="AS271" s="274"/>
      <c r="AT271" s="274"/>
      <c r="AU271" s="274"/>
      <c r="AV271" s="274"/>
      <c r="AW271" s="274"/>
      <c r="AX271" s="274"/>
      <c r="AY271" s="274"/>
      <c r="AZ271" s="274"/>
      <c r="BA271" s="274"/>
      <c r="BB271" s="274"/>
      <c r="BC271" s="274"/>
      <c r="BD271" s="274"/>
      <c r="BE271" s="274"/>
      <c r="BF271" s="274"/>
      <c r="BG271" s="274"/>
      <c r="BH271" s="274"/>
      <c r="BI271" s="274"/>
      <c r="BJ271" s="274"/>
      <c r="BK271" s="274"/>
      <c r="BL271" s="274"/>
      <c r="BM271" s="274"/>
      <c r="BN271" s="274"/>
      <c r="BO271" s="274"/>
      <c r="BP271" s="274"/>
      <c r="BQ271" s="274"/>
      <c r="BR271" s="274"/>
      <c r="BS271" s="274"/>
      <c r="BT271" s="274"/>
      <c r="BU271" s="274"/>
      <c r="BV271" s="274"/>
      <c r="BW271" s="274"/>
      <c r="BX271" s="274"/>
      <c r="BY271" s="274"/>
      <c r="BZ271" s="274"/>
      <c r="CA271" s="274"/>
      <c r="CB271" s="274"/>
      <c r="CC271" s="274"/>
      <c r="CD271" s="274"/>
      <c r="CE271" s="274"/>
      <c r="CF271" s="274"/>
      <c r="CG271" s="274"/>
      <c r="CH271" s="274"/>
      <c r="CI271" s="274"/>
      <c r="CJ271" s="274"/>
      <c r="CK271" s="274"/>
      <c r="CL271" s="274"/>
      <c r="CM271" s="274"/>
      <c r="CN271" s="274"/>
      <c r="CO271" s="274"/>
      <c r="CP271" s="274"/>
      <c r="CQ271" s="274"/>
      <c r="CR271" s="274"/>
      <c r="CS271" s="274"/>
      <c r="CT271" s="274"/>
      <c r="CU271" s="274"/>
      <c r="CV271" s="274"/>
      <c r="CW271" s="274"/>
      <c r="CX271" s="274"/>
      <c r="CY271" s="274"/>
      <c r="CZ271" s="274"/>
      <c r="DA271" s="274"/>
      <c r="DB271" s="274"/>
      <c r="DC271" s="274"/>
      <c r="DD271" s="274"/>
      <c r="DE271" s="274"/>
      <c r="DF271" s="274"/>
      <c r="DG271" s="274"/>
      <c r="DH271" s="274"/>
      <c r="DI271" s="274"/>
      <c r="DJ271" s="274"/>
      <c r="DK271" s="274"/>
      <c r="DL271" s="274"/>
      <c r="DM271" s="274"/>
      <c r="DN271" s="274"/>
      <c r="DO271" s="274"/>
      <c r="DP271" s="274"/>
      <c r="DQ271" s="274"/>
      <c r="DR271" s="274"/>
      <c r="DS271" s="274"/>
      <c r="DT271" s="274"/>
      <c r="DU271" s="274"/>
      <c r="DV271" s="274"/>
      <c r="DW271" s="274"/>
      <c r="DX271" s="274"/>
      <c r="DY271" s="274"/>
      <c r="DZ271" s="274"/>
      <c r="EA271" s="274"/>
      <c r="EB271" s="274"/>
      <c r="EC271" s="274"/>
      <c r="ED271" s="274"/>
      <c r="EE271" s="274"/>
      <c r="EF271" s="274"/>
    </row>
    <row r="272" spans="1:136" s="453" customFormat="1" ht="39" hidden="1" customHeight="1">
      <c r="A272" s="2841"/>
      <c r="B272" s="2793"/>
      <c r="C272" s="2842"/>
      <c r="D272" s="1838" t="s">
        <v>3452</v>
      </c>
      <c r="E272" s="1834"/>
      <c r="F272" s="1839"/>
      <c r="G272" s="1834"/>
      <c r="H272" s="1834"/>
      <c r="I272" s="1834"/>
      <c r="J272" s="1835">
        <f>SUM(J268,J269,J270,J271)</f>
        <v>835.12099999999998</v>
      </c>
      <c r="K272" s="1834">
        <f t="shared" ref="K272:O272" si="201">SUM(K268,K269,K270,K271)</f>
        <v>835.12099999999998</v>
      </c>
      <c r="L272" s="1834">
        <f>SUM(L268,L269,L270,L271)</f>
        <v>104.02800000000001</v>
      </c>
      <c r="M272" s="1836">
        <f>SUM(M268,M269,M270,M271)</f>
        <v>104.02800000000001</v>
      </c>
      <c r="N272" s="2072">
        <f t="shared" si="200"/>
        <v>-0.87543361979880752</v>
      </c>
      <c r="O272" s="1834">
        <f t="shared" si="201"/>
        <v>0</v>
      </c>
      <c r="P272" s="1836">
        <f t="shared" ref="P272:Q272" si="202">SUM(P268,P269,P270,P271)</f>
        <v>0</v>
      </c>
      <c r="Q272" s="1834">
        <f t="shared" si="202"/>
        <v>0</v>
      </c>
      <c r="R272" s="1836">
        <f t="shared" ref="R272" si="203">SUM(R268,R269,R270,R271)</f>
        <v>0</v>
      </c>
      <c r="S272" s="2799"/>
      <c r="T272" s="2800"/>
      <c r="U272" s="2829"/>
      <c r="V272" s="2784"/>
      <c r="W272" s="2785"/>
      <c r="X272" s="2785"/>
      <c r="Y272" s="2785"/>
      <c r="Z272" s="2785"/>
      <c r="AA272" s="2785"/>
      <c r="AB272" s="2786"/>
      <c r="AC272" s="2837"/>
      <c r="AE272" s="274"/>
      <c r="AF272" s="274"/>
      <c r="AG272" s="274"/>
      <c r="AH272" s="274"/>
      <c r="AI272" s="274"/>
      <c r="AJ272" s="274"/>
      <c r="AK272" s="274"/>
      <c r="AL272" s="274"/>
      <c r="AM272" s="274"/>
      <c r="AN272" s="274"/>
      <c r="AO272" s="274"/>
      <c r="AP272" s="274"/>
      <c r="AQ272" s="274"/>
      <c r="AR272" s="274"/>
      <c r="AS272" s="274"/>
      <c r="AT272" s="274"/>
      <c r="AU272" s="274"/>
      <c r="AV272" s="274"/>
      <c r="AW272" s="274"/>
      <c r="AX272" s="274"/>
      <c r="AY272" s="274"/>
      <c r="AZ272" s="274"/>
      <c r="BA272" s="274"/>
      <c r="BB272" s="274"/>
      <c r="BC272" s="274"/>
      <c r="BD272" s="274"/>
      <c r="BE272" s="274"/>
      <c r="BF272" s="274"/>
      <c r="BG272" s="274"/>
      <c r="BH272" s="274"/>
      <c r="BI272" s="274"/>
      <c r="BJ272" s="274"/>
      <c r="BK272" s="274"/>
      <c r="BL272" s="274"/>
      <c r="BM272" s="274"/>
      <c r="BN272" s="274"/>
      <c r="BO272" s="274"/>
      <c r="BP272" s="274"/>
      <c r="BQ272" s="274"/>
      <c r="BR272" s="274"/>
      <c r="BS272" s="274"/>
      <c r="BT272" s="274"/>
      <c r="BU272" s="274"/>
      <c r="BV272" s="274"/>
      <c r="BW272" s="274"/>
      <c r="BX272" s="274"/>
      <c r="BY272" s="274"/>
      <c r="BZ272" s="274"/>
      <c r="CA272" s="274"/>
      <c r="CB272" s="274"/>
      <c r="CC272" s="274"/>
      <c r="CD272" s="274"/>
      <c r="CE272" s="274"/>
      <c r="CF272" s="274"/>
      <c r="CG272" s="274"/>
      <c r="CH272" s="274"/>
      <c r="CI272" s="274"/>
      <c r="CJ272" s="274"/>
      <c r="CK272" s="274"/>
      <c r="CL272" s="274"/>
      <c r="CM272" s="274"/>
      <c r="CN272" s="274"/>
      <c r="CO272" s="274"/>
      <c r="CP272" s="274"/>
      <c r="CQ272" s="274"/>
      <c r="CR272" s="274"/>
      <c r="CS272" s="274"/>
      <c r="CT272" s="274"/>
      <c r="CU272" s="274"/>
      <c r="CV272" s="274"/>
      <c r="CW272" s="274"/>
      <c r="CX272" s="274"/>
      <c r="CY272" s="274"/>
      <c r="CZ272" s="274"/>
      <c r="DA272" s="274"/>
      <c r="DB272" s="274"/>
      <c r="DC272" s="274"/>
      <c r="DD272" s="274"/>
      <c r="DE272" s="274"/>
      <c r="DF272" s="274"/>
      <c r="DG272" s="274"/>
      <c r="DH272" s="274"/>
      <c r="DI272" s="274"/>
      <c r="DJ272" s="274"/>
      <c r="DK272" s="274"/>
      <c r="DL272" s="274"/>
      <c r="DM272" s="274"/>
      <c r="DN272" s="274"/>
      <c r="DO272" s="274"/>
      <c r="DP272" s="274"/>
      <c r="DQ272" s="274"/>
      <c r="DR272" s="274"/>
      <c r="DS272" s="274"/>
      <c r="DT272" s="274"/>
      <c r="DU272" s="274"/>
      <c r="DV272" s="274"/>
      <c r="DW272" s="274"/>
      <c r="DX272" s="274"/>
      <c r="DY272" s="274"/>
      <c r="DZ272" s="274"/>
      <c r="EA272" s="274"/>
      <c r="EB272" s="274"/>
      <c r="EC272" s="274"/>
      <c r="ED272" s="274"/>
      <c r="EE272" s="274"/>
      <c r="EF272" s="274"/>
    </row>
    <row r="273" spans="1:136" s="453" customFormat="1" ht="39" hidden="1" customHeight="1">
      <c r="A273" s="2809"/>
      <c r="B273" s="2793" t="s">
        <v>3021</v>
      </c>
      <c r="C273" s="2808"/>
      <c r="D273" s="444" t="s">
        <v>246</v>
      </c>
      <c r="E273" s="445"/>
      <c r="F273" s="468"/>
      <c r="G273" s="445"/>
      <c r="H273" s="445"/>
      <c r="I273" s="445"/>
      <c r="J273" s="447">
        <v>179.42599999999999</v>
      </c>
      <c r="K273" s="445">
        <v>179.42599999999999</v>
      </c>
      <c r="L273" s="445">
        <v>17.565999999999999</v>
      </c>
      <c r="M273" s="1529">
        <v>17.565999999999999</v>
      </c>
      <c r="N273" s="557">
        <f t="shared" si="200"/>
        <v>-0.90209891543031662</v>
      </c>
      <c r="O273" s="445"/>
      <c r="P273" s="1529"/>
      <c r="Q273" s="445"/>
      <c r="R273" s="1529"/>
      <c r="S273" s="2799"/>
      <c r="T273" s="2800"/>
      <c r="U273" s="2829"/>
      <c r="V273" s="2784"/>
      <c r="W273" s="2785"/>
      <c r="X273" s="2785"/>
      <c r="Y273" s="2785"/>
      <c r="Z273" s="2785"/>
      <c r="AA273" s="2785"/>
      <c r="AB273" s="2786"/>
      <c r="AC273" s="2794"/>
      <c r="AE273" s="274"/>
      <c r="AF273" s="274"/>
      <c r="AG273" s="274"/>
      <c r="AH273" s="274"/>
      <c r="AI273" s="274"/>
      <c r="AJ273" s="274"/>
      <c r="AK273" s="274"/>
      <c r="AL273" s="274"/>
      <c r="AM273" s="274"/>
      <c r="AN273" s="274"/>
      <c r="AO273" s="274"/>
      <c r="AP273" s="274"/>
      <c r="AQ273" s="274"/>
      <c r="AR273" s="274"/>
      <c r="AS273" s="274"/>
      <c r="AT273" s="274"/>
      <c r="AU273" s="274"/>
      <c r="AV273" s="274"/>
      <c r="AW273" s="274"/>
      <c r="AX273" s="274"/>
      <c r="AY273" s="274"/>
      <c r="AZ273" s="274"/>
      <c r="BA273" s="274"/>
      <c r="BB273" s="274"/>
      <c r="BC273" s="274"/>
      <c r="BD273" s="274"/>
      <c r="BE273" s="274"/>
      <c r="BF273" s="274"/>
      <c r="BG273" s="274"/>
      <c r="BH273" s="274"/>
      <c r="BI273" s="274"/>
      <c r="BJ273" s="274"/>
      <c r="BK273" s="274"/>
      <c r="BL273" s="274"/>
      <c r="BM273" s="274"/>
      <c r="BN273" s="274"/>
      <c r="BO273" s="274"/>
      <c r="BP273" s="274"/>
      <c r="BQ273" s="274"/>
      <c r="BR273" s="274"/>
      <c r="BS273" s="274"/>
      <c r="BT273" s="274"/>
      <c r="BU273" s="274"/>
      <c r="BV273" s="274"/>
      <c r="BW273" s="274"/>
      <c r="BX273" s="274"/>
      <c r="BY273" s="274"/>
      <c r="BZ273" s="274"/>
      <c r="CA273" s="274"/>
      <c r="CB273" s="274"/>
      <c r="CC273" s="274"/>
      <c r="CD273" s="274"/>
      <c r="CE273" s="274"/>
      <c r="CF273" s="274"/>
      <c r="CG273" s="274"/>
      <c r="CH273" s="274"/>
      <c r="CI273" s="274"/>
      <c r="CJ273" s="274"/>
      <c r="CK273" s="274"/>
      <c r="CL273" s="274"/>
      <c r="CM273" s="274"/>
      <c r="CN273" s="274"/>
      <c r="CO273" s="274"/>
      <c r="CP273" s="274"/>
      <c r="CQ273" s="274"/>
      <c r="CR273" s="274"/>
      <c r="CS273" s="274"/>
      <c r="CT273" s="274"/>
      <c r="CU273" s="274"/>
      <c r="CV273" s="274"/>
      <c r="CW273" s="274"/>
      <c r="CX273" s="274"/>
      <c r="CY273" s="274"/>
      <c r="CZ273" s="274"/>
      <c r="DA273" s="274"/>
      <c r="DB273" s="274"/>
      <c r="DC273" s="274"/>
      <c r="DD273" s="274"/>
      <c r="DE273" s="274"/>
      <c r="DF273" s="274"/>
      <c r="DG273" s="274"/>
      <c r="DH273" s="274"/>
      <c r="DI273" s="274"/>
      <c r="DJ273" s="274"/>
      <c r="DK273" s="274"/>
      <c r="DL273" s="274"/>
      <c r="DM273" s="274"/>
      <c r="DN273" s="274"/>
      <c r="DO273" s="274"/>
      <c r="DP273" s="274"/>
      <c r="DQ273" s="274"/>
      <c r="DR273" s="274"/>
      <c r="DS273" s="274"/>
      <c r="DT273" s="274"/>
      <c r="DU273" s="274"/>
      <c r="DV273" s="274"/>
      <c r="DW273" s="274"/>
      <c r="DX273" s="274"/>
      <c r="DY273" s="274"/>
      <c r="DZ273" s="274"/>
      <c r="EA273" s="274"/>
      <c r="EB273" s="274"/>
      <c r="EC273" s="274"/>
      <c r="ED273" s="274"/>
      <c r="EE273" s="274"/>
      <c r="EF273" s="274"/>
    </row>
    <row r="274" spans="1:136" s="453" customFormat="1" ht="39" hidden="1" customHeight="1">
      <c r="A274" s="2809"/>
      <c r="B274" s="2793"/>
      <c r="C274" s="2808"/>
      <c r="D274" s="444" t="s">
        <v>412</v>
      </c>
      <c r="E274" s="445"/>
      <c r="F274" s="468"/>
      <c r="G274" s="445"/>
      <c r="H274" s="445"/>
      <c r="I274" s="445"/>
      <c r="J274" s="447">
        <v>26.106999999999999</v>
      </c>
      <c r="K274" s="445">
        <v>26.106999999999999</v>
      </c>
      <c r="L274" s="445"/>
      <c r="M274" s="1529"/>
      <c r="N274" s="557">
        <f t="shared" si="200"/>
        <v>-1</v>
      </c>
      <c r="O274" s="445"/>
      <c r="P274" s="1529"/>
      <c r="Q274" s="445"/>
      <c r="R274" s="1529"/>
      <c r="S274" s="2799"/>
      <c r="T274" s="2800"/>
      <c r="U274" s="2829"/>
      <c r="V274" s="2784"/>
      <c r="W274" s="2785"/>
      <c r="X274" s="2785"/>
      <c r="Y274" s="2785"/>
      <c r="Z274" s="2785"/>
      <c r="AA274" s="2785"/>
      <c r="AB274" s="2786"/>
      <c r="AC274" s="2794"/>
      <c r="AE274" s="274"/>
      <c r="AF274" s="274"/>
      <c r="AG274" s="274"/>
      <c r="AH274" s="274"/>
      <c r="AI274" s="274"/>
      <c r="AJ274" s="274"/>
      <c r="AK274" s="274"/>
      <c r="AL274" s="274"/>
      <c r="AM274" s="274"/>
      <c r="AN274" s="274"/>
      <c r="AO274" s="274"/>
      <c r="AP274" s="274"/>
      <c r="AQ274" s="274"/>
      <c r="AR274" s="274"/>
      <c r="AS274" s="274"/>
      <c r="AT274" s="274"/>
      <c r="AU274" s="274"/>
      <c r="AV274" s="274"/>
      <c r="AW274" s="274"/>
      <c r="AX274" s="274"/>
      <c r="AY274" s="274"/>
      <c r="AZ274" s="274"/>
      <c r="BA274" s="274"/>
      <c r="BB274" s="274"/>
      <c r="BC274" s="274"/>
      <c r="BD274" s="274"/>
      <c r="BE274" s="274"/>
      <c r="BF274" s="274"/>
      <c r="BG274" s="274"/>
      <c r="BH274" s="274"/>
      <c r="BI274" s="274"/>
      <c r="BJ274" s="274"/>
      <c r="BK274" s="274"/>
      <c r="BL274" s="274"/>
      <c r="BM274" s="274"/>
      <c r="BN274" s="274"/>
      <c r="BO274" s="274"/>
      <c r="BP274" s="274"/>
      <c r="BQ274" s="274"/>
      <c r="BR274" s="274"/>
      <c r="BS274" s="274"/>
      <c r="BT274" s="274"/>
      <c r="BU274" s="274"/>
      <c r="BV274" s="274"/>
      <c r="BW274" s="274"/>
      <c r="BX274" s="274"/>
      <c r="BY274" s="274"/>
      <c r="BZ274" s="274"/>
      <c r="CA274" s="274"/>
      <c r="CB274" s="274"/>
      <c r="CC274" s="274"/>
      <c r="CD274" s="274"/>
      <c r="CE274" s="274"/>
      <c r="CF274" s="274"/>
      <c r="CG274" s="274"/>
      <c r="CH274" s="274"/>
      <c r="CI274" s="274"/>
      <c r="CJ274" s="274"/>
      <c r="CK274" s="274"/>
      <c r="CL274" s="274"/>
      <c r="CM274" s="274"/>
      <c r="CN274" s="274"/>
      <c r="CO274" s="274"/>
      <c r="CP274" s="274"/>
      <c r="CQ274" s="274"/>
      <c r="CR274" s="274"/>
      <c r="CS274" s="274"/>
      <c r="CT274" s="274"/>
      <c r="CU274" s="274"/>
      <c r="CV274" s="274"/>
      <c r="CW274" s="274"/>
      <c r="CX274" s="274"/>
      <c r="CY274" s="274"/>
      <c r="CZ274" s="274"/>
      <c r="DA274" s="274"/>
      <c r="DB274" s="274"/>
      <c r="DC274" s="274"/>
      <c r="DD274" s="274"/>
      <c r="DE274" s="274"/>
      <c r="DF274" s="274"/>
      <c r="DG274" s="274"/>
      <c r="DH274" s="274"/>
      <c r="DI274" s="274"/>
      <c r="DJ274" s="274"/>
      <c r="DK274" s="274"/>
      <c r="DL274" s="274"/>
      <c r="DM274" s="274"/>
      <c r="DN274" s="274"/>
      <c r="DO274" s="274"/>
      <c r="DP274" s="274"/>
      <c r="DQ274" s="274"/>
      <c r="DR274" s="274"/>
      <c r="DS274" s="274"/>
      <c r="DT274" s="274"/>
      <c r="DU274" s="274"/>
      <c r="DV274" s="274"/>
      <c r="DW274" s="274"/>
      <c r="DX274" s="274"/>
      <c r="DY274" s="274"/>
      <c r="DZ274" s="274"/>
      <c r="EA274" s="274"/>
      <c r="EB274" s="274"/>
      <c r="EC274" s="274"/>
      <c r="ED274" s="274"/>
      <c r="EE274" s="274"/>
      <c r="EF274" s="274"/>
    </row>
    <row r="275" spans="1:136" s="453" customFormat="1" ht="39" hidden="1" customHeight="1">
      <c r="A275" s="2809"/>
      <c r="B275" s="2793"/>
      <c r="C275" s="2808"/>
      <c r="D275" s="444" t="s">
        <v>2747</v>
      </c>
      <c r="E275" s="445"/>
      <c r="F275" s="468"/>
      <c r="G275" s="445"/>
      <c r="H275" s="445"/>
      <c r="I275" s="445"/>
      <c r="J275" s="447">
        <v>0</v>
      </c>
      <c r="K275" s="445"/>
      <c r="L275" s="445"/>
      <c r="M275" s="1529"/>
      <c r="N275" s="557"/>
      <c r="O275" s="445"/>
      <c r="P275" s="1529"/>
      <c r="Q275" s="445"/>
      <c r="R275" s="1529"/>
      <c r="S275" s="2799"/>
      <c r="T275" s="2800"/>
      <c r="U275" s="2829"/>
      <c r="V275" s="2784"/>
      <c r="W275" s="2785"/>
      <c r="X275" s="2785"/>
      <c r="Y275" s="2785"/>
      <c r="Z275" s="2785"/>
      <c r="AA275" s="2785"/>
      <c r="AB275" s="2786"/>
      <c r="AC275" s="2794"/>
      <c r="AE275" s="274"/>
      <c r="AF275" s="274"/>
      <c r="AG275" s="274"/>
      <c r="AH275" s="274"/>
      <c r="AI275" s="274"/>
      <c r="AJ275" s="274"/>
      <c r="AK275" s="274"/>
      <c r="AL275" s="274"/>
      <c r="AM275" s="274"/>
      <c r="AN275" s="274"/>
      <c r="AO275" s="274"/>
      <c r="AP275" s="274"/>
      <c r="AQ275" s="274"/>
      <c r="AR275" s="274"/>
      <c r="AS275" s="274"/>
      <c r="AT275" s="274"/>
      <c r="AU275" s="274"/>
      <c r="AV275" s="274"/>
      <c r="AW275" s="274"/>
      <c r="AX275" s="274"/>
      <c r="AY275" s="274"/>
      <c r="AZ275" s="274"/>
      <c r="BA275" s="274"/>
      <c r="BB275" s="274"/>
      <c r="BC275" s="274"/>
      <c r="BD275" s="274"/>
      <c r="BE275" s="274"/>
      <c r="BF275" s="274"/>
      <c r="BG275" s="274"/>
      <c r="BH275" s="274"/>
      <c r="BI275" s="274"/>
      <c r="BJ275" s="274"/>
      <c r="BK275" s="274"/>
      <c r="BL275" s="274"/>
      <c r="BM275" s="274"/>
      <c r="BN275" s="274"/>
      <c r="BO275" s="274"/>
      <c r="BP275" s="274"/>
      <c r="BQ275" s="274"/>
      <c r="BR275" s="274"/>
      <c r="BS275" s="274"/>
      <c r="BT275" s="274"/>
      <c r="BU275" s="274"/>
      <c r="BV275" s="274"/>
      <c r="BW275" s="274"/>
      <c r="BX275" s="274"/>
      <c r="BY275" s="274"/>
      <c r="BZ275" s="274"/>
      <c r="CA275" s="274"/>
      <c r="CB275" s="274"/>
      <c r="CC275" s="274"/>
      <c r="CD275" s="274"/>
      <c r="CE275" s="274"/>
      <c r="CF275" s="274"/>
      <c r="CG275" s="274"/>
      <c r="CH275" s="274"/>
      <c r="CI275" s="274"/>
      <c r="CJ275" s="274"/>
      <c r="CK275" s="274"/>
      <c r="CL275" s="274"/>
      <c r="CM275" s="274"/>
      <c r="CN275" s="274"/>
      <c r="CO275" s="274"/>
      <c r="CP275" s="274"/>
      <c r="CQ275" s="274"/>
      <c r="CR275" s="274"/>
      <c r="CS275" s="274"/>
      <c r="CT275" s="274"/>
      <c r="CU275" s="274"/>
      <c r="CV275" s="274"/>
      <c r="CW275" s="274"/>
      <c r="CX275" s="274"/>
      <c r="CY275" s="274"/>
      <c r="CZ275" s="274"/>
      <c r="DA275" s="274"/>
      <c r="DB275" s="274"/>
      <c r="DC275" s="274"/>
      <c r="DD275" s="274"/>
      <c r="DE275" s="274"/>
      <c r="DF275" s="274"/>
      <c r="DG275" s="274"/>
      <c r="DH275" s="274"/>
      <c r="DI275" s="274"/>
      <c r="DJ275" s="274"/>
      <c r="DK275" s="274"/>
      <c r="DL275" s="274"/>
      <c r="DM275" s="274"/>
      <c r="DN275" s="274"/>
      <c r="DO275" s="274"/>
      <c r="DP275" s="274"/>
      <c r="DQ275" s="274"/>
      <c r="DR275" s="274"/>
      <c r="DS275" s="274"/>
      <c r="DT275" s="274"/>
      <c r="DU275" s="274"/>
      <c r="DV275" s="274"/>
      <c r="DW275" s="274"/>
      <c r="DX275" s="274"/>
      <c r="DY275" s="274"/>
      <c r="DZ275" s="274"/>
      <c r="EA275" s="274"/>
      <c r="EB275" s="274"/>
      <c r="EC275" s="274"/>
      <c r="ED275" s="274"/>
      <c r="EE275" s="274"/>
      <c r="EF275" s="274"/>
    </row>
    <row r="276" spans="1:136" s="453" customFormat="1" ht="39" hidden="1" customHeight="1">
      <c r="A276" s="2809"/>
      <c r="B276" s="2793"/>
      <c r="C276" s="2808"/>
      <c r="D276" s="444" t="s">
        <v>3455</v>
      </c>
      <c r="E276" s="445"/>
      <c r="F276" s="468"/>
      <c r="G276" s="445"/>
      <c r="H276" s="445"/>
      <c r="I276" s="445"/>
      <c r="J276" s="447">
        <v>0</v>
      </c>
      <c r="K276" s="445"/>
      <c r="L276" s="445"/>
      <c r="M276" s="1529"/>
      <c r="N276" s="557"/>
      <c r="O276" s="445"/>
      <c r="P276" s="1529"/>
      <c r="Q276" s="445"/>
      <c r="R276" s="1529"/>
      <c r="S276" s="2799"/>
      <c r="T276" s="2800"/>
      <c r="U276" s="2829"/>
      <c r="V276" s="2784"/>
      <c r="W276" s="2785"/>
      <c r="X276" s="2785"/>
      <c r="Y276" s="2785"/>
      <c r="Z276" s="2785"/>
      <c r="AA276" s="2785"/>
      <c r="AB276" s="2786"/>
      <c r="AC276" s="2794"/>
      <c r="AE276" s="274"/>
      <c r="AF276" s="274"/>
      <c r="AG276" s="274"/>
      <c r="AH276" s="274"/>
      <c r="AI276" s="274"/>
      <c r="AJ276" s="274"/>
      <c r="AK276" s="274"/>
      <c r="AL276" s="274"/>
      <c r="AM276" s="274"/>
      <c r="AN276" s="274"/>
      <c r="AO276" s="274"/>
      <c r="AP276" s="274"/>
      <c r="AQ276" s="274"/>
      <c r="AR276" s="274"/>
      <c r="AS276" s="274"/>
      <c r="AT276" s="274"/>
      <c r="AU276" s="274"/>
      <c r="AV276" s="274"/>
      <c r="AW276" s="274"/>
      <c r="AX276" s="274"/>
      <c r="AY276" s="274"/>
      <c r="AZ276" s="274"/>
      <c r="BA276" s="274"/>
      <c r="BB276" s="274"/>
      <c r="BC276" s="274"/>
      <c r="BD276" s="274"/>
      <c r="BE276" s="274"/>
      <c r="BF276" s="274"/>
      <c r="BG276" s="274"/>
      <c r="BH276" s="274"/>
      <c r="BI276" s="274"/>
      <c r="BJ276" s="274"/>
      <c r="BK276" s="274"/>
      <c r="BL276" s="274"/>
      <c r="BM276" s="274"/>
      <c r="BN276" s="274"/>
      <c r="BO276" s="274"/>
      <c r="BP276" s="274"/>
      <c r="BQ276" s="274"/>
      <c r="BR276" s="274"/>
      <c r="BS276" s="274"/>
      <c r="BT276" s="274"/>
      <c r="BU276" s="274"/>
      <c r="BV276" s="274"/>
      <c r="BW276" s="274"/>
      <c r="BX276" s="274"/>
      <c r="BY276" s="274"/>
      <c r="BZ276" s="274"/>
      <c r="CA276" s="274"/>
      <c r="CB276" s="274"/>
      <c r="CC276" s="274"/>
      <c r="CD276" s="274"/>
      <c r="CE276" s="274"/>
      <c r="CF276" s="274"/>
      <c r="CG276" s="274"/>
      <c r="CH276" s="274"/>
      <c r="CI276" s="274"/>
      <c r="CJ276" s="274"/>
      <c r="CK276" s="274"/>
      <c r="CL276" s="274"/>
      <c r="CM276" s="274"/>
      <c r="CN276" s="274"/>
      <c r="CO276" s="274"/>
      <c r="CP276" s="274"/>
      <c r="CQ276" s="274"/>
      <c r="CR276" s="274"/>
      <c r="CS276" s="274"/>
      <c r="CT276" s="274"/>
      <c r="CU276" s="274"/>
      <c r="CV276" s="274"/>
      <c r="CW276" s="274"/>
      <c r="CX276" s="274"/>
      <c r="CY276" s="274"/>
      <c r="CZ276" s="274"/>
      <c r="DA276" s="274"/>
      <c r="DB276" s="274"/>
      <c r="DC276" s="274"/>
      <c r="DD276" s="274"/>
      <c r="DE276" s="274"/>
      <c r="DF276" s="274"/>
      <c r="DG276" s="274"/>
      <c r="DH276" s="274"/>
      <c r="DI276" s="274"/>
      <c r="DJ276" s="274"/>
      <c r="DK276" s="274"/>
      <c r="DL276" s="274"/>
      <c r="DM276" s="274"/>
      <c r="DN276" s="274"/>
      <c r="DO276" s="274"/>
      <c r="DP276" s="274"/>
      <c r="DQ276" s="274"/>
      <c r="DR276" s="274"/>
      <c r="DS276" s="274"/>
      <c r="DT276" s="274"/>
      <c r="DU276" s="274"/>
      <c r="DV276" s="274"/>
      <c r="DW276" s="274"/>
      <c r="DX276" s="274"/>
      <c r="DY276" s="274"/>
      <c r="DZ276" s="274"/>
      <c r="EA276" s="274"/>
      <c r="EB276" s="274"/>
      <c r="EC276" s="274"/>
      <c r="ED276" s="274"/>
      <c r="EE276" s="274"/>
      <c r="EF276" s="274"/>
    </row>
    <row r="277" spans="1:136" s="453" customFormat="1" ht="39" hidden="1" customHeight="1">
      <c r="A277" s="2809"/>
      <c r="B277" s="2793"/>
      <c r="C277" s="2808"/>
      <c r="D277" s="1838" t="s">
        <v>3452</v>
      </c>
      <c r="E277" s="1834"/>
      <c r="F277" s="1839"/>
      <c r="G277" s="1834"/>
      <c r="H277" s="1834"/>
      <c r="I277" s="1834"/>
      <c r="J277" s="1835">
        <f>SUM(J273,J274,J275,J276)</f>
        <v>205.53299999999999</v>
      </c>
      <c r="K277" s="1834">
        <f>SUM(K273,K274,K275,K276)</f>
        <v>205.53299999999999</v>
      </c>
      <c r="L277" s="1834">
        <f t="shared" ref="L277:M277" si="204">SUM(L273,L274,L275,L276)</f>
        <v>17.565999999999999</v>
      </c>
      <c r="M277" s="1836">
        <f t="shared" si="204"/>
        <v>17.565999999999999</v>
      </c>
      <c r="N277" s="2072">
        <f t="shared" si="200"/>
        <v>-0.91453440566721644</v>
      </c>
      <c r="O277" s="1834">
        <f t="shared" ref="O277:P277" si="205">SUM(O273,O274,O275,O276)</f>
        <v>0</v>
      </c>
      <c r="P277" s="1836">
        <f t="shared" si="205"/>
        <v>0</v>
      </c>
      <c r="Q277" s="1834">
        <f t="shared" ref="Q277:R277" si="206">SUM(Q273,Q274,Q275,Q276)</f>
        <v>0</v>
      </c>
      <c r="R277" s="1836">
        <f t="shared" si="206"/>
        <v>0</v>
      </c>
      <c r="S277" s="2799"/>
      <c r="T277" s="2800"/>
      <c r="U277" s="2829"/>
      <c r="V277" s="2784"/>
      <c r="W277" s="2785"/>
      <c r="X277" s="2785"/>
      <c r="Y277" s="2785"/>
      <c r="Z277" s="2785"/>
      <c r="AA277" s="2785"/>
      <c r="AB277" s="2786"/>
      <c r="AC277" s="2794"/>
      <c r="AE277" s="274"/>
      <c r="AF277" s="274"/>
      <c r="AG277" s="274"/>
      <c r="AH277" s="274"/>
      <c r="AI277" s="274"/>
      <c r="AJ277" s="274"/>
      <c r="AK277" s="274"/>
      <c r="AL277" s="274"/>
      <c r="AM277" s="274"/>
      <c r="AN277" s="274"/>
      <c r="AO277" s="274"/>
      <c r="AP277" s="274"/>
      <c r="AQ277" s="274"/>
      <c r="AR277" s="274"/>
      <c r="AS277" s="274"/>
      <c r="AT277" s="274"/>
      <c r="AU277" s="274"/>
      <c r="AV277" s="274"/>
      <c r="AW277" s="274"/>
      <c r="AX277" s="274"/>
      <c r="AY277" s="274"/>
      <c r="AZ277" s="274"/>
      <c r="BA277" s="274"/>
      <c r="BB277" s="274"/>
      <c r="BC277" s="274"/>
      <c r="BD277" s="274"/>
      <c r="BE277" s="274"/>
      <c r="BF277" s="274"/>
      <c r="BG277" s="274"/>
      <c r="BH277" s="274"/>
      <c r="BI277" s="274"/>
      <c r="BJ277" s="274"/>
      <c r="BK277" s="274"/>
      <c r="BL277" s="274"/>
      <c r="BM277" s="274"/>
      <c r="BN277" s="274"/>
      <c r="BO277" s="274"/>
      <c r="BP277" s="274"/>
      <c r="BQ277" s="274"/>
      <c r="BR277" s="274"/>
      <c r="BS277" s="274"/>
      <c r="BT277" s="274"/>
      <c r="BU277" s="274"/>
      <c r="BV277" s="274"/>
      <c r="BW277" s="274"/>
      <c r="BX277" s="274"/>
      <c r="BY277" s="274"/>
      <c r="BZ277" s="274"/>
      <c r="CA277" s="274"/>
      <c r="CB277" s="274"/>
      <c r="CC277" s="274"/>
      <c r="CD277" s="274"/>
      <c r="CE277" s="274"/>
      <c r="CF277" s="274"/>
      <c r="CG277" s="274"/>
      <c r="CH277" s="274"/>
      <c r="CI277" s="274"/>
      <c r="CJ277" s="274"/>
      <c r="CK277" s="274"/>
      <c r="CL277" s="274"/>
      <c r="CM277" s="274"/>
      <c r="CN277" s="274"/>
      <c r="CO277" s="274"/>
      <c r="CP277" s="274"/>
      <c r="CQ277" s="274"/>
      <c r="CR277" s="274"/>
      <c r="CS277" s="274"/>
      <c r="CT277" s="274"/>
      <c r="CU277" s="274"/>
      <c r="CV277" s="274"/>
      <c r="CW277" s="274"/>
      <c r="CX277" s="274"/>
      <c r="CY277" s="274"/>
      <c r="CZ277" s="274"/>
      <c r="DA277" s="274"/>
      <c r="DB277" s="274"/>
      <c r="DC277" s="274"/>
      <c r="DD277" s="274"/>
      <c r="DE277" s="274"/>
      <c r="DF277" s="274"/>
      <c r="DG277" s="274"/>
      <c r="DH277" s="274"/>
      <c r="DI277" s="274"/>
      <c r="DJ277" s="274"/>
      <c r="DK277" s="274"/>
      <c r="DL277" s="274"/>
      <c r="DM277" s="274"/>
      <c r="DN277" s="274"/>
      <c r="DO277" s="274"/>
      <c r="DP277" s="274"/>
      <c r="DQ277" s="274"/>
      <c r="DR277" s="274"/>
      <c r="DS277" s="274"/>
      <c r="DT277" s="274"/>
      <c r="DU277" s="274"/>
      <c r="DV277" s="274"/>
      <c r="DW277" s="274"/>
      <c r="DX277" s="274"/>
      <c r="DY277" s="274"/>
      <c r="DZ277" s="274"/>
      <c r="EA277" s="274"/>
      <c r="EB277" s="274"/>
      <c r="EC277" s="274"/>
      <c r="ED277" s="274"/>
      <c r="EE277" s="274"/>
      <c r="EF277" s="274"/>
    </row>
    <row r="278" spans="1:136" s="453" customFormat="1" ht="39" hidden="1" customHeight="1">
      <c r="A278" s="2809"/>
      <c r="B278" s="2793" t="s">
        <v>3019</v>
      </c>
      <c r="C278" s="2808"/>
      <c r="D278" s="444" t="s">
        <v>246</v>
      </c>
      <c r="E278" s="445"/>
      <c r="F278" s="468"/>
      <c r="G278" s="445"/>
      <c r="H278" s="445"/>
      <c r="I278" s="445"/>
      <c r="J278" s="447">
        <v>289.90499999999997</v>
      </c>
      <c r="K278" s="445">
        <v>289.90499999999997</v>
      </c>
      <c r="L278" s="445">
        <v>95.608000000000004</v>
      </c>
      <c r="M278" s="1529">
        <v>95.608000000000004</v>
      </c>
      <c r="N278" s="557">
        <f t="shared" si="200"/>
        <v>-0.67020920646418647</v>
      </c>
      <c r="O278" s="298"/>
      <c r="P278" s="1543"/>
      <c r="Q278" s="298"/>
      <c r="R278" s="1543"/>
      <c r="S278" s="2799"/>
      <c r="T278" s="2800"/>
      <c r="U278" s="2829"/>
      <c r="V278" s="2784"/>
      <c r="W278" s="2785"/>
      <c r="X278" s="2785"/>
      <c r="Y278" s="2785"/>
      <c r="Z278" s="2785"/>
      <c r="AA278" s="2785"/>
      <c r="AB278" s="2786"/>
      <c r="AC278" s="2794"/>
      <c r="AE278" s="274"/>
      <c r="AF278" s="274"/>
      <c r="AG278" s="274"/>
      <c r="AH278" s="274"/>
      <c r="AI278" s="274"/>
      <c r="AJ278" s="274"/>
      <c r="AK278" s="274"/>
      <c r="AL278" s="274"/>
      <c r="AM278" s="274"/>
      <c r="AN278" s="274"/>
      <c r="AO278" s="274"/>
      <c r="AP278" s="274"/>
      <c r="AQ278" s="274"/>
      <c r="AR278" s="274"/>
      <c r="AS278" s="274"/>
      <c r="AT278" s="274"/>
      <c r="AU278" s="274"/>
      <c r="AV278" s="274"/>
      <c r="AW278" s="274"/>
      <c r="AX278" s="274"/>
      <c r="AY278" s="274"/>
      <c r="AZ278" s="274"/>
      <c r="BA278" s="274"/>
      <c r="BB278" s="274"/>
      <c r="BC278" s="274"/>
      <c r="BD278" s="274"/>
      <c r="BE278" s="274"/>
      <c r="BF278" s="274"/>
      <c r="BG278" s="274"/>
      <c r="BH278" s="274"/>
      <c r="BI278" s="274"/>
      <c r="BJ278" s="274"/>
      <c r="BK278" s="274"/>
      <c r="BL278" s="274"/>
      <c r="BM278" s="274"/>
      <c r="BN278" s="274"/>
      <c r="BO278" s="274"/>
      <c r="BP278" s="274"/>
      <c r="BQ278" s="274"/>
      <c r="BR278" s="274"/>
      <c r="BS278" s="274"/>
      <c r="BT278" s="274"/>
      <c r="BU278" s="274"/>
      <c r="BV278" s="274"/>
      <c r="BW278" s="274"/>
      <c r="BX278" s="274"/>
      <c r="BY278" s="274"/>
      <c r="BZ278" s="274"/>
      <c r="CA278" s="274"/>
      <c r="CB278" s="274"/>
      <c r="CC278" s="274"/>
      <c r="CD278" s="274"/>
      <c r="CE278" s="274"/>
      <c r="CF278" s="274"/>
      <c r="CG278" s="274"/>
      <c r="CH278" s="274"/>
      <c r="CI278" s="274"/>
      <c r="CJ278" s="274"/>
      <c r="CK278" s="274"/>
      <c r="CL278" s="274"/>
      <c r="CM278" s="274"/>
      <c r="CN278" s="274"/>
      <c r="CO278" s="274"/>
      <c r="CP278" s="274"/>
      <c r="CQ278" s="274"/>
      <c r="CR278" s="274"/>
      <c r="CS278" s="274"/>
      <c r="CT278" s="274"/>
      <c r="CU278" s="274"/>
      <c r="CV278" s="274"/>
      <c r="CW278" s="274"/>
      <c r="CX278" s="274"/>
      <c r="CY278" s="274"/>
      <c r="CZ278" s="274"/>
      <c r="DA278" s="274"/>
      <c r="DB278" s="274"/>
      <c r="DC278" s="274"/>
      <c r="DD278" s="274"/>
      <c r="DE278" s="274"/>
      <c r="DF278" s="274"/>
      <c r="DG278" s="274"/>
      <c r="DH278" s="274"/>
      <c r="DI278" s="274"/>
      <c r="DJ278" s="274"/>
      <c r="DK278" s="274"/>
      <c r="DL278" s="274"/>
      <c r="DM278" s="274"/>
      <c r="DN278" s="274"/>
      <c r="DO278" s="274"/>
      <c r="DP278" s="274"/>
      <c r="DQ278" s="274"/>
      <c r="DR278" s="274"/>
      <c r="DS278" s="274"/>
      <c r="DT278" s="274"/>
      <c r="DU278" s="274"/>
      <c r="DV278" s="274"/>
      <c r="DW278" s="274"/>
      <c r="DX278" s="274"/>
      <c r="DY278" s="274"/>
      <c r="DZ278" s="274"/>
      <c r="EA278" s="274"/>
      <c r="EB278" s="274"/>
      <c r="EC278" s="274"/>
      <c r="ED278" s="274"/>
      <c r="EE278" s="274"/>
      <c r="EF278" s="274"/>
    </row>
    <row r="279" spans="1:136" s="453" customFormat="1" ht="39" hidden="1" customHeight="1">
      <c r="A279" s="2809"/>
      <c r="B279" s="2793"/>
      <c r="C279" s="2808"/>
      <c r="D279" s="444" t="s">
        <v>412</v>
      </c>
      <c r="E279" s="445"/>
      <c r="F279" s="468"/>
      <c r="G279" s="445"/>
      <c r="H279" s="445"/>
      <c r="I279" s="445"/>
      <c r="J279" s="447">
        <v>49.676000000000002</v>
      </c>
      <c r="K279" s="445">
        <v>49.676000000000002</v>
      </c>
      <c r="L279" s="445"/>
      <c r="M279" s="1529"/>
      <c r="N279" s="557">
        <f t="shared" si="200"/>
        <v>-1</v>
      </c>
      <c r="O279" s="298"/>
      <c r="P279" s="1543"/>
      <c r="Q279" s="298"/>
      <c r="R279" s="1543"/>
      <c r="S279" s="2799"/>
      <c r="T279" s="2800"/>
      <c r="U279" s="2829"/>
      <c r="V279" s="2784"/>
      <c r="W279" s="2785"/>
      <c r="X279" s="2785"/>
      <c r="Y279" s="2785"/>
      <c r="Z279" s="2785"/>
      <c r="AA279" s="2785"/>
      <c r="AB279" s="2786"/>
      <c r="AC279" s="2794"/>
      <c r="AE279" s="274"/>
      <c r="AF279" s="274"/>
      <c r="AG279" s="274"/>
      <c r="AH279" s="274"/>
      <c r="AI279" s="274"/>
      <c r="AJ279" s="274"/>
      <c r="AK279" s="274"/>
      <c r="AL279" s="274"/>
      <c r="AM279" s="274"/>
      <c r="AN279" s="274"/>
      <c r="AO279" s="274"/>
      <c r="AP279" s="274"/>
      <c r="AQ279" s="274"/>
      <c r="AR279" s="274"/>
      <c r="AS279" s="274"/>
      <c r="AT279" s="274"/>
      <c r="AU279" s="274"/>
      <c r="AV279" s="274"/>
      <c r="AW279" s="274"/>
      <c r="AX279" s="274"/>
      <c r="AY279" s="274"/>
      <c r="AZ279" s="274"/>
      <c r="BA279" s="274"/>
      <c r="BB279" s="274"/>
      <c r="BC279" s="274"/>
      <c r="BD279" s="274"/>
      <c r="BE279" s="274"/>
      <c r="BF279" s="274"/>
      <c r="BG279" s="274"/>
      <c r="BH279" s="274"/>
      <c r="BI279" s="274"/>
      <c r="BJ279" s="274"/>
      <c r="BK279" s="274"/>
      <c r="BL279" s="274"/>
      <c r="BM279" s="274"/>
      <c r="BN279" s="274"/>
      <c r="BO279" s="274"/>
      <c r="BP279" s="274"/>
      <c r="BQ279" s="274"/>
      <c r="BR279" s="274"/>
      <c r="BS279" s="274"/>
      <c r="BT279" s="274"/>
      <c r="BU279" s="274"/>
      <c r="BV279" s="274"/>
      <c r="BW279" s="274"/>
      <c r="BX279" s="274"/>
      <c r="BY279" s="274"/>
      <c r="BZ279" s="274"/>
      <c r="CA279" s="274"/>
      <c r="CB279" s="274"/>
      <c r="CC279" s="274"/>
      <c r="CD279" s="274"/>
      <c r="CE279" s="274"/>
      <c r="CF279" s="274"/>
      <c r="CG279" s="274"/>
      <c r="CH279" s="274"/>
      <c r="CI279" s="274"/>
      <c r="CJ279" s="274"/>
      <c r="CK279" s="274"/>
      <c r="CL279" s="274"/>
      <c r="CM279" s="274"/>
      <c r="CN279" s="274"/>
      <c r="CO279" s="274"/>
      <c r="CP279" s="274"/>
      <c r="CQ279" s="274"/>
      <c r="CR279" s="274"/>
      <c r="CS279" s="274"/>
      <c r="CT279" s="274"/>
      <c r="CU279" s="274"/>
      <c r="CV279" s="274"/>
      <c r="CW279" s="274"/>
      <c r="CX279" s="274"/>
      <c r="CY279" s="274"/>
      <c r="CZ279" s="274"/>
      <c r="DA279" s="274"/>
      <c r="DB279" s="274"/>
      <c r="DC279" s="274"/>
      <c r="DD279" s="274"/>
      <c r="DE279" s="274"/>
      <c r="DF279" s="274"/>
      <c r="DG279" s="274"/>
      <c r="DH279" s="274"/>
      <c r="DI279" s="274"/>
      <c r="DJ279" s="274"/>
      <c r="DK279" s="274"/>
      <c r="DL279" s="274"/>
      <c r="DM279" s="274"/>
      <c r="DN279" s="274"/>
      <c r="DO279" s="274"/>
      <c r="DP279" s="274"/>
      <c r="DQ279" s="274"/>
      <c r="DR279" s="274"/>
      <c r="DS279" s="274"/>
      <c r="DT279" s="274"/>
      <c r="DU279" s="274"/>
      <c r="DV279" s="274"/>
      <c r="DW279" s="274"/>
      <c r="DX279" s="274"/>
      <c r="DY279" s="274"/>
      <c r="DZ279" s="274"/>
      <c r="EA279" s="274"/>
      <c r="EB279" s="274"/>
      <c r="EC279" s="274"/>
      <c r="ED279" s="274"/>
      <c r="EE279" s="274"/>
      <c r="EF279" s="274"/>
    </row>
    <row r="280" spans="1:136" s="453" customFormat="1" ht="39" hidden="1" customHeight="1">
      <c r="A280" s="2809"/>
      <c r="B280" s="2793"/>
      <c r="C280" s="2808"/>
      <c r="D280" s="444" t="s">
        <v>2747</v>
      </c>
      <c r="E280" s="445"/>
      <c r="F280" s="468"/>
      <c r="G280" s="445"/>
      <c r="H280" s="445"/>
      <c r="I280" s="445"/>
      <c r="J280" s="447">
        <v>0</v>
      </c>
      <c r="K280" s="445"/>
      <c r="L280" s="445"/>
      <c r="M280" s="1529"/>
      <c r="N280" s="557"/>
      <c r="O280" s="298"/>
      <c r="P280" s="1543"/>
      <c r="Q280" s="298"/>
      <c r="R280" s="1543"/>
      <c r="S280" s="2799"/>
      <c r="T280" s="2800"/>
      <c r="U280" s="2829"/>
      <c r="V280" s="2784"/>
      <c r="W280" s="2785"/>
      <c r="X280" s="2785"/>
      <c r="Y280" s="2785"/>
      <c r="Z280" s="2785"/>
      <c r="AA280" s="2785"/>
      <c r="AB280" s="2786"/>
      <c r="AC280" s="2794"/>
      <c r="AE280" s="274"/>
      <c r="AF280" s="274"/>
      <c r="AG280" s="274"/>
      <c r="AH280" s="274"/>
      <c r="AI280" s="274"/>
      <c r="AJ280" s="274"/>
      <c r="AK280" s="274"/>
      <c r="AL280" s="274"/>
      <c r="AM280" s="274"/>
      <c r="AN280" s="274"/>
      <c r="AO280" s="274"/>
      <c r="AP280" s="274"/>
      <c r="AQ280" s="274"/>
      <c r="AR280" s="274"/>
      <c r="AS280" s="274"/>
      <c r="AT280" s="274"/>
      <c r="AU280" s="274"/>
      <c r="AV280" s="274"/>
      <c r="AW280" s="274"/>
      <c r="AX280" s="274"/>
      <c r="AY280" s="274"/>
      <c r="AZ280" s="274"/>
      <c r="BA280" s="274"/>
      <c r="BB280" s="274"/>
      <c r="BC280" s="274"/>
      <c r="BD280" s="274"/>
      <c r="BE280" s="274"/>
      <c r="BF280" s="274"/>
      <c r="BG280" s="274"/>
      <c r="BH280" s="274"/>
      <c r="BI280" s="274"/>
      <c r="BJ280" s="274"/>
      <c r="BK280" s="274"/>
      <c r="BL280" s="274"/>
      <c r="BM280" s="274"/>
      <c r="BN280" s="274"/>
      <c r="BO280" s="274"/>
      <c r="BP280" s="274"/>
      <c r="BQ280" s="274"/>
      <c r="BR280" s="274"/>
      <c r="BS280" s="274"/>
      <c r="BT280" s="274"/>
      <c r="BU280" s="274"/>
      <c r="BV280" s="274"/>
      <c r="BW280" s="274"/>
      <c r="BX280" s="274"/>
      <c r="BY280" s="274"/>
      <c r="BZ280" s="274"/>
      <c r="CA280" s="274"/>
      <c r="CB280" s="274"/>
      <c r="CC280" s="274"/>
      <c r="CD280" s="274"/>
      <c r="CE280" s="274"/>
      <c r="CF280" s="274"/>
      <c r="CG280" s="274"/>
      <c r="CH280" s="274"/>
      <c r="CI280" s="274"/>
      <c r="CJ280" s="274"/>
      <c r="CK280" s="274"/>
      <c r="CL280" s="274"/>
      <c r="CM280" s="274"/>
      <c r="CN280" s="274"/>
      <c r="CO280" s="274"/>
      <c r="CP280" s="274"/>
      <c r="CQ280" s="274"/>
      <c r="CR280" s="274"/>
      <c r="CS280" s="274"/>
      <c r="CT280" s="274"/>
      <c r="CU280" s="274"/>
      <c r="CV280" s="274"/>
      <c r="CW280" s="274"/>
      <c r="CX280" s="274"/>
      <c r="CY280" s="274"/>
      <c r="CZ280" s="274"/>
      <c r="DA280" s="274"/>
      <c r="DB280" s="274"/>
      <c r="DC280" s="274"/>
      <c r="DD280" s="274"/>
      <c r="DE280" s="274"/>
      <c r="DF280" s="274"/>
      <c r="DG280" s="274"/>
      <c r="DH280" s="274"/>
      <c r="DI280" s="274"/>
      <c r="DJ280" s="274"/>
      <c r="DK280" s="274"/>
      <c r="DL280" s="274"/>
      <c r="DM280" s="274"/>
      <c r="DN280" s="274"/>
      <c r="DO280" s="274"/>
      <c r="DP280" s="274"/>
      <c r="DQ280" s="274"/>
      <c r="DR280" s="274"/>
      <c r="DS280" s="274"/>
      <c r="DT280" s="274"/>
      <c r="DU280" s="274"/>
      <c r="DV280" s="274"/>
      <c r="DW280" s="274"/>
      <c r="DX280" s="274"/>
      <c r="DY280" s="274"/>
      <c r="DZ280" s="274"/>
      <c r="EA280" s="274"/>
      <c r="EB280" s="274"/>
      <c r="EC280" s="274"/>
      <c r="ED280" s="274"/>
      <c r="EE280" s="274"/>
      <c r="EF280" s="274"/>
    </row>
    <row r="281" spans="1:136" s="453" customFormat="1" ht="39" hidden="1" customHeight="1">
      <c r="A281" s="2809"/>
      <c r="B281" s="2793"/>
      <c r="C281" s="2808"/>
      <c r="D281" s="444" t="s">
        <v>3455</v>
      </c>
      <c r="E281" s="445"/>
      <c r="F281" s="468"/>
      <c r="G281" s="445"/>
      <c r="H281" s="445"/>
      <c r="I281" s="445"/>
      <c r="J281" s="447">
        <v>0</v>
      </c>
      <c r="K281" s="445"/>
      <c r="L281" s="445"/>
      <c r="M281" s="1529"/>
      <c r="N281" s="557"/>
      <c r="O281" s="298"/>
      <c r="P281" s="1543"/>
      <c r="Q281" s="298"/>
      <c r="R281" s="1543"/>
      <c r="S281" s="2799"/>
      <c r="T281" s="2800"/>
      <c r="U281" s="2829"/>
      <c r="V281" s="2784"/>
      <c r="W281" s="2785"/>
      <c r="X281" s="2785"/>
      <c r="Y281" s="2785"/>
      <c r="Z281" s="2785"/>
      <c r="AA281" s="2785"/>
      <c r="AB281" s="2786"/>
      <c r="AC281" s="2794"/>
      <c r="AE281" s="274"/>
      <c r="AF281" s="274"/>
      <c r="AG281" s="274"/>
      <c r="AH281" s="274"/>
      <c r="AI281" s="274"/>
      <c r="AJ281" s="274"/>
      <c r="AK281" s="274"/>
      <c r="AL281" s="274"/>
      <c r="AM281" s="274"/>
      <c r="AN281" s="274"/>
      <c r="AO281" s="274"/>
      <c r="AP281" s="274"/>
      <c r="AQ281" s="274"/>
      <c r="AR281" s="274"/>
      <c r="AS281" s="274"/>
      <c r="AT281" s="274"/>
      <c r="AU281" s="274"/>
      <c r="AV281" s="274"/>
      <c r="AW281" s="274"/>
      <c r="AX281" s="274"/>
      <c r="AY281" s="274"/>
      <c r="AZ281" s="274"/>
      <c r="BA281" s="274"/>
      <c r="BB281" s="274"/>
      <c r="BC281" s="274"/>
      <c r="BD281" s="274"/>
      <c r="BE281" s="274"/>
      <c r="BF281" s="274"/>
      <c r="BG281" s="274"/>
      <c r="BH281" s="274"/>
      <c r="BI281" s="274"/>
      <c r="BJ281" s="274"/>
      <c r="BK281" s="274"/>
      <c r="BL281" s="274"/>
      <c r="BM281" s="274"/>
      <c r="BN281" s="274"/>
      <c r="BO281" s="274"/>
      <c r="BP281" s="274"/>
      <c r="BQ281" s="274"/>
      <c r="BR281" s="274"/>
      <c r="BS281" s="274"/>
      <c r="BT281" s="274"/>
      <c r="BU281" s="274"/>
      <c r="BV281" s="274"/>
      <c r="BW281" s="274"/>
      <c r="BX281" s="274"/>
      <c r="BY281" s="274"/>
      <c r="BZ281" s="274"/>
      <c r="CA281" s="274"/>
      <c r="CB281" s="274"/>
      <c r="CC281" s="274"/>
      <c r="CD281" s="274"/>
      <c r="CE281" s="274"/>
      <c r="CF281" s="274"/>
      <c r="CG281" s="274"/>
      <c r="CH281" s="274"/>
      <c r="CI281" s="274"/>
      <c r="CJ281" s="274"/>
      <c r="CK281" s="274"/>
      <c r="CL281" s="274"/>
      <c r="CM281" s="274"/>
      <c r="CN281" s="274"/>
      <c r="CO281" s="274"/>
      <c r="CP281" s="274"/>
      <c r="CQ281" s="274"/>
      <c r="CR281" s="274"/>
      <c r="CS281" s="274"/>
      <c r="CT281" s="274"/>
      <c r="CU281" s="274"/>
      <c r="CV281" s="274"/>
      <c r="CW281" s="274"/>
      <c r="CX281" s="274"/>
      <c r="CY281" s="274"/>
      <c r="CZ281" s="274"/>
      <c r="DA281" s="274"/>
      <c r="DB281" s="274"/>
      <c r="DC281" s="274"/>
      <c r="DD281" s="274"/>
      <c r="DE281" s="274"/>
      <c r="DF281" s="274"/>
      <c r="DG281" s="274"/>
      <c r="DH281" s="274"/>
      <c r="DI281" s="274"/>
      <c r="DJ281" s="274"/>
      <c r="DK281" s="274"/>
      <c r="DL281" s="274"/>
      <c r="DM281" s="274"/>
      <c r="DN281" s="274"/>
      <c r="DO281" s="274"/>
      <c r="DP281" s="274"/>
      <c r="DQ281" s="274"/>
      <c r="DR281" s="274"/>
      <c r="DS281" s="274"/>
      <c r="DT281" s="274"/>
      <c r="DU281" s="274"/>
      <c r="DV281" s="274"/>
      <c r="DW281" s="274"/>
      <c r="DX281" s="274"/>
      <c r="DY281" s="274"/>
      <c r="DZ281" s="274"/>
      <c r="EA281" s="274"/>
      <c r="EB281" s="274"/>
      <c r="EC281" s="274"/>
      <c r="ED281" s="274"/>
      <c r="EE281" s="274"/>
      <c r="EF281" s="274"/>
    </row>
    <row r="282" spans="1:136" s="453" customFormat="1" ht="39" hidden="1" customHeight="1">
      <c r="A282" s="2809"/>
      <c r="B282" s="2793"/>
      <c r="C282" s="2808"/>
      <c r="D282" s="1838" t="s">
        <v>3452</v>
      </c>
      <c r="E282" s="1834"/>
      <c r="F282" s="1839"/>
      <c r="G282" s="1834"/>
      <c r="H282" s="1834"/>
      <c r="I282" s="1834"/>
      <c r="J282" s="1835">
        <f>SUM(J278,J279,J280,J281)</f>
        <v>339.58099999999996</v>
      </c>
      <c r="K282" s="1834">
        <f>SUM(K278,K279,K280,K281)</f>
        <v>339.58099999999996</v>
      </c>
      <c r="L282" s="1834">
        <f t="shared" ref="L282:M282" si="207">SUM(L278,L279,L280,L281)</f>
        <v>95.608000000000004</v>
      </c>
      <c r="M282" s="1836">
        <f t="shared" si="207"/>
        <v>95.608000000000004</v>
      </c>
      <c r="N282" s="2072">
        <f t="shared" si="200"/>
        <v>-0.71845303476931865</v>
      </c>
      <c r="O282" s="1834">
        <f t="shared" ref="O282:P282" si="208">SUM(O278,O279,O280,O281)</f>
        <v>0</v>
      </c>
      <c r="P282" s="1836">
        <f t="shared" si="208"/>
        <v>0</v>
      </c>
      <c r="Q282" s="1834">
        <f t="shared" ref="Q282:R282" si="209">SUM(Q278,Q279,Q280,Q281)</f>
        <v>0</v>
      </c>
      <c r="R282" s="1836">
        <f t="shared" si="209"/>
        <v>0</v>
      </c>
      <c r="S282" s="2799"/>
      <c r="T282" s="2800"/>
      <c r="U282" s="2829"/>
      <c r="V282" s="2784"/>
      <c r="W282" s="2785"/>
      <c r="X282" s="2785"/>
      <c r="Y282" s="2785"/>
      <c r="Z282" s="2785"/>
      <c r="AA282" s="2785"/>
      <c r="AB282" s="2786"/>
      <c r="AC282" s="2794"/>
      <c r="AE282" s="274"/>
      <c r="AF282" s="274"/>
      <c r="AG282" s="274"/>
      <c r="AH282" s="274"/>
      <c r="AI282" s="274"/>
      <c r="AJ282" s="274"/>
      <c r="AK282" s="274"/>
      <c r="AL282" s="274"/>
      <c r="AM282" s="274"/>
      <c r="AN282" s="274"/>
      <c r="AO282" s="274"/>
      <c r="AP282" s="274"/>
      <c r="AQ282" s="274"/>
      <c r="AR282" s="274"/>
      <c r="AS282" s="274"/>
      <c r="AT282" s="274"/>
      <c r="AU282" s="274"/>
      <c r="AV282" s="274"/>
      <c r="AW282" s="274"/>
      <c r="AX282" s="274"/>
      <c r="AY282" s="274"/>
      <c r="AZ282" s="274"/>
      <c r="BA282" s="274"/>
      <c r="BB282" s="274"/>
      <c r="BC282" s="274"/>
      <c r="BD282" s="274"/>
      <c r="BE282" s="274"/>
      <c r="BF282" s="274"/>
      <c r="BG282" s="274"/>
      <c r="BH282" s="274"/>
      <c r="BI282" s="274"/>
      <c r="BJ282" s="274"/>
      <c r="BK282" s="274"/>
      <c r="BL282" s="274"/>
      <c r="BM282" s="274"/>
      <c r="BN282" s="274"/>
      <c r="BO282" s="274"/>
      <c r="BP282" s="274"/>
      <c r="BQ282" s="274"/>
      <c r="BR282" s="274"/>
      <c r="BS282" s="274"/>
      <c r="BT282" s="274"/>
      <c r="BU282" s="274"/>
      <c r="BV282" s="274"/>
      <c r="BW282" s="274"/>
      <c r="BX282" s="274"/>
      <c r="BY282" s="274"/>
      <c r="BZ282" s="274"/>
      <c r="CA282" s="274"/>
      <c r="CB282" s="274"/>
      <c r="CC282" s="274"/>
      <c r="CD282" s="274"/>
      <c r="CE282" s="274"/>
      <c r="CF282" s="274"/>
      <c r="CG282" s="274"/>
      <c r="CH282" s="274"/>
      <c r="CI282" s="274"/>
      <c r="CJ282" s="274"/>
      <c r="CK282" s="274"/>
      <c r="CL282" s="274"/>
      <c r="CM282" s="274"/>
      <c r="CN282" s="274"/>
      <c r="CO282" s="274"/>
      <c r="CP282" s="274"/>
      <c r="CQ282" s="274"/>
      <c r="CR282" s="274"/>
      <c r="CS282" s="274"/>
      <c r="CT282" s="274"/>
      <c r="CU282" s="274"/>
      <c r="CV282" s="274"/>
      <c r="CW282" s="274"/>
      <c r="CX282" s="274"/>
      <c r="CY282" s="274"/>
      <c r="CZ282" s="274"/>
      <c r="DA282" s="274"/>
      <c r="DB282" s="274"/>
      <c r="DC282" s="274"/>
      <c r="DD282" s="274"/>
      <c r="DE282" s="274"/>
      <c r="DF282" s="274"/>
      <c r="DG282" s="274"/>
      <c r="DH282" s="274"/>
      <c r="DI282" s="274"/>
      <c r="DJ282" s="274"/>
      <c r="DK282" s="274"/>
      <c r="DL282" s="274"/>
      <c r="DM282" s="274"/>
      <c r="DN282" s="274"/>
      <c r="DO282" s="274"/>
      <c r="DP282" s="274"/>
      <c r="DQ282" s="274"/>
      <c r="DR282" s="274"/>
      <c r="DS282" s="274"/>
      <c r="DT282" s="274"/>
      <c r="DU282" s="274"/>
      <c r="DV282" s="274"/>
      <c r="DW282" s="274"/>
      <c r="DX282" s="274"/>
      <c r="DY282" s="274"/>
      <c r="DZ282" s="274"/>
      <c r="EA282" s="274"/>
      <c r="EB282" s="274"/>
      <c r="EC282" s="274"/>
      <c r="ED282" s="274"/>
      <c r="EE282" s="274"/>
      <c r="EF282" s="274"/>
    </row>
    <row r="283" spans="1:136" s="453" customFormat="1" ht="39" hidden="1" customHeight="1">
      <c r="A283" s="2809"/>
      <c r="B283" s="2793" t="s">
        <v>2540</v>
      </c>
      <c r="C283" s="2808"/>
      <c r="D283" s="444" t="s">
        <v>246</v>
      </c>
      <c r="E283" s="445"/>
      <c r="F283" s="468"/>
      <c r="G283" s="445"/>
      <c r="H283" s="445"/>
      <c r="I283" s="445"/>
      <c r="J283" s="447">
        <v>7.6029999999999998</v>
      </c>
      <c r="K283" s="445">
        <v>7.6029999999999998</v>
      </c>
      <c r="L283" s="445">
        <v>7.7069999999999999</v>
      </c>
      <c r="M283" s="1529">
        <v>7.7069999999999999</v>
      </c>
      <c r="N283" s="557">
        <f t="shared" si="200"/>
        <v>1.367881099565962E-2</v>
      </c>
      <c r="O283" s="445"/>
      <c r="P283" s="1529"/>
      <c r="Q283" s="445"/>
      <c r="R283" s="1529"/>
      <c r="S283" s="2799"/>
      <c r="T283" s="2800"/>
      <c r="U283" s="2829"/>
      <c r="V283" s="2784"/>
      <c r="W283" s="2785"/>
      <c r="X283" s="2785"/>
      <c r="Y283" s="2785"/>
      <c r="Z283" s="2785"/>
      <c r="AA283" s="2785"/>
      <c r="AB283" s="2786"/>
      <c r="AC283" s="2794"/>
      <c r="AE283" s="274"/>
      <c r="AF283" s="274"/>
      <c r="AG283" s="274"/>
      <c r="AH283" s="274"/>
      <c r="AI283" s="274"/>
      <c r="AJ283" s="274"/>
      <c r="AK283" s="274"/>
      <c r="AL283" s="274"/>
      <c r="AM283" s="274"/>
      <c r="AN283" s="274"/>
      <c r="AO283" s="274"/>
      <c r="AP283" s="274"/>
      <c r="AQ283" s="274"/>
      <c r="AR283" s="274"/>
      <c r="AS283" s="274"/>
      <c r="AT283" s="274"/>
      <c r="AU283" s="274"/>
      <c r="AV283" s="274"/>
      <c r="AW283" s="274"/>
      <c r="AX283" s="274"/>
      <c r="AY283" s="274"/>
      <c r="AZ283" s="274"/>
      <c r="BA283" s="274"/>
      <c r="BB283" s="274"/>
      <c r="BC283" s="274"/>
      <c r="BD283" s="274"/>
      <c r="BE283" s="274"/>
      <c r="BF283" s="274"/>
      <c r="BG283" s="274"/>
      <c r="BH283" s="274"/>
      <c r="BI283" s="274"/>
      <c r="BJ283" s="274"/>
      <c r="BK283" s="274"/>
      <c r="BL283" s="274"/>
      <c r="BM283" s="274"/>
      <c r="BN283" s="274"/>
      <c r="BO283" s="274"/>
      <c r="BP283" s="274"/>
      <c r="BQ283" s="274"/>
      <c r="BR283" s="274"/>
      <c r="BS283" s="274"/>
      <c r="BT283" s="274"/>
      <c r="BU283" s="274"/>
      <c r="BV283" s="274"/>
      <c r="BW283" s="274"/>
      <c r="BX283" s="274"/>
      <c r="BY283" s="274"/>
      <c r="BZ283" s="274"/>
      <c r="CA283" s="274"/>
      <c r="CB283" s="274"/>
      <c r="CC283" s="274"/>
      <c r="CD283" s="274"/>
      <c r="CE283" s="274"/>
      <c r="CF283" s="274"/>
      <c r="CG283" s="274"/>
      <c r="CH283" s="274"/>
      <c r="CI283" s="274"/>
      <c r="CJ283" s="274"/>
      <c r="CK283" s="274"/>
      <c r="CL283" s="274"/>
      <c r="CM283" s="274"/>
      <c r="CN283" s="274"/>
      <c r="CO283" s="274"/>
      <c r="CP283" s="274"/>
      <c r="CQ283" s="274"/>
      <c r="CR283" s="274"/>
      <c r="CS283" s="274"/>
      <c r="CT283" s="274"/>
      <c r="CU283" s="274"/>
      <c r="CV283" s="274"/>
      <c r="CW283" s="274"/>
      <c r="CX283" s="274"/>
      <c r="CY283" s="274"/>
      <c r="CZ283" s="274"/>
      <c r="DA283" s="274"/>
      <c r="DB283" s="274"/>
      <c r="DC283" s="274"/>
      <c r="DD283" s="274"/>
      <c r="DE283" s="274"/>
      <c r="DF283" s="274"/>
      <c r="DG283" s="274"/>
      <c r="DH283" s="274"/>
      <c r="DI283" s="274"/>
      <c r="DJ283" s="274"/>
      <c r="DK283" s="274"/>
      <c r="DL283" s="274"/>
      <c r="DM283" s="274"/>
      <c r="DN283" s="274"/>
      <c r="DO283" s="274"/>
      <c r="DP283" s="274"/>
      <c r="DQ283" s="274"/>
      <c r="DR283" s="274"/>
      <c r="DS283" s="274"/>
      <c r="DT283" s="274"/>
      <c r="DU283" s="274"/>
      <c r="DV283" s="274"/>
      <c r="DW283" s="274"/>
      <c r="DX283" s="274"/>
      <c r="DY283" s="274"/>
      <c r="DZ283" s="274"/>
      <c r="EA283" s="274"/>
      <c r="EB283" s="274"/>
      <c r="EC283" s="274"/>
      <c r="ED283" s="274"/>
      <c r="EE283" s="274"/>
      <c r="EF283" s="274"/>
    </row>
    <row r="284" spans="1:136" s="453" customFormat="1" ht="39" hidden="1" customHeight="1">
      <c r="A284" s="2809"/>
      <c r="B284" s="2793"/>
      <c r="C284" s="2808"/>
      <c r="D284" s="444" t="s">
        <v>412</v>
      </c>
      <c r="E284" s="445"/>
      <c r="F284" s="468"/>
      <c r="G284" s="445"/>
      <c r="H284" s="445"/>
      <c r="I284" s="445"/>
      <c r="J284" s="447">
        <v>2.6269999999999998</v>
      </c>
      <c r="K284" s="445">
        <v>2.6269999999999998</v>
      </c>
      <c r="L284" s="445"/>
      <c r="M284" s="1529"/>
      <c r="N284" s="557">
        <f t="shared" si="200"/>
        <v>-1</v>
      </c>
      <c r="O284" s="445"/>
      <c r="P284" s="1529"/>
      <c r="Q284" s="445"/>
      <c r="R284" s="1529"/>
      <c r="S284" s="2799"/>
      <c r="T284" s="2800"/>
      <c r="U284" s="2829"/>
      <c r="V284" s="2784"/>
      <c r="W284" s="2785"/>
      <c r="X284" s="2785"/>
      <c r="Y284" s="2785"/>
      <c r="Z284" s="2785"/>
      <c r="AA284" s="2785"/>
      <c r="AB284" s="2786"/>
      <c r="AC284" s="2794"/>
      <c r="AE284" s="274"/>
      <c r="AF284" s="274"/>
      <c r="AG284" s="274"/>
      <c r="AH284" s="274"/>
      <c r="AI284" s="274"/>
      <c r="AJ284" s="274"/>
      <c r="AK284" s="274"/>
      <c r="AL284" s="274"/>
      <c r="AM284" s="274"/>
      <c r="AN284" s="274"/>
      <c r="AO284" s="274"/>
      <c r="AP284" s="274"/>
      <c r="AQ284" s="274"/>
      <c r="AR284" s="274"/>
      <c r="AS284" s="274"/>
      <c r="AT284" s="274"/>
      <c r="AU284" s="274"/>
      <c r="AV284" s="274"/>
      <c r="AW284" s="274"/>
      <c r="AX284" s="274"/>
      <c r="AY284" s="274"/>
      <c r="AZ284" s="274"/>
      <c r="BA284" s="274"/>
      <c r="BB284" s="274"/>
      <c r="BC284" s="274"/>
      <c r="BD284" s="274"/>
      <c r="BE284" s="274"/>
      <c r="BF284" s="274"/>
      <c r="BG284" s="274"/>
      <c r="BH284" s="274"/>
      <c r="BI284" s="274"/>
      <c r="BJ284" s="274"/>
      <c r="BK284" s="274"/>
      <c r="BL284" s="274"/>
      <c r="BM284" s="274"/>
      <c r="BN284" s="274"/>
      <c r="BO284" s="274"/>
      <c r="BP284" s="274"/>
      <c r="BQ284" s="274"/>
      <c r="BR284" s="274"/>
      <c r="BS284" s="274"/>
      <c r="BT284" s="274"/>
      <c r="BU284" s="274"/>
      <c r="BV284" s="274"/>
      <c r="BW284" s="274"/>
      <c r="BX284" s="274"/>
      <c r="BY284" s="274"/>
      <c r="BZ284" s="274"/>
      <c r="CA284" s="274"/>
      <c r="CB284" s="274"/>
      <c r="CC284" s="274"/>
      <c r="CD284" s="274"/>
      <c r="CE284" s="274"/>
      <c r="CF284" s="274"/>
      <c r="CG284" s="274"/>
      <c r="CH284" s="274"/>
      <c r="CI284" s="274"/>
      <c r="CJ284" s="274"/>
      <c r="CK284" s="274"/>
      <c r="CL284" s="274"/>
      <c r="CM284" s="274"/>
      <c r="CN284" s="274"/>
      <c r="CO284" s="274"/>
      <c r="CP284" s="274"/>
      <c r="CQ284" s="274"/>
      <c r="CR284" s="274"/>
      <c r="CS284" s="274"/>
      <c r="CT284" s="274"/>
      <c r="CU284" s="274"/>
      <c r="CV284" s="274"/>
      <c r="CW284" s="274"/>
      <c r="CX284" s="274"/>
      <c r="CY284" s="274"/>
      <c r="CZ284" s="274"/>
      <c r="DA284" s="274"/>
      <c r="DB284" s="274"/>
      <c r="DC284" s="274"/>
      <c r="DD284" s="274"/>
      <c r="DE284" s="274"/>
      <c r="DF284" s="274"/>
      <c r="DG284" s="274"/>
      <c r="DH284" s="274"/>
      <c r="DI284" s="274"/>
      <c r="DJ284" s="274"/>
      <c r="DK284" s="274"/>
      <c r="DL284" s="274"/>
      <c r="DM284" s="274"/>
      <c r="DN284" s="274"/>
      <c r="DO284" s="274"/>
      <c r="DP284" s="274"/>
      <c r="DQ284" s="274"/>
      <c r="DR284" s="274"/>
      <c r="DS284" s="274"/>
      <c r="DT284" s="274"/>
      <c r="DU284" s="274"/>
      <c r="DV284" s="274"/>
      <c r="DW284" s="274"/>
      <c r="DX284" s="274"/>
      <c r="DY284" s="274"/>
      <c r="DZ284" s="274"/>
      <c r="EA284" s="274"/>
      <c r="EB284" s="274"/>
      <c r="EC284" s="274"/>
      <c r="ED284" s="274"/>
      <c r="EE284" s="274"/>
      <c r="EF284" s="274"/>
    </row>
    <row r="285" spans="1:136" s="453" customFormat="1" ht="39" hidden="1" customHeight="1">
      <c r="A285" s="2809"/>
      <c r="B285" s="2793"/>
      <c r="C285" s="2808"/>
      <c r="D285" s="444" t="s">
        <v>2747</v>
      </c>
      <c r="E285" s="445"/>
      <c r="F285" s="468"/>
      <c r="G285" s="445"/>
      <c r="H285" s="445"/>
      <c r="I285" s="445"/>
      <c r="J285" s="447">
        <v>0</v>
      </c>
      <c r="K285" s="445"/>
      <c r="L285" s="445"/>
      <c r="M285" s="1529"/>
      <c r="N285" s="557"/>
      <c r="O285" s="445"/>
      <c r="P285" s="1529"/>
      <c r="Q285" s="445"/>
      <c r="R285" s="1529"/>
      <c r="S285" s="2799"/>
      <c r="T285" s="2800"/>
      <c r="U285" s="2829"/>
      <c r="V285" s="2784"/>
      <c r="W285" s="2785"/>
      <c r="X285" s="2785"/>
      <c r="Y285" s="2785"/>
      <c r="Z285" s="2785"/>
      <c r="AA285" s="2785"/>
      <c r="AB285" s="2786"/>
      <c r="AC285" s="2794"/>
      <c r="AE285" s="274"/>
      <c r="AF285" s="274"/>
      <c r="AG285" s="274"/>
      <c r="AH285" s="274"/>
      <c r="AI285" s="274"/>
      <c r="AJ285" s="274"/>
      <c r="AK285" s="274"/>
      <c r="AL285" s="274"/>
      <c r="AM285" s="274"/>
      <c r="AN285" s="274"/>
      <c r="AO285" s="274"/>
      <c r="AP285" s="274"/>
      <c r="AQ285" s="274"/>
      <c r="AR285" s="274"/>
      <c r="AS285" s="274"/>
      <c r="AT285" s="274"/>
      <c r="AU285" s="274"/>
      <c r="AV285" s="274"/>
      <c r="AW285" s="274"/>
      <c r="AX285" s="274"/>
      <c r="AY285" s="274"/>
      <c r="AZ285" s="274"/>
      <c r="BA285" s="274"/>
      <c r="BB285" s="274"/>
      <c r="BC285" s="274"/>
      <c r="BD285" s="274"/>
      <c r="BE285" s="274"/>
      <c r="BF285" s="274"/>
      <c r="BG285" s="274"/>
      <c r="BH285" s="274"/>
      <c r="BI285" s="274"/>
      <c r="BJ285" s="274"/>
      <c r="BK285" s="274"/>
      <c r="BL285" s="274"/>
      <c r="BM285" s="274"/>
      <c r="BN285" s="274"/>
      <c r="BO285" s="274"/>
      <c r="BP285" s="274"/>
      <c r="BQ285" s="274"/>
      <c r="BR285" s="274"/>
      <c r="BS285" s="274"/>
      <c r="BT285" s="274"/>
      <c r="BU285" s="274"/>
      <c r="BV285" s="274"/>
      <c r="BW285" s="274"/>
      <c r="BX285" s="274"/>
      <c r="BY285" s="274"/>
      <c r="BZ285" s="274"/>
      <c r="CA285" s="274"/>
      <c r="CB285" s="274"/>
      <c r="CC285" s="274"/>
      <c r="CD285" s="274"/>
      <c r="CE285" s="274"/>
      <c r="CF285" s="274"/>
      <c r="CG285" s="274"/>
      <c r="CH285" s="274"/>
      <c r="CI285" s="274"/>
      <c r="CJ285" s="274"/>
      <c r="CK285" s="274"/>
      <c r="CL285" s="274"/>
      <c r="CM285" s="274"/>
      <c r="CN285" s="274"/>
      <c r="CO285" s="274"/>
      <c r="CP285" s="274"/>
      <c r="CQ285" s="274"/>
      <c r="CR285" s="274"/>
      <c r="CS285" s="274"/>
      <c r="CT285" s="274"/>
      <c r="CU285" s="274"/>
      <c r="CV285" s="274"/>
      <c r="CW285" s="274"/>
      <c r="CX285" s="274"/>
      <c r="CY285" s="274"/>
      <c r="CZ285" s="274"/>
      <c r="DA285" s="274"/>
      <c r="DB285" s="274"/>
      <c r="DC285" s="274"/>
      <c r="DD285" s="274"/>
      <c r="DE285" s="274"/>
      <c r="DF285" s="274"/>
      <c r="DG285" s="274"/>
      <c r="DH285" s="274"/>
      <c r="DI285" s="274"/>
      <c r="DJ285" s="274"/>
      <c r="DK285" s="274"/>
      <c r="DL285" s="274"/>
      <c r="DM285" s="274"/>
      <c r="DN285" s="274"/>
      <c r="DO285" s="274"/>
      <c r="DP285" s="274"/>
      <c r="DQ285" s="274"/>
      <c r="DR285" s="274"/>
      <c r="DS285" s="274"/>
      <c r="DT285" s="274"/>
      <c r="DU285" s="274"/>
      <c r="DV285" s="274"/>
      <c r="DW285" s="274"/>
      <c r="DX285" s="274"/>
      <c r="DY285" s="274"/>
      <c r="DZ285" s="274"/>
      <c r="EA285" s="274"/>
      <c r="EB285" s="274"/>
      <c r="EC285" s="274"/>
      <c r="ED285" s="274"/>
      <c r="EE285" s="274"/>
      <c r="EF285" s="274"/>
    </row>
    <row r="286" spans="1:136" s="453" customFormat="1" ht="39" hidden="1" customHeight="1">
      <c r="A286" s="2809"/>
      <c r="B286" s="2793"/>
      <c r="C286" s="2808"/>
      <c r="D286" s="444" t="s">
        <v>3455</v>
      </c>
      <c r="E286" s="445"/>
      <c r="F286" s="468"/>
      <c r="G286" s="445"/>
      <c r="H286" s="445"/>
      <c r="I286" s="445"/>
      <c r="J286" s="447">
        <v>0</v>
      </c>
      <c r="K286" s="445"/>
      <c r="L286" s="445"/>
      <c r="M286" s="1529"/>
      <c r="N286" s="557"/>
      <c r="O286" s="445"/>
      <c r="P286" s="1529"/>
      <c r="Q286" s="445"/>
      <c r="R286" s="1529"/>
      <c r="S286" s="2799"/>
      <c r="T286" s="2800"/>
      <c r="U286" s="2829"/>
      <c r="V286" s="2784"/>
      <c r="W286" s="2785"/>
      <c r="X286" s="2785"/>
      <c r="Y286" s="2785"/>
      <c r="Z286" s="2785"/>
      <c r="AA286" s="2785"/>
      <c r="AB286" s="2786"/>
      <c r="AC286" s="2794"/>
      <c r="AE286" s="274"/>
      <c r="AF286" s="274"/>
      <c r="AG286" s="274"/>
      <c r="AH286" s="274"/>
      <c r="AI286" s="274"/>
      <c r="AJ286" s="274"/>
      <c r="AK286" s="274"/>
      <c r="AL286" s="274"/>
      <c r="AM286" s="274"/>
      <c r="AN286" s="274"/>
      <c r="AO286" s="274"/>
      <c r="AP286" s="274"/>
      <c r="AQ286" s="274"/>
      <c r="AR286" s="274"/>
      <c r="AS286" s="274"/>
      <c r="AT286" s="274"/>
      <c r="AU286" s="274"/>
      <c r="AV286" s="274"/>
      <c r="AW286" s="274"/>
      <c r="AX286" s="274"/>
      <c r="AY286" s="274"/>
      <c r="AZ286" s="274"/>
      <c r="BA286" s="274"/>
      <c r="BB286" s="274"/>
      <c r="BC286" s="274"/>
      <c r="BD286" s="274"/>
      <c r="BE286" s="274"/>
      <c r="BF286" s="274"/>
      <c r="BG286" s="274"/>
      <c r="BH286" s="274"/>
      <c r="BI286" s="274"/>
      <c r="BJ286" s="274"/>
      <c r="BK286" s="274"/>
      <c r="BL286" s="274"/>
      <c r="BM286" s="274"/>
      <c r="BN286" s="274"/>
      <c r="BO286" s="274"/>
      <c r="BP286" s="274"/>
      <c r="BQ286" s="274"/>
      <c r="BR286" s="274"/>
      <c r="BS286" s="274"/>
      <c r="BT286" s="274"/>
      <c r="BU286" s="274"/>
      <c r="BV286" s="274"/>
      <c r="BW286" s="274"/>
      <c r="BX286" s="274"/>
      <c r="BY286" s="274"/>
      <c r="BZ286" s="274"/>
      <c r="CA286" s="274"/>
      <c r="CB286" s="274"/>
      <c r="CC286" s="274"/>
      <c r="CD286" s="274"/>
      <c r="CE286" s="274"/>
      <c r="CF286" s="274"/>
      <c r="CG286" s="274"/>
      <c r="CH286" s="274"/>
      <c r="CI286" s="274"/>
      <c r="CJ286" s="274"/>
      <c r="CK286" s="274"/>
      <c r="CL286" s="274"/>
      <c r="CM286" s="274"/>
      <c r="CN286" s="274"/>
      <c r="CO286" s="274"/>
      <c r="CP286" s="274"/>
      <c r="CQ286" s="274"/>
      <c r="CR286" s="274"/>
      <c r="CS286" s="274"/>
      <c r="CT286" s="274"/>
      <c r="CU286" s="274"/>
      <c r="CV286" s="274"/>
      <c r="CW286" s="274"/>
      <c r="CX286" s="274"/>
      <c r="CY286" s="274"/>
      <c r="CZ286" s="274"/>
      <c r="DA286" s="274"/>
      <c r="DB286" s="274"/>
      <c r="DC286" s="274"/>
      <c r="DD286" s="274"/>
      <c r="DE286" s="274"/>
      <c r="DF286" s="274"/>
      <c r="DG286" s="274"/>
      <c r="DH286" s="274"/>
      <c r="DI286" s="274"/>
      <c r="DJ286" s="274"/>
      <c r="DK286" s="274"/>
      <c r="DL286" s="274"/>
      <c r="DM286" s="274"/>
      <c r="DN286" s="274"/>
      <c r="DO286" s="274"/>
      <c r="DP286" s="274"/>
      <c r="DQ286" s="274"/>
      <c r="DR286" s="274"/>
      <c r="DS286" s="274"/>
      <c r="DT286" s="274"/>
      <c r="DU286" s="274"/>
      <c r="DV286" s="274"/>
      <c r="DW286" s="274"/>
      <c r="DX286" s="274"/>
      <c r="DY286" s="274"/>
      <c r="DZ286" s="274"/>
      <c r="EA286" s="274"/>
      <c r="EB286" s="274"/>
      <c r="EC286" s="274"/>
      <c r="ED286" s="274"/>
      <c r="EE286" s="274"/>
      <c r="EF286" s="274"/>
    </row>
    <row r="287" spans="1:136" s="453" customFormat="1" ht="39" hidden="1" customHeight="1">
      <c r="A287" s="2809"/>
      <c r="B287" s="2793"/>
      <c r="C287" s="2808"/>
      <c r="D287" s="1838" t="s">
        <v>3452</v>
      </c>
      <c r="E287" s="1834"/>
      <c r="F287" s="1839"/>
      <c r="G287" s="1834"/>
      <c r="H287" s="1834"/>
      <c r="I287" s="1834"/>
      <c r="J287" s="1835">
        <f>SUM(J283,J284,J285,J286)</f>
        <v>10.23</v>
      </c>
      <c r="K287" s="1834">
        <f>SUM(K283,K284,K285,K286)</f>
        <v>10.23</v>
      </c>
      <c r="L287" s="1834">
        <f t="shared" ref="L287:M287" si="210">SUM(L283,L284,L285,L286)</f>
        <v>7.7069999999999999</v>
      </c>
      <c r="M287" s="1836">
        <f t="shared" si="210"/>
        <v>7.7069999999999999</v>
      </c>
      <c r="N287" s="2072">
        <f t="shared" si="200"/>
        <v>-0.24662756598240473</v>
      </c>
      <c r="O287" s="1834">
        <f t="shared" ref="O287:P287" si="211">SUM(O283,O284,O285,O286)</f>
        <v>0</v>
      </c>
      <c r="P287" s="1836">
        <f t="shared" si="211"/>
        <v>0</v>
      </c>
      <c r="Q287" s="1834">
        <f t="shared" ref="Q287:R287" si="212">SUM(Q283,Q284,Q285,Q286)</f>
        <v>0</v>
      </c>
      <c r="R287" s="1836">
        <f t="shared" si="212"/>
        <v>0</v>
      </c>
      <c r="S287" s="2801"/>
      <c r="T287" s="2802"/>
      <c r="U287" s="2829"/>
      <c r="V287" s="2787"/>
      <c r="W287" s="2788"/>
      <c r="X287" s="2788"/>
      <c r="Y287" s="2788"/>
      <c r="Z287" s="2788"/>
      <c r="AA287" s="2788"/>
      <c r="AB287" s="2789"/>
      <c r="AC287" s="2794"/>
      <c r="AE287" s="274"/>
      <c r="AF287" s="274"/>
      <c r="AG287" s="274"/>
      <c r="AH287" s="274"/>
      <c r="AI287" s="274"/>
      <c r="AJ287" s="274"/>
      <c r="AK287" s="274"/>
      <c r="AL287" s="274"/>
      <c r="AM287" s="274"/>
      <c r="AN287" s="274"/>
      <c r="AO287" s="274"/>
      <c r="AP287" s="274"/>
      <c r="AQ287" s="274"/>
      <c r="AR287" s="274"/>
      <c r="AS287" s="274"/>
      <c r="AT287" s="274"/>
      <c r="AU287" s="274"/>
      <c r="AV287" s="274"/>
      <c r="AW287" s="274"/>
      <c r="AX287" s="274"/>
      <c r="AY287" s="274"/>
      <c r="AZ287" s="274"/>
      <c r="BA287" s="274"/>
      <c r="BB287" s="274"/>
      <c r="BC287" s="274"/>
      <c r="BD287" s="274"/>
      <c r="BE287" s="274"/>
      <c r="BF287" s="274"/>
      <c r="BG287" s="274"/>
      <c r="BH287" s="274"/>
      <c r="BI287" s="274"/>
      <c r="BJ287" s="274"/>
      <c r="BK287" s="274"/>
      <c r="BL287" s="274"/>
      <c r="BM287" s="274"/>
      <c r="BN287" s="274"/>
      <c r="BO287" s="274"/>
      <c r="BP287" s="274"/>
      <c r="BQ287" s="274"/>
      <c r="BR287" s="274"/>
      <c r="BS287" s="274"/>
      <c r="BT287" s="274"/>
      <c r="BU287" s="274"/>
      <c r="BV287" s="274"/>
      <c r="BW287" s="274"/>
      <c r="BX287" s="274"/>
      <c r="BY287" s="274"/>
      <c r="BZ287" s="274"/>
      <c r="CA287" s="274"/>
      <c r="CB287" s="274"/>
      <c r="CC287" s="274"/>
      <c r="CD287" s="274"/>
      <c r="CE287" s="274"/>
      <c r="CF287" s="274"/>
      <c r="CG287" s="274"/>
      <c r="CH287" s="274"/>
      <c r="CI287" s="274"/>
      <c r="CJ287" s="274"/>
      <c r="CK287" s="274"/>
      <c r="CL287" s="274"/>
      <c r="CM287" s="274"/>
      <c r="CN287" s="274"/>
      <c r="CO287" s="274"/>
      <c r="CP287" s="274"/>
      <c r="CQ287" s="274"/>
      <c r="CR287" s="274"/>
      <c r="CS287" s="274"/>
      <c r="CT287" s="274"/>
      <c r="CU287" s="274"/>
      <c r="CV287" s="274"/>
      <c r="CW287" s="274"/>
      <c r="CX287" s="274"/>
      <c r="CY287" s="274"/>
      <c r="CZ287" s="274"/>
      <c r="DA287" s="274"/>
      <c r="DB287" s="274"/>
      <c r="DC287" s="274"/>
      <c r="DD287" s="274"/>
      <c r="DE287" s="274"/>
      <c r="DF287" s="274"/>
      <c r="DG287" s="274"/>
      <c r="DH287" s="274"/>
      <c r="DI287" s="274"/>
      <c r="DJ287" s="274"/>
      <c r="DK287" s="274"/>
      <c r="DL287" s="274"/>
      <c r="DM287" s="274"/>
      <c r="DN287" s="274"/>
      <c r="DO287" s="274"/>
      <c r="DP287" s="274"/>
      <c r="DQ287" s="274"/>
      <c r="DR287" s="274"/>
      <c r="DS287" s="274"/>
      <c r="DT287" s="274"/>
      <c r="DU287" s="274"/>
      <c r="DV287" s="274"/>
      <c r="DW287" s="274"/>
      <c r="DX287" s="274"/>
      <c r="DY287" s="274"/>
      <c r="DZ287" s="274"/>
      <c r="EA287" s="274"/>
      <c r="EB287" s="274"/>
      <c r="EC287" s="274"/>
      <c r="ED287" s="274"/>
      <c r="EE287" s="274"/>
      <c r="EF287" s="274"/>
    </row>
    <row r="288" spans="1:136" ht="39" customHeight="1">
      <c r="A288" s="2791" t="s">
        <v>2841</v>
      </c>
      <c r="B288" s="2703" t="s">
        <v>3666</v>
      </c>
      <c r="C288" s="2806">
        <v>188711925</v>
      </c>
      <c r="D288" s="276" t="s">
        <v>2747</v>
      </c>
      <c r="E288" s="213">
        <v>100</v>
      </c>
      <c r="F288" s="291">
        <f>H288/E288-1</f>
        <v>1.3018999999999998</v>
      </c>
      <c r="G288" s="213">
        <v>214.43</v>
      </c>
      <c r="H288" s="213">
        <v>230.19</v>
      </c>
      <c r="I288" s="442">
        <f t="shared" ref="I288:I296" si="213">K288/H288-1</f>
        <v>-1</v>
      </c>
      <c r="J288" s="216"/>
      <c r="K288" s="213"/>
      <c r="L288" s="213">
        <v>96.332999999999998</v>
      </c>
      <c r="M288" s="1527"/>
      <c r="N288" s="2079"/>
      <c r="O288" s="213"/>
      <c r="P288" s="1527"/>
      <c r="Q288" s="213"/>
      <c r="R288" s="1527"/>
      <c r="S288" s="2796" t="s">
        <v>2163</v>
      </c>
      <c r="T288" s="2704" t="s">
        <v>4104</v>
      </c>
      <c r="U288" s="2829"/>
      <c r="V288" s="2766" t="s">
        <v>1610</v>
      </c>
      <c r="W288" s="2694" t="s">
        <v>3471</v>
      </c>
      <c r="X288" s="2766" t="s">
        <v>324</v>
      </c>
      <c r="Y288" s="2766" t="s">
        <v>1304</v>
      </c>
      <c r="Z288" s="2766" t="s">
        <v>1304</v>
      </c>
      <c r="AA288" s="2764" t="s">
        <v>392</v>
      </c>
      <c r="AB288" s="2764" t="s">
        <v>392</v>
      </c>
      <c r="AC288" s="2766" t="s">
        <v>2164</v>
      </c>
    </row>
    <row r="289" spans="1:30" ht="39" customHeight="1">
      <c r="A289" s="2791"/>
      <c r="B289" s="2703"/>
      <c r="C289" s="2806"/>
      <c r="D289" s="276" t="s">
        <v>470</v>
      </c>
      <c r="E289" s="213"/>
      <c r="F289" s="291"/>
      <c r="G289" s="213"/>
      <c r="H289" s="213"/>
      <c r="I289" s="442"/>
      <c r="J289" s="216">
        <v>41</v>
      </c>
      <c r="K289" s="213"/>
      <c r="L289" s="213"/>
      <c r="M289" s="1527">
        <v>96.332999999999998</v>
      </c>
      <c r="N289" s="2079"/>
      <c r="O289" s="213"/>
      <c r="P289" s="1527"/>
      <c r="Q289" s="213"/>
      <c r="R289" s="1527"/>
      <c r="S289" s="2796"/>
      <c r="T289" s="2704"/>
      <c r="U289" s="2829"/>
      <c r="V289" s="2766"/>
      <c r="W289" s="2694"/>
      <c r="X289" s="2766"/>
      <c r="Y289" s="2766"/>
      <c r="Z289" s="2766"/>
      <c r="AA289" s="2764"/>
      <c r="AB289" s="2764"/>
      <c r="AC289" s="2766"/>
    </row>
    <row r="290" spans="1:30" ht="39" customHeight="1">
      <c r="A290" s="2791"/>
      <c r="B290" s="2703"/>
      <c r="C290" s="2806"/>
      <c r="D290" s="276" t="s">
        <v>246</v>
      </c>
      <c r="E290" s="213"/>
      <c r="F290" s="291"/>
      <c r="G290" s="213"/>
      <c r="H290" s="213"/>
      <c r="I290" s="442"/>
      <c r="J290" s="216">
        <v>182.18899999999999</v>
      </c>
      <c r="K290" s="213">
        <v>182.18899999999999</v>
      </c>
      <c r="L290" s="213">
        <v>409.99700000000001</v>
      </c>
      <c r="M290" s="1527">
        <v>409.99700000000001</v>
      </c>
      <c r="N290" s="2079">
        <f>SUM(L290-K290)/K290</f>
        <v>1.2503938218004382</v>
      </c>
      <c r="O290" s="213"/>
      <c r="P290" s="1527"/>
      <c r="Q290" s="213"/>
      <c r="R290" s="1527"/>
      <c r="S290" s="2796"/>
      <c r="T290" s="2704"/>
      <c r="U290" s="2829"/>
      <c r="V290" s="2766"/>
      <c r="W290" s="2694"/>
      <c r="X290" s="2766"/>
      <c r="Y290" s="2766"/>
      <c r="Z290" s="2766"/>
      <c r="AA290" s="2764"/>
      <c r="AB290" s="2764"/>
      <c r="AC290" s="2766"/>
    </row>
    <row r="291" spans="1:30" ht="56.25" customHeight="1">
      <c r="A291" s="2791"/>
      <c r="B291" s="2703"/>
      <c r="C291" s="2806"/>
      <c r="D291" s="301" t="s">
        <v>1110</v>
      </c>
      <c r="E291" s="212">
        <f>E288</f>
        <v>100</v>
      </c>
      <c r="F291" s="294">
        <f>H291/E291-1</f>
        <v>1.3018999999999998</v>
      </c>
      <c r="G291" s="212">
        <f>G288</f>
        <v>214.43</v>
      </c>
      <c r="H291" s="212">
        <f>SUM(H288,H289:H290)</f>
        <v>230.19</v>
      </c>
      <c r="I291" s="452">
        <f t="shared" si="213"/>
        <v>-0.20852773795560187</v>
      </c>
      <c r="J291" s="257">
        <f t="shared" ref="J291:R291" si="214">SUM(J288,J289:J290)</f>
        <v>223.18899999999999</v>
      </c>
      <c r="K291" s="212">
        <f t="shared" si="214"/>
        <v>182.18899999999999</v>
      </c>
      <c r="L291" s="212">
        <f>SUM(L288,L289:L290)</f>
        <v>506.33000000000004</v>
      </c>
      <c r="M291" s="1528">
        <f>SUM(M288,M289:M290)</f>
        <v>506.33000000000004</v>
      </c>
      <c r="N291" s="2080">
        <f t="shared" si="200"/>
        <v>1.7791469298365987</v>
      </c>
      <c r="O291" s="212">
        <f t="shared" si="214"/>
        <v>0</v>
      </c>
      <c r="P291" s="1528">
        <f t="shared" si="214"/>
        <v>0</v>
      </c>
      <c r="Q291" s="212">
        <f t="shared" si="214"/>
        <v>0</v>
      </c>
      <c r="R291" s="1528">
        <f t="shared" si="214"/>
        <v>0</v>
      </c>
      <c r="S291" s="2796"/>
      <c r="T291" s="2734"/>
      <c r="U291" s="2829"/>
      <c r="V291" s="2766"/>
      <c r="W291" s="2694"/>
      <c r="X291" s="2766"/>
      <c r="Y291" s="2766"/>
      <c r="Z291" s="2766"/>
      <c r="AA291" s="2764"/>
      <c r="AB291" s="2764"/>
      <c r="AC291" s="2766"/>
      <c r="AD291" s="306" t="s">
        <v>2613</v>
      </c>
    </row>
    <row r="292" spans="1:30" ht="39" customHeight="1">
      <c r="A292" s="2840" t="s">
        <v>1933</v>
      </c>
      <c r="B292" s="2703" t="s">
        <v>2794</v>
      </c>
      <c r="C292" s="2718" t="s">
        <v>3016</v>
      </c>
      <c r="D292" s="183" t="s">
        <v>2747</v>
      </c>
      <c r="E292" s="213">
        <v>21</v>
      </c>
      <c r="F292" s="291">
        <f>H292/E292-1</f>
        <v>13.74</v>
      </c>
      <c r="G292" s="213">
        <v>185</v>
      </c>
      <c r="H292" s="213">
        <v>309.54000000000002</v>
      </c>
      <c r="I292" s="442">
        <f t="shared" si="213"/>
        <v>-0.20236479937972474</v>
      </c>
      <c r="J292" s="216"/>
      <c r="K292" s="213">
        <f>SUM(K297,K298,K299,K300,)</f>
        <v>246.9</v>
      </c>
      <c r="L292" s="213"/>
      <c r="M292" s="1527"/>
      <c r="N292" s="2079"/>
      <c r="O292" s="213"/>
      <c r="P292" s="1527"/>
      <c r="Q292" s="213"/>
      <c r="R292" s="1527"/>
      <c r="S292" s="2796" t="s">
        <v>2165</v>
      </c>
      <c r="T292" s="2704" t="s">
        <v>4718</v>
      </c>
      <c r="U292" s="2829"/>
      <c r="V292" s="2764" t="s">
        <v>1851</v>
      </c>
      <c r="W292" s="2766" t="s">
        <v>3460</v>
      </c>
      <c r="X292" s="265"/>
      <c r="Y292" s="2764" t="s">
        <v>432</v>
      </c>
      <c r="Z292" s="2764" t="s">
        <v>432</v>
      </c>
      <c r="AA292" s="2764" t="s">
        <v>324</v>
      </c>
      <c r="AB292" s="2764" t="s">
        <v>324</v>
      </c>
      <c r="AC292" s="2764" t="s">
        <v>2796</v>
      </c>
    </row>
    <row r="293" spans="1:30" ht="39" customHeight="1">
      <c r="A293" s="2840"/>
      <c r="B293" s="2703"/>
      <c r="C293" s="2718"/>
      <c r="D293" s="183" t="s">
        <v>470</v>
      </c>
      <c r="E293" s="213"/>
      <c r="F293" s="291"/>
      <c r="G293" s="213"/>
      <c r="H293" s="213"/>
      <c r="I293" s="442"/>
      <c r="J293" s="216"/>
      <c r="K293" s="213"/>
      <c r="L293" s="213"/>
      <c r="M293" s="213">
        <f>SUM(M298,M300)</f>
        <v>454.81</v>
      </c>
      <c r="N293" s="2079"/>
      <c r="O293" s="213"/>
      <c r="P293" s="213">
        <f>P298</f>
        <v>200</v>
      </c>
      <c r="Q293" s="213"/>
      <c r="R293" s="1527"/>
      <c r="S293" s="2796"/>
      <c r="T293" s="2704"/>
      <c r="U293" s="2829"/>
      <c r="V293" s="2764"/>
      <c r="W293" s="2766"/>
      <c r="X293" s="265"/>
      <c r="Y293" s="2764"/>
      <c r="Z293" s="2764"/>
      <c r="AA293" s="2764"/>
      <c r="AB293" s="2764"/>
      <c r="AC293" s="2764"/>
    </row>
    <row r="294" spans="1:30" ht="39" customHeight="1">
      <c r="A294" s="2840"/>
      <c r="B294" s="2703"/>
      <c r="C294" s="2718"/>
      <c r="D294" s="183" t="s">
        <v>246</v>
      </c>
      <c r="E294" s="213"/>
      <c r="F294" s="291"/>
      <c r="G294" s="213"/>
      <c r="H294" s="213">
        <v>765</v>
      </c>
      <c r="I294" s="442">
        <f t="shared" si="213"/>
        <v>-1</v>
      </c>
      <c r="J294" s="216"/>
      <c r="K294" s="213"/>
      <c r="L294" s="213"/>
      <c r="M294" s="1527"/>
      <c r="N294" s="2079"/>
      <c r="O294" s="213"/>
      <c r="P294" s="1527"/>
      <c r="Q294" s="213"/>
      <c r="R294" s="1527"/>
      <c r="S294" s="2796"/>
      <c r="T294" s="2704"/>
      <c r="U294" s="2829"/>
      <c r="V294" s="2764"/>
      <c r="W294" s="2766"/>
      <c r="X294" s="265"/>
      <c r="Y294" s="2764"/>
      <c r="Z294" s="2764"/>
      <c r="AA294" s="2764"/>
      <c r="AB294" s="2764"/>
      <c r="AC294" s="2764"/>
    </row>
    <row r="295" spans="1:30" ht="39" customHeight="1">
      <c r="A295" s="2840"/>
      <c r="B295" s="2703"/>
      <c r="C295" s="2718"/>
      <c r="D295" s="183" t="s">
        <v>1358</v>
      </c>
      <c r="E295" s="213"/>
      <c r="F295" s="291"/>
      <c r="G295" s="213"/>
      <c r="H295" s="213"/>
      <c r="I295" s="442"/>
      <c r="J295" s="216"/>
      <c r="K295" s="213"/>
      <c r="L295" s="213">
        <v>454.81</v>
      </c>
      <c r="M295" s="1527"/>
      <c r="N295" s="2079"/>
      <c r="O295" s="213">
        <v>200</v>
      </c>
      <c r="P295" s="1527"/>
      <c r="Q295" s="213"/>
      <c r="R295" s="1527"/>
      <c r="S295" s="2796"/>
      <c r="T295" s="2704"/>
      <c r="U295" s="2829"/>
      <c r="V295" s="2764"/>
      <c r="W295" s="2766"/>
      <c r="X295" s="265"/>
      <c r="Y295" s="2764"/>
      <c r="Z295" s="2764"/>
      <c r="AA295" s="2764"/>
      <c r="AB295" s="2764"/>
      <c r="AC295" s="2764"/>
    </row>
    <row r="296" spans="1:30" ht="39" customHeight="1">
      <c r="A296" s="2840"/>
      <c r="B296" s="2703"/>
      <c r="C296" s="2718"/>
      <c r="D296" s="301" t="s">
        <v>1110</v>
      </c>
      <c r="E296" s="212">
        <f>E290</f>
        <v>0</v>
      </c>
      <c r="F296" s="294" t="e">
        <f>H296/E296-1</f>
        <v>#DIV/0!</v>
      </c>
      <c r="G296" s="212">
        <f>G290</f>
        <v>0</v>
      </c>
      <c r="H296" s="212">
        <f>H292+H294</f>
        <v>1074.54</v>
      </c>
      <c r="I296" s="452">
        <f t="shared" si="213"/>
        <v>-0.54045452007370587</v>
      </c>
      <c r="J296" s="212"/>
      <c r="K296" s="212">
        <f>SUM(K292,K293,K294,K295,K292)</f>
        <v>493.8</v>
      </c>
      <c r="L296" s="212">
        <f t="shared" ref="L296:O296" si="215">SUM(L292,L293,L294,L295,L292)</f>
        <v>454.81</v>
      </c>
      <c r="M296" s="1528">
        <f t="shared" ref="M296" si="216">SUM(M292,M293,M294,M295,M292)</f>
        <v>454.81</v>
      </c>
      <c r="N296" s="2080">
        <f t="shared" si="200"/>
        <v>-7.8959092750101267E-2</v>
      </c>
      <c r="O296" s="212">
        <f t="shared" si="215"/>
        <v>200</v>
      </c>
      <c r="P296" s="1528">
        <f t="shared" ref="P296:Q296" si="217">SUM(P292,P293,P294,P295,P292)</f>
        <v>200</v>
      </c>
      <c r="Q296" s="212">
        <f t="shared" si="217"/>
        <v>0</v>
      </c>
      <c r="R296" s="1528">
        <f t="shared" ref="R296" si="218">SUM(R292,R293,R294,R295,R292)</f>
        <v>0</v>
      </c>
      <c r="S296" s="2796"/>
      <c r="T296" s="2704"/>
      <c r="U296" s="2829"/>
      <c r="V296" s="2764"/>
      <c r="W296" s="2766"/>
      <c r="X296" s="265"/>
      <c r="Y296" s="2764"/>
      <c r="Z296" s="2764"/>
      <c r="AA296" s="2764"/>
      <c r="AB296" s="2764"/>
      <c r="AC296" s="2764"/>
      <c r="AD296" s="306" t="s">
        <v>2613</v>
      </c>
    </row>
    <row r="297" spans="1:30" ht="39" hidden="1" customHeight="1">
      <c r="A297" s="1350"/>
      <c r="B297" s="665" t="s">
        <v>3456</v>
      </c>
      <c r="C297" s="2808"/>
      <c r="D297" s="1840" t="s">
        <v>2747</v>
      </c>
      <c r="E297" s="445"/>
      <c r="F297" s="468"/>
      <c r="G297" s="445"/>
      <c r="H297" s="445"/>
      <c r="I297" s="445"/>
      <c r="J297" s="447"/>
      <c r="K297" s="445">
        <v>156.04300000000001</v>
      </c>
      <c r="L297" s="445"/>
      <c r="M297" s="1529"/>
      <c r="N297" s="557">
        <f t="shared" si="200"/>
        <v>-1</v>
      </c>
      <c r="O297" s="445"/>
      <c r="P297" s="1529"/>
      <c r="Q297" s="445"/>
      <c r="R297" s="1529"/>
      <c r="S297" s="2807"/>
      <c r="T297" s="2807"/>
      <c r="U297" s="2829"/>
      <c r="V297" s="2794"/>
      <c r="W297" s="2794"/>
      <c r="X297" s="2794"/>
      <c r="Y297" s="2794"/>
      <c r="Z297" s="2794"/>
      <c r="AA297" s="2794"/>
      <c r="AB297" s="2794"/>
      <c r="AC297" s="2794"/>
      <c r="AD297" s="306"/>
    </row>
    <row r="298" spans="1:30" ht="39" hidden="1" customHeight="1">
      <c r="A298" s="1350"/>
      <c r="B298" s="665" t="s">
        <v>3457</v>
      </c>
      <c r="C298" s="2808"/>
      <c r="D298" s="1840" t="s">
        <v>470</v>
      </c>
      <c r="E298" s="445"/>
      <c r="F298" s="468"/>
      <c r="G298" s="445"/>
      <c r="H298" s="445"/>
      <c r="I298" s="445"/>
      <c r="J298" s="447"/>
      <c r="K298" s="445"/>
      <c r="L298" s="445">
        <v>209.821</v>
      </c>
      <c r="M298" s="1529">
        <v>209.821</v>
      </c>
      <c r="N298" s="557"/>
      <c r="O298" s="445">
        <v>200</v>
      </c>
      <c r="P298" s="1529">
        <v>200</v>
      </c>
      <c r="Q298" s="445"/>
      <c r="R298" s="1529"/>
      <c r="S298" s="2807"/>
      <c r="T298" s="2807"/>
      <c r="U298" s="2829"/>
      <c r="V298" s="2794"/>
      <c r="W298" s="2794"/>
      <c r="X298" s="2794"/>
      <c r="Y298" s="2794"/>
      <c r="Z298" s="2794"/>
      <c r="AA298" s="2794"/>
      <c r="AB298" s="2794"/>
      <c r="AC298" s="2794"/>
      <c r="AD298" s="306"/>
    </row>
    <row r="299" spans="1:30" ht="39" hidden="1" customHeight="1">
      <c r="A299" s="1350"/>
      <c r="B299" s="665" t="s">
        <v>3458</v>
      </c>
      <c r="C299" s="2808"/>
      <c r="D299" s="1840" t="s">
        <v>2747</v>
      </c>
      <c r="E299" s="445"/>
      <c r="F299" s="468"/>
      <c r="G299" s="445"/>
      <c r="H299" s="445"/>
      <c r="I299" s="445"/>
      <c r="J299" s="447"/>
      <c r="K299" s="445">
        <v>90.856999999999999</v>
      </c>
      <c r="L299" s="445"/>
      <c r="M299" s="1529"/>
      <c r="N299" s="557">
        <f t="shared" si="200"/>
        <v>-1</v>
      </c>
      <c r="O299" s="445"/>
      <c r="P299" s="1529"/>
      <c r="Q299" s="445"/>
      <c r="R299" s="1529"/>
      <c r="S299" s="2807"/>
      <c r="T299" s="2807"/>
      <c r="U299" s="2829"/>
      <c r="V299" s="2794"/>
      <c r="W299" s="2794"/>
      <c r="X299" s="2794"/>
      <c r="Y299" s="2794"/>
      <c r="Z299" s="2794"/>
      <c r="AA299" s="2794"/>
      <c r="AB299" s="2794"/>
      <c r="AC299" s="2794"/>
      <c r="AD299" s="306"/>
    </row>
    <row r="300" spans="1:30" ht="39" hidden="1" customHeight="1">
      <c r="A300" s="1350"/>
      <c r="B300" s="665" t="s">
        <v>3459</v>
      </c>
      <c r="C300" s="2808"/>
      <c r="D300" s="1840" t="s">
        <v>470</v>
      </c>
      <c r="E300" s="445"/>
      <c r="F300" s="468"/>
      <c r="G300" s="445"/>
      <c r="H300" s="445"/>
      <c r="I300" s="445"/>
      <c r="J300" s="447"/>
      <c r="K300" s="445"/>
      <c r="L300" s="445">
        <v>244.989</v>
      </c>
      <c r="M300" s="1529">
        <v>244.989</v>
      </c>
      <c r="N300" s="557"/>
      <c r="O300" s="445"/>
      <c r="P300" s="1529"/>
      <c r="Q300" s="445"/>
      <c r="R300" s="1529"/>
      <c r="S300" s="2807"/>
      <c r="T300" s="2807"/>
      <c r="U300" s="2829"/>
      <c r="V300" s="2794"/>
      <c r="W300" s="2794"/>
      <c r="X300" s="2794"/>
      <c r="Y300" s="2794"/>
      <c r="Z300" s="2794"/>
      <c r="AA300" s="2794"/>
      <c r="AB300" s="2794"/>
      <c r="AC300" s="2794"/>
      <c r="AD300" s="306"/>
    </row>
    <row r="301" spans="1:30" ht="39" hidden="1" customHeight="1">
      <c r="A301" s="1350"/>
      <c r="B301" s="665"/>
      <c r="C301" s="2808"/>
      <c r="D301" s="1841" t="s">
        <v>1110</v>
      </c>
      <c r="E301" s="445"/>
      <c r="F301" s="468"/>
      <c r="G301" s="445"/>
      <c r="H301" s="445"/>
      <c r="I301" s="445"/>
      <c r="J301" s="447"/>
      <c r="K301" s="1834">
        <f>SUM(K297,K298,K299,K300)</f>
        <v>246.9</v>
      </c>
      <c r="L301" s="1834">
        <f t="shared" ref="L301:R301" si="219">SUM(L297,L298,L299,L300)</f>
        <v>454.81</v>
      </c>
      <c r="M301" s="1834">
        <f t="shared" si="219"/>
        <v>454.81</v>
      </c>
      <c r="N301" s="2072">
        <f t="shared" si="200"/>
        <v>0.84208181449979747</v>
      </c>
      <c r="O301" s="1834">
        <f t="shared" si="219"/>
        <v>200</v>
      </c>
      <c r="P301" s="1834">
        <f t="shared" si="219"/>
        <v>200</v>
      </c>
      <c r="Q301" s="1834">
        <f t="shared" si="219"/>
        <v>0</v>
      </c>
      <c r="R301" s="1836">
        <f t="shared" si="219"/>
        <v>0</v>
      </c>
      <c r="S301" s="2807"/>
      <c r="T301" s="2807"/>
      <c r="U301" s="2829"/>
      <c r="V301" s="2794"/>
      <c r="W301" s="2794"/>
      <c r="X301" s="2794"/>
      <c r="Y301" s="2794"/>
      <c r="Z301" s="2794"/>
      <c r="AA301" s="2794"/>
      <c r="AB301" s="2794"/>
      <c r="AC301" s="2794"/>
      <c r="AD301" s="306"/>
    </row>
    <row r="302" spans="1:30" ht="34.950000000000003" customHeight="1">
      <c r="A302" s="2791" t="s">
        <v>1934</v>
      </c>
      <c r="B302" s="2703" t="s">
        <v>2795</v>
      </c>
      <c r="C302" s="2806" t="s">
        <v>3016</v>
      </c>
      <c r="D302" s="183" t="s">
        <v>2747</v>
      </c>
      <c r="E302" s="213">
        <v>12.038</v>
      </c>
      <c r="F302" s="291">
        <f>H302/E302-1</f>
        <v>8.107077587639143</v>
      </c>
      <c r="G302" s="213">
        <v>81.590999999999994</v>
      </c>
      <c r="H302" s="213">
        <v>109.631</v>
      </c>
      <c r="I302" s="442">
        <f t="shared" ref="I302:I304" si="220">K302/H302-1</f>
        <v>4.3214601709370521</v>
      </c>
      <c r="J302" s="216"/>
      <c r="K302" s="213">
        <f>SUM(K310,K312,K316,K317,K321,K322)</f>
        <v>583.39699999999993</v>
      </c>
      <c r="L302" s="213">
        <v>258.31</v>
      </c>
      <c r="M302" s="1527"/>
      <c r="N302" s="2079">
        <f>SUM(L303-K302)/K302</f>
        <v>-1</v>
      </c>
      <c r="O302" s="213"/>
      <c r="P302" s="1527"/>
      <c r="Q302" s="213"/>
      <c r="R302" s="1527"/>
      <c r="S302" s="2796" t="s">
        <v>2166</v>
      </c>
      <c r="T302" s="2704" t="s">
        <v>4719</v>
      </c>
      <c r="U302" s="2829"/>
      <c r="V302" s="2766" t="s">
        <v>1611</v>
      </c>
      <c r="W302" s="2694" t="s">
        <v>3668</v>
      </c>
      <c r="X302" s="265"/>
      <c r="Y302" s="2816"/>
      <c r="Z302" s="2764"/>
      <c r="AA302" s="2766" t="s">
        <v>432</v>
      </c>
      <c r="AB302" s="2764"/>
      <c r="AC302" s="2766" t="s">
        <v>2797</v>
      </c>
    </row>
    <row r="303" spans="1:30" ht="31.2" customHeight="1">
      <c r="A303" s="2791"/>
      <c r="B303" s="2703"/>
      <c r="C303" s="2806"/>
      <c r="D303" s="183" t="s">
        <v>470</v>
      </c>
      <c r="E303" s="213"/>
      <c r="F303" s="291"/>
      <c r="G303" s="213"/>
      <c r="H303" s="213"/>
      <c r="I303" s="442"/>
      <c r="J303" s="216">
        <f>SUM(J310,J316,J321)</f>
        <v>551.79099999999994</v>
      </c>
      <c r="K303" s="213"/>
      <c r="L303" s="213"/>
      <c r="M303" s="1527">
        <f>SUM(M311,M316,M321)</f>
        <v>258.31</v>
      </c>
      <c r="N303" s="2079"/>
      <c r="O303" s="213"/>
      <c r="P303" s="1527"/>
      <c r="Q303" s="213"/>
      <c r="R303" s="1527"/>
      <c r="S303" s="2796"/>
      <c r="T303" s="2704"/>
      <c r="U303" s="2829"/>
      <c r="V303" s="2766"/>
      <c r="W303" s="2694"/>
      <c r="X303" s="265"/>
      <c r="Y303" s="2816"/>
      <c r="Z303" s="2764"/>
      <c r="AA303" s="2766"/>
      <c r="AB303" s="2764"/>
      <c r="AC303" s="2766"/>
    </row>
    <row r="304" spans="1:30" ht="36" customHeight="1">
      <c r="A304" s="2791"/>
      <c r="B304" s="2703"/>
      <c r="C304" s="2806"/>
      <c r="D304" s="183" t="s">
        <v>246</v>
      </c>
      <c r="E304" s="213"/>
      <c r="F304" s="291"/>
      <c r="G304" s="213">
        <v>292.35000000000002</v>
      </c>
      <c r="H304" s="213">
        <v>292.35000000000002</v>
      </c>
      <c r="I304" s="442">
        <f t="shared" si="220"/>
        <v>1.277236189498888</v>
      </c>
      <c r="J304" s="216">
        <f t="shared" ref="J304:M304" si="221">SUM(J308,J314,J319)</f>
        <v>509.09499999999997</v>
      </c>
      <c r="K304" s="213">
        <f t="shared" si="221"/>
        <v>665.75</v>
      </c>
      <c r="L304" s="213">
        <f>SUM(L308,L314,L319)</f>
        <v>170</v>
      </c>
      <c r="M304" s="1527">
        <f t="shared" si="221"/>
        <v>170</v>
      </c>
      <c r="N304" s="2079">
        <f t="shared" si="200"/>
        <v>-0.74464889222681185</v>
      </c>
      <c r="O304" s="213"/>
      <c r="P304" s="1527"/>
      <c r="Q304" s="213"/>
      <c r="R304" s="1527"/>
      <c r="S304" s="2796"/>
      <c r="T304" s="2704"/>
      <c r="U304" s="2829"/>
      <c r="V304" s="2766"/>
      <c r="W304" s="656" t="s">
        <v>1852</v>
      </c>
      <c r="X304" s="265"/>
      <c r="Y304" s="604"/>
      <c r="Z304" s="265"/>
      <c r="AA304" s="265" t="s">
        <v>2175</v>
      </c>
      <c r="AB304" s="265"/>
      <c r="AC304" s="2766"/>
      <c r="AD304" s="307" t="s">
        <v>2615</v>
      </c>
    </row>
    <row r="305" spans="1:136" ht="39" customHeight="1">
      <c r="A305" s="2791"/>
      <c r="B305" s="2703"/>
      <c r="C305" s="2806"/>
      <c r="D305" s="2830" t="s">
        <v>1110</v>
      </c>
      <c r="E305" s="2792">
        <f>SUM(E302:E304)</f>
        <v>12.038</v>
      </c>
      <c r="F305" s="2813">
        <f t="shared" ref="F305:F307" si="222">H305/E305-1</f>
        <v>32.392673201528488</v>
      </c>
      <c r="G305" s="2792">
        <f t="shared" ref="G305" si="223">SUM(G302:G304)</f>
        <v>373.94100000000003</v>
      </c>
      <c r="H305" s="2792">
        <f>SUM(H302:H304)</f>
        <v>401.98099999999999</v>
      </c>
      <c r="I305" s="2813">
        <f>K305/H305-1</f>
        <v>2.1074777166084964</v>
      </c>
      <c r="J305" s="2814">
        <f>SUM(J302:J304)</f>
        <v>1060.886</v>
      </c>
      <c r="K305" s="2792">
        <f t="shared" ref="K305:O305" si="224">SUM(K302:K304)</f>
        <v>1249.1469999999999</v>
      </c>
      <c r="L305" s="2792">
        <f>SUM(L302:L304)</f>
        <v>428.31</v>
      </c>
      <c r="M305" s="2765">
        <f t="shared" ref="M305" si="225">SUM(M302:M304)</f>
        <v>428.31</v>
      </c>
      <c r="N305" s="2803">
        <f t="shared" si="200"/>
        <v>-0.6571180173350295</v>
      </c>
      <c r="O305" s="2792">
        <f t="shared" si="224"/>
        <v>0</v>
      </c>
      <c r="P305" s="2765">
        <f t="shared" ref="P305:Q305" si="226">SUM(P302:P304)</f>
        <v>0</v>
      </c>
      <c r="Q305" s="2792">
        <f t="shared" si="226"/>
        <v>0</v>
      </c>
      <c r="R305" s="2765">
        <f t="shared" ref="R305" si="227">SUM(R302:R304)</f>
        <v>0</v>
      </c>
      <c r="S305" s="2796"/>
      <c r="T305" s="2704"/>
      <c r="U305" s="2829"/>
      <c r="V305" s="2766"/>
      <c r="W305" s="656" t="s">
        <v>1853</v>
      </c>
      <c r="X305" s="265"/>
      <c r="Y305" s="604"/>
      <c r="Z305" s="265"/>
      <c r="AA305" s="265" t="s">
        <v>3690</v>
      </c>
      <c r="AB305" s="265"/>
      <c r="AC305" s="2766"/>
    </row>
    <row r="306" spans="1:136" ht="39" customHeight="1">
      <c r="A306" s="2812"/>
      <c r="B306" s="2703"/>
      <c r="C306" s="2811"/>
      <c r="D306" s="2830"/>
      <c r="E306" s="2792"/>
      <c r="F306" s="2813" t="e">
        <f t="shared" si="222"/>
        <v>#DIV/0!</v>
      </c>
      <c r="G306" s="2792"/>
      <c r="H306" s="2792"/>
      <c r="I306" s="2813"/>
      <c r="J306" s="2814"/>
      <c r="K306" s="2792"/>
      <c r="L306" s="2792"/>
      <c r="M306" s="2765"/>
      <c r="N306" s="2804" t="e">
        <f t="shared" si="200"/>
        <v>#DIV/0!</v>
      </c>
      <c r="O306" s="2792"/>
      <c r="P306" s="2765"/>
      <c r="Q306" s="2792"/>
      <c r="R306" s="2765"/>
      <c r="S306" s="2796"/>
      <c r="T306" s="2734"/>
      <c r="U306" s="2829"/>
      <c r="V306" s="2766"/>
      <c r="W306" s="2694" t="s">
        <v>3667</v>
      </c>
      <c r="X306" s="2766"/>
      <c r="Y306" s="2815"/>
      <c r="Z306" s="2766"/>
      <c r="AA306" s="2766" t="s">
        <v>1306</v>
      </c>
      <c r="AB306" s="2764"/>
      <c r="AC306" s="2766"/>
    </row>
    <row r="307" spans="1:136" ht="23.4" customHeight="1">
      <c r="A307" s="2812"/>
      <c r="B307" s="2703"/>
      <c r="C307" s="2811"/>
      <c r="D307" s="2830"/>
      <c r="E307" s="2792"/>
      <c r="F307" s="2813" t="e">
        <f t="shared" si="222"/>
        <v>#DIV/0!</v>
      </c>
      <c r="G307" s="2792"/>
      <c r="H307" s="2792"/>
      <c r="I307" s="212"/>
      <c r="J307" s="2814"/>
      <c r="K307" s="2792"/>
      <c r="L307" s="2792"/>
      <c r="M307" s="2765"/>
      <c r="N307" s="2805" t="e">
        <f t="shared" si="200"/>
        <v>#DIV/0!</v>
      </c>
      <c r="O307" s="2792"/>
      <c r="P307" s="2765"/>
      <c r="Q307" s="2792"/>
      <c r="R307" s="2765"/>
      <c r="S307" s="2796"/>
      <c r="T307" s="2734"/>
      <c r="U307" s="2829"/>
      <c r="V307" s="2766"/>
      <c r="W307" s="2694"/>
      <c r="X307" s="2766"/>
      <c r="Y307" s="2815"/>
      <c r="Z307" s="2766"/>
      <c r="AA307" s="2766"/>
      <c r="AB307" s="2764"/>
      <c r="AC307" s="2766"/>
    </row>
    <row r="308" spans="1:136" s="453" customFormat="1" ht="34.200000000000003" hidden="1" customHeight="1">
      <c r="A308" s="2809"/>
      <c r="B308" s="2793" t="s">
        <v>3024</v>
      </c>
      <c r="C308" s="2808"/>
      <c r="D308" s="444" t="s">
        <v>246</v>
      </c>
      <c r="E308" s="445"/>
      <c r="F308" s="468"/>
      <c r="G308" s="445"/>
      <c r="H308" s="445"/>
      <c r="I308" s="445"/>
      <c r="J308" s="447">
        <v>242.755</v>
      </c>
      <c r="K308" s="445">
        <v>395.44</v>
      </c>
      <c r="L308" s="445">
        <v>10</v>
      </c>
      <c r="M308" s="1529">
        <v>10</v>
      </c>
      <c r="N308" s="557">
        <f t="shared" si="200"/>
        <v>-0.97471171353429087</v>
      </c>
      <c r="O308" s="445"/>
      <c r="P308" s="1529"/>
      <c r="Q308" s="445"/>
      <c r="R308" s="1529"/>
      <c r="S308" s="2810"/>
      <c r="T308" s="2810"/>
      <c r="U308" s="2829"/>
      <c r="V308" s="2781"/>
      <c r="W308" s="2782"/>
      <c r="X308" s="2782"/>
      <c r="Y308" s="2782"/>
      <c r="Z308" s="2782"/>
      <c r="AA308" s="2782"/>
      <c r="AB308" s="2782"/>
      <c r="AC308" s="2783"/>
      <c r="AE308" s="274"/>
      <c r="AF308" s="274"/>
      <c r="AG308" s="274"/>
      <c r="AH308" s="274"/>
      <c r="AI308" s="274"/>
      <c r="AJ308" s="274"/>
      <c r="AK308" s="274"/>
      <c r="AL308" s="274"/>
      <c r="AM308" s="274"/>
      <c r="AN308" s="274"/>
      <c r="AO308" s="274"/>
      <c r="AP308" s="274"/>
      <c r="AQ308" s="274"/>
      <c r="AR308" s="274"/>
      <c r="AS308" s="274"/>
      <c r="AT308" s="274"/>
      <c r="AU308" s="274"/>
      <c r="AV308" s="274"/>
      <c r="AW308" s="274"/>
      <c r="AX308" s="274"/>
      <c r="AY308" s="274"/>
      <c r="AZ308" s="274"/>
      <c r="BA308" s="274"/>
      <c r="BB308" s="274"/>
      <c r="BC308" s="274"/>
      <c r="BD308" s="274"/>
      <c r="BE308" s="274"/>
      <c r="BF308" s="274"/>
      <c r="BG308" s="274"/>
      <c r="BH308" s="274"/>
      <c r="BI308" s="274"/>
      <c r="BJ308" s="274"/>
      <c r="BK308" s="274"/>
      <c r="BL308" s="274"/>
      <c r="BM308" s="274"/>
      <c r="BN308" s="274"/>
      <c r="BO308" s="274"/>
      <c r="BP308" s="274"/>
      <c r="BQ308" s="274"/>
      <c r="BR308" s="274"/>
      <c r="BS308" s="274"/>
      <c r="BT308" s="274"/>
      <c r="BU308" s="274"/>
      <c r="BV308" s="274"/>
      <c r="BW308" s="274"/>
      <c r="BX308" s="274"/>
      <c r="BY308" s="274"/>
      <c r="BZ308" s="274"/>
      <c r="CA308" s="274"/>
      <c r="CB308" s="274"/>
      <c r="CC308" s="274"/>
      <c r="CD308" s="274"/>
      <c r="CE308" s="274"/>
      <c r="CF308" s="274"/>
      <c r="CG308" s="274"/>
      <c r="CH308" s="274"/>
      <c r="CI308" s="274"/>
      <c r="CJ308" s="274"/>
      <c r="CK308" s="274"/>
      <c r="CL308" s="274"/>
      <c r="CM308" s="274"/>
      <c r="CN308" s="274"/>
      <c r="CO308" s="274"/>
      <c r="CP308" s="274"/>
      <c r="CQ308" s="274"/>
      <c r="CR308" s="274"/>
      <c r="CS308" s="274"/>
      <c r="CT308" s="274"/>
      <c r="CU308" s="274"/>
      <c r="CV308" s="274"/>
      <c r="CW308" s="274"/>
      <c r="CX308" s="274"/>
      <c r="CY308" s="274"/>
      <c r="CZ308" s="274"/>
      <c r="DA308" s="274"/>
      <c r="DB308" s="274"/>
      <c r="DC308" s="274"/>
      <c r="DD308" s="274"/>
      <c r="DE308" s="274"/>
      <c r="DF308" s="274"/>
      <c r="DG308" s="274"/>
      <c r="DH308" s="274"/>
      <c r="DI308" s="274"/>
      <c r="DJ308" s="274"/>
      <c r="DK308" s="274"/>
      <c r="DL308" s="274"/>
      <c r="DM308" s="274"/>
      <c r="DN308" s="274"/>
      <c r="DO308" s="274"/>
      <c r="DP308" s="274"/>
      <c r="DQ308" s="274"/>
      <c r="DR308" s="274"/>
      <c r="DS308" s="274"/>
      <c r="DT308" s="274"/>
      <c r="DU308" s="274"/>
      <c r="DV308" s="274"/>
      <c r="DW308" s="274"/>
      <c r="DX308" s="274"/>
      <c r="DY308" s="274"/>
      <c r="DZ308" s="274"/>
      <c r="EA308" s="274"/>
      <c r="EB308" s="274"/>
      <c r="EC308" s="274"/>
      <c r="ED308" s="274"/>
      <c r="EE308" s="274"/>
      <c r="EF308" s="274"/>
    </row>
    <row r="309" spans="1:136" s="453" customFormat="1" ht="30.6" hidden="1" customHeight="1">
      <c r="A309" s="2809"/>
      <c r="B309" s="2793"/>
      <c r="C309" s="2808"/>
      <c r="D309" s="444" t="s">
        <v>412</v>
      </c>
      <c r="E309" s="445"/>
      <c r="F309" s="468"/>
      <c r="G309" s="445"/>
      <c r="H309" s="445"/>
      <c r="I309" s="445"/>
      <c r="J309" s="447"/>
      <c r="K309" s="445"/>
      <c r="L309" s="445"/>
      <c r="M309" s="1529"/>
      <c r="N309" s="557" t="e">
        <f t="shared" si="200"/>
        <v>#DIV/0!</v>
      </c>
      <c r="O309" s="445"/>
      <c r="P309" s="1529"/>
      <c r="Q309" s="445"/>
      <c r="R309" s="1529"/>
      <c r="S309" s="2810"/>
      <c r="T309" s="2810"/>
      <c r="U309" s="2829"/>
      <c r="V309" s="2784"/>
      <c r="W309" s="2785"/>
      <c r="X309" s="2785"/>
      <c r="Y309" s="2785"/>
      <c r="Z309" s="2785"/>
      <c r="AA309" s="2785"/>
      <c r="AB309" s="2785"/>
      <c r="AC309" s="2786"/>
      <c r="AE309" s="274"/>
      <c r="AF309" s="274"/>
      <c r="AG309" s="274"/>
      <c r="AH309" s="274"/>
      <c r="AI309" s="274"/>
      <c r="AJ309" s="274"/>
      <c r="AK309" s="274"/>
      <c r="AL309" s="274"/>
      <c r="AM309" s="274"/>
      <c r="AN309" s="274"/>
      <c r="AO309" s="274"/>
      <c r="AP309" s="274"/>
      <c r="AQ309" s="274"/>
      <c r="AR309" s="274"/>
      <c r="AS309" s="274"/>
      <c r="AT309" s="274"/>
      <c r="AU309" s="274"/>
      <c r="AV309" s="274"/>
      <c r="AW309" s="274"/>
      <c r="AX309" s="274"/>
      <c r="AY309" s="274"/>
      <c r="AZ309" s="274"/>
      <c r="BA309" s="274"/>
      <c r="BB309" s="274"/>
      <c r="BC309" s="274"/>
      <c r="BD309" s="274"/>
      <c r="BE309" s="274"/>
      <c r="BF309" s="274"/>
      <c r="BG309" s="274"/>
      <c r="BH309" s="274"/>
      <c r="BI309" s="274"/>
      <c r="BJ309" s="274"/>
      <c r="BK309" s="274"/>
      <c r="BL309" s="274"/>
      <c r="BM309" s="274"/>
      <c r="BN309" s="274"/>
      <c r="BO309" s="274"/>
      <c r="BP309" s="274"/>
      <c r="BQ309" s="274"/>
      <c r="BR309" s="274"/>
      <c r="BS309" s="274"/>
      <c r="BT309" s="274"/>
      <c r="BU309" s="274"/>
      <c r="BV309" s="274"/>
      <c r="BW309" s="274"/>
      <c r="BX309" s="274"/>
      <c r="BY309" s="274"/>
      <c r="BZ309" s="274"/>
      <c r="CA309" s="274"/>
      <c r="CB309" s="274"/>
      <c r="CC309" s="274"/>
      <c r="CD309" s="274"/>
      <c r="CE309" s="274"/>
      <c r="CF309" s="274"/>
      <c r="CG309" s="274"/>
      <c r="CH309" s="274"/>
      <c r="CI309" s="274"/>
      <c r="CJ309" s="274"/>
      <c r="CK309" s="274"/>
      <c r="CL309" s="274"/>
      <c r="CM309" s="274"/>
      <c r="CN309" s="274"/>
      <c r="CO309" s="274"/>
      <c r="CP309" s="274"/>
      <c r="CQ309" s="274"/>
      <c r="CR309" s="274"/>
      <c r="CS309" s="274"/>
      <c r="CT309" s="274"/>
      <c r="CU309" s="274"/>
      <c r="CV309" s="274"/>
      <c r="CW309" s="274"/>
      <c r="CX309" s="274"/>
      <c r="CY309" s="274"/>
      <c r="CZ309" s="274"/>
      <c r="DA309" s="274"/>
      <c r="DB309" s="274"/>
      <c r="DC309" s="274"/>
      <c r="DD309" s="274"/>
      <c r="DE309" s="274"/>
      <c r="DF309" s="274"/>
      <c r="DG309" s="274"/>
      <c r="DH309" s="274"/>
      <c r="DI309" s="274"/>
      <c r="DJ309" s="274"/>
      <c r="DK309" s="274"/>
      <c r="DL309" s="274"/>
      <c r="DM309" s="274"/>
      <c r="DN309" s="274"/>
      <c r="DO309" s="274"/>
      <c r="DP309" s="274"/>
      <c r="DQ309" s="274"/>
      <c r="DR309" s="274"/>
      <c r="DS309" s="274"/>
      <c r="DT309" s="274"/>
      <c r="DU309" s="274"/>
      <c r="DV309" s="274"/>
      <c r="DW309" s="274"/>
      <c r="DX309" s="274"/>
      <c r="DY309" s="274"/>
      <c r="DZ309" s="274"/>
      <c r="EA309" s="274"/>
      <c r="EB309" s="274"/>
      <c r="EC309" s="274"/>
      <c r="ED309" s="274"/>
      <c r="EE309" s="274"/>
      <c r="EF309" s="274"/>
    </row>
    <row r="310" spans="1:136" s="453" customFormat="1" ht="39" hidden="1" customHeight="1">
      <c r="A310" s="2809"/>
      <c r="B310" s="2793"/>
      <c r="C310" s="2808"/>
      <c r="D310" s="444" t="s">
        <v>2747</v>
      </c>
      <c r="E310" s="445"/>
      <c r="F310" s="468"/>
      <c r="G310" s="445"/>
      <c r="H310" s="445"/>
      <c r="I310" s="445"/>
      <c r="J310" s="447">
        <v>263.11399999999998</v>
      </c>
      <c r="K310" s="445">
        <v>62.834000000000003</v>
      </c>
      <c r="L310" s="445"/>
      <c r="M310" s="1529"/>
      <c r="N310" s="557">
        <f t="shared" si="200"/>
        <v>-1</v>
      </c>
      <c r="O310" s="445"/>
      <c r="P310" s="1529"/>
      <c r="Q310" s="445"/>
      <c r="R310" s="1529"/>
      <c r="S310" s="2810"/>
      <c r="T310" s="2810"/>
      <c r="U310" s="2829"/>
      <c r="V310" s="2784"/>
      <c r="W310" s="2785"/>
      <c r="X310" s="2785"/>
      <c r="Y310" s="2785"/>
      <c r="Z310" s="2785"/>
      <c r="AA310" s="2785"/>
      <c r="AB310" s="2785"/>
      <c r="AC310" s="2786"/>
      <c r="AE310" s="274"/>
      <c r="AF310" s="274"/>
      <c r="AG310" s="274"/>
      <c r="AH310" s="274"/>
      <c r="AI310" s="274"/>
      <c r="AJ310" s="274"/>
      <c r="AK310" s="274"/>
      <c r="AL310" s="274"/>
      <c r="AM310" s="274"/>
      <c r="AN310" s="274"/>
      <c r="AO310" s="274"/>
      <c r="AP310" s="274"/>
      <c r="AQ310" s="274"/>
      <c r="AR310" s="274"/>
      <c r="AS310" s="274"/>
      <c r="AT310" s="274"/>
      <c r="AU310" s="274"/>
      <c r="AV310" s="274"/>
      <c r="AW310" s="274"/>
      <c r="AX310" s="274"/>
      <c r="AY310" s="274"/>
      <c r="AZ310" s="274"/>
      <c r="BA310" s="274"/>
      <c r="BB310" s="274"/>
      <c r="BC310" s="274"/>
      <c r="BD310" s="274"/>
      <c r="BE310" s="274"/>
      <c r="BF310" s="274"/>
      <c r="BG310" s="274"/>
      <c r="BH310" s="274"/>
      <c r="BI310" s="274"/>
      <c r="BJ310" s="274"/>
      <c r="BK310" s="274"/>
      <c r="BL310" s="274"/>
      <c r="BM310" s="274"/>
      <c r="BN310" s="274"/>
      <c r="BO310" s="274"/>
      <c r="BP310" s="274"/>
      <c r="BQ310" s="274"/>
      <c r="BR310" s="274"/>
      <c r="BS310" s="274"/>
      <c r="BT310" s="274"/>
      <c r="BU310" s="274"/>
      <c r="BV310" s="274"/>
      <c r="BW310" s="274"/>
      <c r="BX310" s="274"/>
      <c r="BY310" s="274"/>
      <c r="BZ310" s="274"/>
      <c r="CA310" s="274"/>
      <c r="CB310" s="274"/>
      <c r="CC310" s="274"/>
      <c r="CD310" s="274"/>
      <c r="CE310" s="274"/>
      <c r="CF310" s="274"/>
      <c r="CG310" s="274"/>
      <c r="CH310" s="274"/>
      <c r="CI310" s="274"/>
      <c r="CJ310" s="274"/>
      <c r="CK310" s="274"/>
      <c r="CL310" s="274"/>
      <c r="CM310" s="274"/>
      <c r="CN310" s="274"/>
      <c r="CO310" s="274"/>
      <c r="CP310" s="274"/>
      <c r="CQ310" s="274"/>
      <c r="CR310" s="274"/>
      <c r="CS310" s="274"/>
      <c r="CT310" s="274"/>
      <c r="CU310" s="274"/>
      <c r="CV310" s="274"/>
      <c r="CW310" s="274"/>
      <c r="CX310" s="274"/>
      <c r="CY310" s="274"/>
      <c r="CZ310" s="274"/>
      <c r="DA310" s="274"/>
      <c r="DB310" s="274"/>
      <c r="DC310" s="274"/>
      <c r="DD310" s="274"/>
      <c r="DE310" s="274"/>
      <c r="DF310" s="274"/>
      <c r="DG310" s="274"/>
      <c r="DH310" s="274"/>
      <c r="DI310" s="274"/>
      <c r="DJ310" s="274"/>
      <c r="DK310" s="274"/>
      <c r="DL310" s="274"/>
      <c r="DM310" s="274"/>
      <c r="DN310" s="274"/>
      <c r="DO310" s="274"/>
      <c r="DP310" s="274"/>
      <c r="DQ310" s="274"/>
      <c r="DR310" s="274"/>
      <c r="DS310" s="274"/>
      <c r="DT310" s="274"/>
      <c r="DU310" s="274"/>
      <c r="DV310" s="274"/>
      <c r="DW310" s="274"/>
      <c r="DX310" s="274"/>
      <c r="DY310" s="274"/>
      <c r="DZ310" s="274"/>
      <c r="EA310" s="274"/>
      <c r="EB310" s="274"/>
      <c r="EC310" s="274"/>
      <c r="ED310" s="274"/>
      <c r="EE310" s="274"/>
      <c r="EF310" s="274"/>
    </row>
    <row r="311" spans="1:136" s="453" customFormat="1" ht="39" hidden="1" customHeight="1">
      <c r="A311" s="2809"/>
      <c r="B311" s="2793"/>
      <c r="C311" s="2808"/>
      <c r="D311" s="444" t="s">
        <v>470</v>
      </c>
      <c r="E311" s="445"/>
      <c r="F311" s="468"/>
      <c r="G311" s="445"/>
      <c r="H311" s="445"/>
      <c r="I311" s="445"/>
      <c r="J311" s="447"/>
      <c r="K311" s="445"/>
      <c r="L311" s="445">
        <v>5.61</v>
      </c>
      <c r="M311" s="1529">
        <v>5.61</v>
      </c>
      <c r="N311" s="557" t="e">
        <f t="shared" si="200"/>
        <v>#DIV/0!</v>
      </c>
      <c r="O311" s="445"/>
      <c r="P311" s="1529"/>
      <c r="Q311" s="445"/>
      <c r="R311" s="1529"/>
      <c r="S311" s="2810"/>
      <c r="T311" s="2810"/>
      <c r="U311" s="2829"/>
      <c r="V311" s="2784"/>
      <c r="W311" s="2785"/>
      <c r="X311" s="2785"/>
      <c r="Y311" s="2785"/>
      <c r="Z311" s="2785"/>
      <c r="AA311" s="2785"/>
      <c r="AB311" s="2785"/>
      <c r="AC311" s="2786"/>
      <c r="AE311" s="274"/>
      <c r="AF311" s="274"/>
      <c r="AG311" s="274"/>
      <c r="AH311" s="274"/>
      <c r="AI311" s="274"/>
      <c r="AJ311" s="274"/>
      <c r="AK311" s="274"/>
      <c r="AL311" s="274"/>
      <c r="AM311" s="274"/>
      <c r="AN311" s="274"/>
      <c r="AO311" s="274"/>
      <c r="AP311" s="274"/>
      <c r="AQ311" s="274"/>
      <c r="AR311" s="274"/>
      <c r="AS311" s="274"/>
      <c r="AT311" s="274"/>
      <c r="AU311" s="274"/>
      <c r="AV311" s="274"/>
      <c r="AW311" s="274"/>
      <c r="AX311" s="274"/>
      <c r="AY311" s="274"/>
      <c r="AZ311" s="274"/>
      <c r="BA311" s="274"/>
      <c r="BB311" s="274"/>
      <c r="BC311" s="274"/>
      <c r="BD311" s="274"/>
      <c r="BE311" s="274"/>
      <c r="BF311" s="274"/>
      <c r="BG311" s="274"/>
      <c r="BH311" s="274"/>
      <c r="BI311" s="274"/>
      <c r="BJ311" s="274"/>
      <c r="BK311" s="274"/>
      <c r="BL311" s="274"/>
      <c r="BM311" s="274"/>
      <c r="BN311" s="274"/>
      <c r="BO311" s="274"/>
      <c r="BP311" s="274"/>
      <c r="BQ311" s="274"/>
      <c r="BR311" s="274"/>
      <c r="BS311" s="274"/>
      <c r="BT311" s="274"/>
      <c r="BU311" s="274"/>
      <c r="BV311" s="274"/>
      <c r="BW311" s="274"/>
      <c r="BX311" s="274"/>
      <c r="BY311" s="274"/>
      <c r="BZ311" s="274"/>
      <c r="CA311" s="274"/>
      <c r="CB311" s="274"/>
      <c r="CC311" s="274"/>
      <c r="CD311" s="274"/>
      <c r="CE311" s="274"/>
      <c r="CF311" s="274"/>
      <c r="CG311" s="274"/>
      <c r="CH311" s="274"/>
      <c r="CI311" s="274"/>
      <c r="CJ311" s="274"/>
      <c r="CK311" s="274"/>
      <c r="CL311" s="274"/>
      <c r="CM311" s="274"/>
      <c r="CN311" s="274"/>
      <c r="CO311" s="274"/>
      <c r="CP311" s="274"/>
      <c r="CQ311" s="274"/>
      <c r="CR311" s="274"/>
      <c r="CS311" s="274"/>
      <c r="CT311" s="274"/>
      <c r="CU311" s="274"/>
      <c r="CV311" s="274"/>
      <c r="CW311" s="274"/>
      <c r="CX311" s="274"/>
      <c r="CY311" s="274"/>
      <c r="CZ311" s="274"/>
      <c r="DA311" s="274"/>
      <c r="DB311" s="274"/>
      <c r="DC311" s="274"/>
      <c r="DD311" s="274"/>
      <c r="DE311" s="274"/>
      <c r="DF311" s="274"/>
      <c r="DG311" s="274"/>
      <c r="DH311" s="274"/>
      <c r="DI311" s="274"/>
      <c r="DJ311" s="274"/>
      <c r="DK311" s="274"/>
      <c r="DL311" s="274"/>
      <c r="DM311" s="274"/>
      <c r="DN311" s="274"/>
      <c r="DO311" s="274"/>
      <c r="DP311" s="274"/>
      <c r="DQ311" s="274"/>
      <c r="DR311" s="274"/>
      <c r="DS311" s="274"/>
      <c r="DT311" s="274"/>
      <c r="DU311" s="274"/>
      <c r="DV311" s="274"/>
      <c r="DW311" s="274"/>
      <c r="DX311" s="274"/>
      <c r="DY311" s="274"/>
      <c r="DZ311" s="274"/>
      <c r="EA311" s="274"/>
      <c r="EB311" s="274"/>
      <c r="EC311" s="274"/>
      <c r="ED311" s="274"/>
      <c r="EE311" s="274"/>
      <c r="EF311" s="274"/>
    </row>
    <row r="312" spans="1:136" s="453" customFormat="1" ht="32.4" hidden="1" customHeight="1">
      <c r="A312" s="2809"/>
      <c r="B312" s="2793"/>
      <c r="C312" s="2808"/>
      <c r="D312" s="444" t="s">
        <v>3020</v>
      </c>
      <c r="E312" s="445"/>
      <c r="F312" s="468"/>
      <c r="G312" s="445"/>
      <c r="H312" s="445"/>
      <c r="I312" s="445"/>
      <c r="J312" s="447"/>
      <c r="K312" s="445"/>
      <c r="L312" s="445"/>
      <c r="M312" s="447"/>
      <c r="N312" s="557" t="e">
        <f t="shared" si="200"/>
        <v>#DIV/0!</v>
      </c>
      <c r="O312" s="445"/>
      <c r="P312" s="1529"/>
      <c r="Q312" s="445"/>
      <c r="R312" s="1529"/>
      <c r="S312" s="2810"/>
      <c r="T312" s="2810"/>
      <c r="U312" s="2829"/>
      <c r="V312" s="2784"/>
      <c r="W312" s="2785"/>
      <c r="X312" s="2785"/>
      <c r="Y312" s="2785"/>
      <c r="Z312" s="2785"/>
      <c r="AA312" s="2785"/>
      <c r="AB312" s="2785"/>
      <c r="AC312" s="2786"/>
      <c r="AE312" s="274"/>
      <c r="AF312" s="274"/>
      <c r="AG312" s="274"/>
      <c r="AH312" s="274"/>
      <c r="AI312" s="274"/>
      <c r="AJ312" s="274"/>
      <c r="AK312" s="274"/>
      <c r="AL312" s="274"/>
      <c r="AM312" s="274"/>
      <c r="AN312" s="274"/>
      <c r="AO312" s="274"/>
      <c r="AP312" s="274"/>
      <c r="AQ312" s="274"/>
      <c r="AR312" s="274"/>
      <c r="AS312" s="274"/>
      <c r="AT312" s="274"/>
      <c r="AU312" s="274"/>
      <c r="AV312" s="274"/>
      <c r="AW312" s="274"/>
      <c r="AX312" s="274"/>
      <c r="AY312" s="274"/>
      <c r="AZ312" s="274"/>
      <c r="BA312" s="274"/>
      <c r="BB312" s="274"/>
      <c r="BC312" s="274"/>
      <c r="BD312" s="274"/>
      <c r="BE312" s="274"/>
      <c r="BF312" s="274"/>
      <c r="BG312" s="274"/>
      <c r="BH312" s="274"/>
      <c r="BI312" s="274"/>
      <c r="BJ312" s="274"/>
      <c r="BK312" s="274"/>
      <c r="BL312" s="274"/>
      <c r="BM312" s="274"/>
      <c r="BN312" s="274"/>
      <c r="BO312" s="274"/>
      <c r="BP312" s="274"/>
      <c r="BQ312" s="274"/>
      <c r="BR312" s="274"/>
      <c r="BS312" s="274"/>
      <c r="BT312" s="274"/>
      <c r="BU312" s="274"/>
      <c r="BV312" s="274"/>
      <c r="BW312" s="274"/>
      <c r="BX312" s="274"/>
      <c r="BY312" s="274"/>
      <c r="BZ312" s="274"/>
      <c r="CA312" s="274"/>
      <c r="CB312" s="274"/>
      <c r="CC312" s="274"/>
      <c r="CD312" s="274"/>
      <c r="CE312" s="274"/>
      <c r="CF312" s="274"/>
      <c r="CG312" s="274"/>
      <c r="CH312" s="274"/>
      <c r="CI312" s="274"/>
      <c r="CJ312" s="274"/>
      <c r="CK312" s="274"/>
      <c r="CL312" s="274"/>
      <c r="CM312" s="274"/>
      <c r="CN312" s="274"/>
      <c r="CO312" s="274"/>
      <c r="CP312" s="274"/>
      <c r="CQ312" s="274"/>
      <c r="CR312" s="274"/>
      <c r="CS312" s="274"/>
      <c r="CT312" s="274"/>
      <c r="CU312" s="274"/>
      <c r="CV312" s="274"/>
      <c r="CW312" s="274"/>
      <c r="CX312" s="274"/>
      <c r="CY312" s="274"/>
      <c r="CZ312" s="274"/>
      <c r="DA312" s="274"/>
      <c r="DB312" s="274"/>
      <c r="DC312" s="274"/>
      <c r="DD312" s="274"/>
      <c r="DE312" s="274"/>
      <c r="DF312" s="274"/>
      <c r="DG312" s="274"/>
      <c r="DH312" s="274"/>
      <c r="DI312" s="274"/>
      <c r="DJ312" s="274"/>
      <c r="DK312" s="274"/>
      <c r="DL312" s="274"/>
      <c r="DM312" s="274"/>
      <c r="DN312" s="274"/>
      <c r="DO312" s="274"/>
      <c r="DP312" s="274"/>
      <c r="DQ312" s="274"/>
      <c r="DR312" s="274"/>
      <c r="DS312" s="274"/>
      <c r="DT312" s="274"/>
      <c r="DU312" s="274"/>
      <c r="DV312" s="274"/>
      <c r="DW312" s="274"/>
      <c r="DX312" s="274"/>
      <c r="DY312" s="274"/>
      <c r="DZ312" s="274"/>
      <c r="EA312" s="274"/>
      <c r="EB312" s="274"/>
      <c r="EC312" s="274"/>
      <c r="ED312" s="274"/>
      <c r="EE312" s="274"/>
      <c r="EF312" s="274"/>
    </row>
    <row r="313" spans="1:136" s="453" customFormat="1" ht="39" hidden="1" customHeight="1">
      <c r="A313" s="2809"/>
      <c r="B313" s="2793"/>
      <c r="C313" s="2808"/>
      <c r="D313" s="1838" t="s">
        <v>3452</v>
      </c>
      <c r="E313" s="1834"/>
      <c r="F313" s="1839"/>
      <c r="G313" s="1834"/>
      <c r="H313" s="1834"/>
      <c r="I313" s="1834"/>
      <c r="J313" s="1835">
        <f t="shared" ref="J313:R313" si="228">SUM(J308,J309,J310,J312)</f>
        <v>505.86899999999997</v>
      </c>
      <c r="K313" s="1834">
        <f t="shared" si="228"/>
        <v>458.274</v>
      </c>
      <c r="L313" s="1834">
        <f>SUM(L308,L309,L310,L312,L311)</f>
        <v>15.61</v>
      </c>
      <c r="M313" s="1834">
        <f>SUM(M308,M309,M310,M312,M311)</f>
        <v>15.61</v>
      </c>
      <c r="N313" s="2072">
        <f t="shared" si="200"/>
        <v>-0.96593740862453459</v>
      </c>
      <c r="O313" s="1834">
        <f t="shared" si="228"/>
        <v>0</v>
      </c>
      <c r="P313" s="1836">
        <f t="shared" si="228"/>
        <v>0</v>
      </c>
      <c r="Q313" s="1834">
        <f t="shared" si="228"/>
        <v>0</v>
      </c>
      <c r="R313" s="1836">
        <f t="shared" si="228"/>
        <v>0</v>
      </c>
      <c r="S313" s="2810"/>
      <c r="T313" s="2810"/>
      <c r="U313" s="2829"/>
      <c r="V313" s="2784"/>
      <c r="W313" s="2785"/>
      <c r="X313" s="2785"/>
      <c r="Y313" s="2785"/>
      <c r="Z313" s="2785"/>
      <c r="AA313" s="2785"/>
      <c r="AB313" s="2785"/>
      <c r="AC313" s="2786"/>
      <c r="AE313" s="274"/>
      <c r="AF313" s="274"/>
      <c r="AG313" s="274"/>
      <c r="AH313" s="274"/>
      <c r="AI313" s="274"/>
      <c r="AJ313" s="274"/>
      <c r="AK313" s="274"/>
      <c r="AL313" s="274"/>
      <c r="AM313" s="274"/>
      <c r="AN313" s="274"/>
      <c r="AO313" s="274"/>
      <c r="AP313" s="274"/>
      <c r="AQ313" s="274"/>
      <c r="AR313" s="274"/>
      <c r="AS313" s="274"/>
      <c r="AT313" s="274"/>
      <c r="AU313" s="274"/>
      <c r="AV313" s="274"/>
      <c r="AW313" s="274"/>
      <c r="AX313" s="274"/>
      <c r="AY313" s="274"/>
      <c r="AZ313" s="274"/>
      <c r="BA313" s="274"/>
      <c r="BB313" s="274"/>
      <c r="BC313" s="274"/>
      <c r="BD313" s="274"/>
      <c r="BE313" s="274"/>
      <c r="BF313" s="274"/>
      <c r="BG313" s="274"/>
      <c r="BH313" s="274"/>
      <c r="BI313" s="274"/>
      <c r="BJ313" s="274"/>
      <c r="BK313" s="274"/>
      <c r="BL313" s="274"/>
      <c r="BM313" s="274"/>
      <c r="BN313" s="274"/>
      <c r="BO313" s="274"/>
      <c r="BP313" s="274"/>
      <c r="BQ313" s="274"/>
      <c r="BR313" s="274"/>
      <c r="BS313" s="274"/>
      <c r="BT313" s="274"/>
      <c r="BU313" s="274"/>
      <c r="BV313" s="274"/>
      <c r="BW313" s="274"/>
      <c r="BX313" s="274"/>
      <c r="BY313" s="274"/>
      <c r="BZ313" s="274"/>
      <c r="CA313" s="274"/>
      <c r="CB313" s="274"/>
      <c r="CC313" s="274"/>
      <c r="CD313" s="274"/>
      <c r="CE313" s="274"/>
      <c r="CF313" s="274"/>
      <c r="CG313" s="274"/>
      <c r="CH313" s="274"/>
      <c r="CI313" s="274"/>
      <c r="CJ313" s="274"/>
      <c r="CK313" s="274"/>
      <c r="CL313" s="274"/>
      <c r="CM313" s="274"/>
      <c r="CN313" s="274"/>
      <c r="CO313" s="274"/>
      <c r="CP313" s="274"/>
      <c r="CQ313" s="274"/>
      <c r="CR313" s="274"/>
      <c r="CS313" s="274"/>
      <c r="CT313" s="274"/>
      <c r="CU313" s="274"/>
      <c r="CV313" s="274"/>
      <c r="CW313" s="274"/>
      <c r="CX313" s="274"/>
      <c r="CY313" s="274"/>
      <c r="CZ313" s="274"/>
      <c r="DA313" s="274"/>
      <c r="DB313" s="274"/>
      <c r="DC313" s="274"/>
      <c r="DD313" s="274"/>
      <c r="DE313" s="274"/>
      <c r="DF313" s="274"/>
      <c r="DG313" s="274"/>
      <c r="DH313" s="274"/>
      <c r="DI313" s="274"/>
      <c r="DJ313" s="274"/>
      <c r="DK313" s="274"/>
      <c r="DL313" s="274"/>
      <c r="DM313" s="274"/>
      <c r="DN313" s="274"/>
      <c r="DO313" s="274"/>
      <c r="DP313" s="274"/>
      <c r="DQ313" s="274"/>
      <c r="DR313" s="274"/>
      <c r="DS313" s="274"/>
      <c r="DT313" s="274"/>
      <c r="DU313" s="274"/>
      <c r="DV313" s="274"/>
      <c r="DW313" s="274"/>
      <c r="DX313" s="274"/>
      <c r="DY313" s="274"/>
      <c r="DZ313" s="274"/>
      <c r="EA313" s="274"/>
      <c r="EB313" s="274"/>
      <c r="EC313" s="274"/>
      <c r="ED313" s="274"/>
      <c r="EE313" s="274"/>
      <c r="EF313" s="274"/>
    </row>
    <row r="314" spans="1:136" s="453" customFormat="1" ht="30" hidden="1" customHeight="1">
      <c r="A314" s="2809"/>
      <c r="B314" s="2793" t="s">
        <v>1076</v>
      </c>
      <c r="C314" s="2808"/>
      <c r="D314" s="444" t="s">
        <v>246</v>
      </c>
      <c r="E314" s="445"/>
      <c r="F314" s="468"/>
      <c r="G314" s="445"/>
      <c r="H314" s="445"/>
      <c r="I314" s="445"/>
      <c r="J314" s="447">
        <v>227.107</v>
      </c>
      <c r="K314" s="445">
        <v>225.643</v>
      </c>
      <c r="L314" s="445">
        <v>148</v>
      </c>
      <c r="M314" s="1529">
        <v>148</v>
      </c>
      <c r="N314" s="557">
        <f t="shared" si="200"/>
        <v>-0.34409664824523695</v>
      </c>
      <c r="O314" s="445"/>
      <c r="P314" s="1529"/>
      <c r="Q314" s="445"/>
      <c r="R314" s="1529"/>
      <c r="S314" s="2810"/>
      <c r="T314" s="2810"/>
      <c r="U314" s="2829"/>
      <c r="V314" s="2784"/>
      <c r="W314" s="2785"/>
      <c r="X314" s="2785"/>
      <c r="Y314" s="2785"/>
      <c r="Z314" s="2785"/>
      <c r="AA314" s="2785"/>
      <c r="AB314" s="2785"/>
      <c r="AC314" s="2786"/>
      <c r="AE314" s="274"/>
      <c r="AF314" s="274"/>
      <c r="AG314" s="274"/>
      <c r="AH314" s="274"/>
      <c r="AI314" s="274"/>
      <c r="AJ314" s="274"/>
      <c r="AK314" s="274"/>
      <c r="AL314" s="274"/>
      <c r="AM314" s="274"/>
      <c r="AN314" s="274"/>
      <c r="AO314" s="274"/>
      <c r="AP314" s="274"/>
      <c r="AQ314" s="274"/>
      <c r="AR314" s="274"/>
      <c r="AS314" s="274"/>
      <c r="AT314" s="274"/>
      <c r="AU314" s="274"/>
      <c r="AV314" s="274"/>
      <c r="AW314" s="274"/>
      <c r="AX314" s="274"/>
      <c r="AY314" s="274"/>
      <c r="AZ314" s="274"/>
      <c r="BA314" s="274"/>
      <c r="BB314" s="274"/>
      <c r="BC314" s="274"/>
      <c r="BD314" s="274"/>
      <c r="BE314" s="274"/>
      <c r="BF314" s="274"/>
      <c r="BG314" s="274"/>
      <c r="BH314" s="274"/>
      <c r="BI314" s="274"/>
      <c r="BJ314" s="274"/>
      <c r="BK314" s="274"/>
      <c r="BL314" s="274"/>
      <c r="BM314" s="274"/>
      <c r="BN314" s="274"/>
      <c r="BO314" s="274"/>
      <c r="BP314" s="274"/>
      <c r="BQ314" s="274"/>
      <c r="BR314" s="274"/>
      <c r="BS314" s="274"/>
      <c r="BT314" s="274"/>
      <c r="BU314" s="274"/>
      <c r="BV314" s="274"/>
      <c r="BW314" s="274"/>
      <c r="BX314" s="274"/>
      <c r="BY314" s="274"/>
      <c r="BZ314" s="274"/>
      <c r="CA314" s="274"/>
      <c r="CB314" s="274"/>
      <c r="CC314" s="274"/>
      <c r="CD314" s="274"/>
      <c r="CE314" s="274"/>
      <c r="CF314" s="274"/>
      <c r="CG314" s="274"/>
      <c r="CH314" s="274"/>
      <c r="CI314" s="274"/>
      <c r="CJ314" s="274"/>
      <c r="CK314" s="274"/>
      <c r="CL314" s="274"/>
      <c r="CM314" s="274"/>
      <c r="CN314" s="274"/>
      <c r="CO314" s="274"/>
      <c r="CP314" s="274"/>
      <c r="CQ314" s="274"/>
      <c r="CR314" s="274"/>
      <c r="CS314" s="274"/>
      <c r="CT314" s="274"/>
      <c r="CU314" s="274"/>
      <c r="CV314" s="274"/>
      <c r="CW314" s="274"/>
      <c r="CX314" s="274"/>
      <c r="CY314" s="274"/>
      <c r="CZ314" s="274"/>
      <c r="DA314" s="274"/>
      <c r="DB314" s="274"/>
      <c r="DC314" s="274"/>
      <c r="DD314" s="274"/>
      <c r="DE314" s="274"/>
      <c r="DF314" s="274"/>
      <c r="DG314" s="274"/>
      <c r="DH314" s="274"/>
      <c r="DI314" s="274"/>
      <c r="DJ314" s="274"/>
      <c r="DK314" s="274"/>
      <c r="DL314" s="274"/>
      <c r="DM314" s="274"/>
      <c r="DN314" s="274"/>
      <c r="DO314" s="274"/>
      <c r="DP314" s="274"/>
      <c r="DQ314" s="274"/>
      <c r="DR314" s="274"/>
      <c r="DS314" s="274"/>
      <c r="DT314" s="274"/>
      <c r="DU314" s="274"/>
      <c r="DV314" s="274"/>
      <c r="DW314" s="274"/>
      <c r="DX314" s="274"/>
      <c r="DY314" s="274"/>
      <c r="DZ314" s="274"/>
      <c r="EA314" s="274"/>
      <c r="EB314" s="274"/>
      <c r="EC314" s="274"/>
      <c r="ED314" s="274"/>
      <c r="EE314" s="274"/>
      <c r="EF314" s="274"/>
    </row>
    <row r="315" spans="1:136" s="453" customFormat="1" ht="31.95" hidden="1" customHeight="1">
      <c r="A315" s="2809"/>
      <c r="B315" s="2793"/>
      <c r="C315" s="2808"/>
      <c r="D315" s="444" t="s">
        <v>412</v>
      </c>
      <c r="E315" s="445"/>
      <c r="F315" s="468"/>
      <c r="G315" s="445"/>
      <c r="H315" s="445"/>
      <c r="I315" s="445"/>
      <c r="J315" s="447"/>
      <c r="K315" s="445"/>
      <c r="L315" s="445"/>
      <c r="M315" s="1529"/>
      <c r="N315" s="557" t="e">
        <f t="shared" si="200"/>
        <v>#DIV/0!</v>
      </c>
      <c r="O315" s="445"/>
      <c r="P315" s="1529"/>
      <c r="Q315" s="445"/>
      <c r="R315" s="1529"/>
      <c r="S315" s="2810"/>
      <c r="T315" s="2810"/>
      <c r="U315" s="2829"/>
      <c r="V315" s="2784"/>
      <c r="W315" s="2785"/>
      <c r="X315" s="2785"/>
      <c r="Y315" s="2785"/>
      <c r="Z315" s="2785"/>
      <c r="AA315" s="2785"/>
      <c r="AB315" s="2785"/>
      <c r="AC315" s="2786"/>
      <c r="AE315" s="274"/>
      <c r="AF315" s="274"/>
      <c r="AG315" s="274"/>
      <c r="AH315" s="274"/>
      <c r="AI315" s="274"/>
      <c r="AJ315" s="274"/>
      <c r="AK315" s="274"/>
      <c r="AL315" s="274"/>
      <c r="AM315" s="274"/>
      <c r="AN315" s="274"/>
      <c r="AO315" s="274"/>
      <c r="AP315" s="274"/>
      <c r="AQ315" s="274"/>
      <c r="AR315" s="274"/>
      <c r="AS315" s="274"/>
      <c r="AT315" s="274"/>
      <c r="AU315" s="274"/>
      <c r="AV315" s="274"/>
      <c r="AW315" s="274"/>
      <c r="AX315" s="274"/>
      <c r="AY315" s="274"/>
      <c r="AZ315" s="274"/>
      <c r="BA315" s="274"/>
      <c r="BB315" s="274"/>
      <c r="BC315" s="274"/>
      <c r="BD315" s="274"/>
      <c r="BE315" s="274"/>
      <c r="BF315" s="274"/>
      <c r="BG315" s="274"/>
      <c r="BH315" s="274"/>
      <c r="BI315" s="274"/>
      <c r="BJ315" s="274"/>
      <c r="BK315" s="274"/>
      <c r="BL315" s="274"/>
      <c r="BM315" s="274"/>
      <c r="BN315" s="274"/>
      <c r="BO315" s="274"/>
      <c r="BP315" s="274"/>
      <c r="BQ315" s="274"/>
      <c r="BR315" s="274"/>
      <c r="BS315" s="274"/>
      <c r="BT315" s="274"/>
      <c r="BU315" s="274"/>
      <c r="BV315" s="274"/>
      <c r="BW315" s="274"/>
      <c r="BX315" s="274"/>
      <c r="BY315" s="274"/>
      <c r="BZ315" s="274"/>
      <c r="CA315" s="274"/>
      <c r="CB315" s="274"/>
      <c r="CC315" s="274"/>
      <c r="CD315" s="274"/>
      <c r="CE315" s="274"/>
      <c r="CF315" s="274"/>
      <c r="CG315" s="274"/>
      <c r="CH315" s="274"/>
      <c r="CI315" s="274"/>
      <c r="CJ315" s="274"/>
      <c r="CK315" s="274"/>
      <c r="CL315" s="274"/>
      <c r="CM315" s="274"/>
      <c r="CN315" s="274"/>
      <c r="CO315" s="274"/>
      <c r="CP315" s="274"/>
      <c r="CQ315" s="274"/>
      <c r="CR315" s="274"/>
      <c r="CS315" s="274"/>
      <c r="CT315" s="274"/>
      <c r="CU315" s="274"/>
      <c r="CV315" s="274"/>
      <c r="CW315" s="274"/>
      <c r="CX315" s="274"/>
      <c r="CY315" s="274"/>
      <c r="CZ315" s="274"/>
      <c r="DA315" s="274"/>
      <c r="DB315" s="274"/>
      <c r="DC315" s="274"/>
      <c r="DD315" s="274"/>
      <c r="DE315" s="274"/>
      <c r="DF315" s="274"/>
      <c r="DG315" s="274"/>
      <c r="DH315" s="274"/>
      <c r="DI315" s="274"/>
      <c r="DJ315" s="274"/>
      <c r="DK315" s="274"/>
      <c r="DL315" s="274"/>
      <c r="DM315" s="274"/>
      <c r="DN315" s="274"/>
      <c r="DO315" s="274"/>
      <c r="DP315" s="274"/>
      <c r="DQ315" s="274"/>
      <c r="DR315" s="274"/>
      <c r="DS315" s="274"/>
      <c r="DT315" s="274"/>
      <c r="DU315" s="274"/>
      <c r="DV315" s="274"/>
      <c r="DW315" s="274"/>
      <c r="DX315" s="274"/>
      <c r="DY315" s="274"/>
      <c r="DZ315" s="274"/>
      <c r="EA315" s="274"/>
      <c r="EB315" s="274"/>
      <c r="EC315" s="274"/>
      <c r="ED315" s="274"/>
      <c r="EE315" s="274"/>
      <c r="EF315" s="274"/>
    </row>
    <row r="316" spans="1:136" s="453" customFormat="1" ht="33.6" hidden="1" customHeight="1">
      <c r="A316" s="2809"/>
      <c r="B316" s="2793"/>
      <c r="C316" s="2808"/>
      <c r="D316" s="444" t="s">
        <v>48</v>
      </c>
      <c r="E316" s="445"/>
      <c r="F316" s="468"/>
      <c r="G316" s="445"/>
      <c r="H316" s="445"/>
      <c r="I316" s="445"/>
      <c r="J316" s="447">
        <v>246.154</v>
      </c>
      <c r="K316" s="445">
        <v>122.727</v>
      </c>
      <c r="L316" s="445">
        <v>246</v>
      </c>
      <c r="M316" s="1529">
        <v>246</v>
      </c>
      <c r="N316" s="557">
        <f t="shared" si="200"/>
        <v>1.0044488987753306</v>
      </c>
      <c r="O316" s="445"/>
      <c r="P316" s="1529"/>
      <c r="Q316" s="445"/>
      <c r="R316" s="1529"/>
      <c r="S316" s="2810"/>
      <c r="T316" s="2810"/>
      <c r="U316" s="2829"/>
      <c r="V316" s="2784"/>
      <c r="W316" s="2785"/>
      <c r="X316" s="2785"/>
      <c r="Y316" s="2785"/>
      <c r="Z316" s="2785"/>
      <c r="AA316" s="2785"/>
      <c r="AB316" s="2785"/>
      <c r="AC316" s="2786"/>
      <c r="AE316" s="274"/>
      <c r="AF316" s="274"/>
      <c r="AG316" s="274"/>
      <c r="AH316" s="274"/>
      <c r="AI316" s="274"/>
      <c r="AJ316" s="274"/>
      <c r="AK316" s="274"/>
      <c r="AL316" s="274"/>
      <c r="AM316" s="274"/>
      <c r="AN316" s="274"/>
      <c r="AO316" s="274"/>
      <c r="AP316" s="274"/>
      <c r="AQ316" s="274"/>
      <c r="AR316" s="274"/>
      <c r="AS316" s="274"/>
      <c r="AT316" s="274"/>
      <c r="AU316" s="274"/>
      <c r="AV316" s="274"/>
      <c r="AW316" s="274"/>
      <c r="AX316" s="274"/>
      <c r="AY316" s="274"/>
      <c r="AZ316" s="274"/>
      <c r="BA316" s="274"/>
      <c r="BB316" s="274"/>
      <c r="BC316" s="274"/>
      <c r="BD316" s="274"/>
      <c r="BE316" s="274"/>
      <c r="BF316" s="274"/>
      <c r="BG316" s="274"/>
      <c r="BH316" s="274"/>
      <c r="BI316" s="274"/>
      <c r="BJ316" s="274"/>
      <c r="BK316" s="274"/>
      <c r="BL316" s="274"/>
      <c r="BM316" s="274"/>
      <c r="BN316" s="274"/>
      <c r="BO316" s="274"/>
      <c r="BP316" s="274"/>
      <c r="BQ316" s="274"/>
      <c r="BR316" s="274"/>
      <c r="BS316" s="274"/>
      <c r="BT316" s="274"/>
      <c r="BU316" s="274"/>
      <c r="BV316" s="274"/>
      <c r="BW316" s="274"/>
      <c r="BX316" s="274"/>
      <c r="BY316" s="274"/>
      <c r="BZ316" s="274"/>
      <c r="CA316" s="274"/>
      <c r="CB316" s="274"/>
      <c r="CC316" s="274"/>
      <c r="CD316" s="274"/>
      <c r="CE316" s="274"/>
      <c r="CF316" s="274"/>
      <c r="CG316" s="274"/>
      <c r="CH316" s="274"/>
      <c r="CI316" s="274"/>
      <c r="CJ316" s="274"/>
      <c r="CK316" s="274"/>
      <c r="CL316" s="274"/>
      <c r="CM316" s="274"/>
      <c r="CN316" s="274"/>
      <c r="CO316" s="274"/>
      <c r="CP316" s="274"/>
      <c r="CQ316" s="274"/>
      <c r="CR316" s="274"/>
      <c r="CS316" s="274"/>
      <c r="CT316" s="274"/>
      <c r="CU316" s="274"/>
      <c r="CV316" s="274"/>
      <c r="CW316" s="274"/>
      <c r="CX316" s="274"/>
      <c r="CY316" s="274"/>
      <c r="CZ316" s="274"/>
      <c r="DA316" s="274"/>
      <c r="DB316" s="274"/>
      <c r="DC316" s="274"/>
      <c r="DD316" s="274"/>
      <c r="DE316" s="274"/>
      <c r="DF316" s="274"/>
      <c r="DG316" s="274"/>
      <c r="DH316" s="274"/>
      <c r="DI316" s="274"/>
      <c r="DJ316" s="274"/>
      <c r="DK316" s="274"/>
      <c r="DL316" s="274"/>
      <c r="DM316" s="274"/>
      <c r="DN316" s="274"/>
      <c r="DO316" s="274"/>
      <c r="DP316" s="274"/>
      <c r="DQ316" s="274"/>
      <c r="DR316" s="274"/>
      <c r="DS316" s="274"/>
      <c r="DT316" s="274"/>
      <c r="DU316" s="274"/>
      <c r="DV316" s="274"/>
      <c r="DW316" s="274"/>
      <c r="DX316" s="274"/>
      <c r="DY316" s="274"/>
      <c r="DZ316" s="274"/>
      <c r="EA316" s="274"/>
      <c r="EB316" s="274"/>
      <c r="EC316" s="274"/>
      <c r="ED316" s="274"/>
      <c r="EE316" s="274"/>
      <c r="EF316" s="274"/>
    </row>
    <row r="317" spans="1:136" s="453" customFormat="1" ht="39" hidden="1" customHeight="1">
      <c r="A317" s="2809"/>
      <c r="B317" s="2793"/>
      <c r="C317" s="2808"/>
      <c r="D317" s="444" t="s">
        <v>3020</v>
      </c>
      <c r="E317" s="445"/>
      <c r="F317" s="468"/>
      <c r="G317" s="445"/>
      <c r="H317" s="445"/>
      <c r="I317" s="445"/>
      <c r="J317" s="447"/>
      <c r="K317" s="445">
        <v>376.565</v>
      </c>
      <c r="L317" s="445"/>
      <c r="M317" s="1529"/>
      <c r="N317" s="557">
        <f t="shared" si="200"/>
        <v>-1</v>
      </c>
      <c r="O317" s="445"/>
      <c r="P317" s="1529"/>
      <c r="Q317" s="445"/>
      <c r="R317" s="1529"/>
      <c r="S317" s="2810"/>
      <c r="T317" s="2810"/>
      <c r="U317" s="2829"/>
      <c r="V317" s="2784"/>
      <c r="W317" s="2785"/>
      <c r="X317" s="2785"/>
      <c r="Y317" s="2785"/>
      <c r="Z317" s="2785"/>
      <c r="AA317" s="2785"/>
      <c r="AB317" s="2785"/>
      <c r="AC317" s="2786"/>
      <c r="AE317" s="274"/>
      <c r="AF317" s="274"/>
      <c r="AG317" s="274"/>
      <c r="AH317" s="274"/>
      <c r="AI317" s="274"/>
      <c r="AJ317" s="274"/>
      <c r="AK317" s="274"/>
      <c r="AL317" s="274"/>
      <c r="AM317" s="274"/>
      <c r="AN317" s="274"/>
      <c r="AO317" s="274"/>
      <c r="AP317" s="274"/>
      <c r="AQ317" s="274"/>
      <c r="AR317" s="274"/>
      <c r="AS317" s="274"/>
      <c r="AT317" s="274"/>
      <c r="AU317" s="274"/>
      <c r="AV317" s="274"/>
      <c r="AW317" s="274"/>
      <c r="AX317" s="274"/>
      <c r="AY317" s="274"/>
      <c r="AZ317" s="274"/>
      <c r="BA317" s="274"/>
      <c r="BB317" s="274"/>
      <c r="BC317" s="274"/>
      <c r="BD317" s="274"/>
      <c r="BE317" s="274"/>
      <c r="BF317" s="274"/>
      <c r="BG317" s="274"/>
      <c r="BH317" s="274"/>
      <c r="BI317" s="274"/>
      <c r="BJ317" s="274"/>
      <c r="BK317" s="274"/>
      <c r="BL317" s="274"/>
      <c r="BM317" s="274"/>
      <c r="BN317" s="274"/>
      <c r="BO317" s="274"/>
      <c r="BP317" s="274"/>
      <c r="BQ317" s="274"/>
      <c r="BR317" s="274"/>
      <c r="BS317" s="274"/>
      <c r="BT317" s="274"/>
      <c r="BU317" s="274"/>
      <c r="BV317" s="274"/>
      <c r="BW317" s="274"/>
      <c r="BX317" s="274"/>
      <c r="BY317" s="274"/>
      <c r="BZ317" s="274"/>
      <c r="CA317" s="274"/>
      <c r="CB317" s="274"/>
      <c r="CC317" s="274"/>
      <c r="CD317" s="274"/>
      <c r="CE317" s="274"/>
      <c r="CF317" s="274"/>
      <c r="CG317" s="274"/>
      <c r="CH317" s="274"/>
      <c r="CI317" s="274"/>
      <c r="CJ317" s="274"/>
      <c r="CK317" s="274"/>
      <c r="CL317" s="274"/>
      <c r="CM317" s="274"/>
      <c r="CN317" s="274"/>
      <c r="CO317" s="274"/>
      <c r="CP317" s="274"/>
      <c r="CQ317" s="274"/>
      <c r="CR317" s="274"/>
      <c r="CS317" s="274"/>
      <c r="CT317" s="274"/>
      <c r="CU317" s="274"/>
      <c r="CV317" s="274"/>
      <c r="CW317" s="274"/>
      <c r="CX317" s="274"/>
      <c r="CY317" s="274"/>
      <c r="CZ317" s="274"/>
      <c r="DA317" s="274"/>
      <c r="DB317" s="274"/>
      <c r="DC317" s="274"/>
      <c r="DD317" s="274"/>
      <c r="DE317" s="274"/>
      <c r="DF317" s="274"/>
      <c r="DG317" s="274"/>
      <c r="DH317" s="274"/>
      <c r="DI317" s="274"/>
      <c r="DJ317" s="274"/>
      <c r="DK317" s="274"/>
      <c r="DL317" s="274"/>
      <c r="DM317" s="274"/>
      <c r="DN317" s="274"/>
      <c r="DO317" s="274"/>
      <c r="DP317" s="274"/>
      <c r="DQ317" s="274"/>
      <c r="DR317" s="274"/>
      <c r="DS317" s="274"/>
      <c r="DT317" s="274"/>
      <c r="DU317" s="274"/>
      <c r="DV317" s="274"/>
      <c r="DW317" s="274"/>
      <c r="DX317" s="274"/>
      <c r="DY317" s="274"/>
      <c r="DZ317" s="274"/>
      <c r="EA317" s="274"/>
      <c r="EB317" s="274"/>
      <c r="EC317" s="274"/>
      <c r="ED317" s="274"/>
      <c r="EE317" s="274"/>
      <c r="EF317" s="274"/>
    </row>
    <row r="318" spans="1:136" s="453" customFormat="1" ht="39" hidden="1" customHeight="1">
      <c r="A318" s="2809"/>
      <c r="B318" s="2793"/>
      <c r="C318" s="2808"/>
      <c r="D318" s="1838" t="s">
        <v>3452</v>
      </c>
      <c r="E318" s="1834"/>
      <c r="F318" s="1839"/>
      <c r="G318" s="1834"/>
      <c r="H318" s="1834"/>
      <c r="I318" s="1834"/>
      <c r="J318" s="1835">
        <f>SUM(J314,J315,J316,J317)</f>
        <v>473.26099999999997</v>
      </c>
      <c r="K318" s="1834">
        <f>SUM(K314,K315,K316,K317)</f>
        <v>724.93499999999995</v>
      </c>
      <c r="L318" s="1834">
        <f t="shared" ref="L318:M318" si="229">SUM(L314,L315,L316,L317)</f>
        <v>394</v>
      </c>
      <c r="M318" s="1836">
        <f t="shared" si="229"/>
        <v>394</v>
      </c>
      <c r="N318" s="2072">
        <f t="shared" si="200"/>
        <v>-0.45650299682040457</v>
      </c>
      <c r="O318" s="1834">
        <f t="shared" ref="O318:P318" si="230">SUM(O314,O315,O316,O317)</f>
        <v>0</v>
      </c>
      <c r="P318" s="1836">
        <f t="shared" si="230"/>
        <v>0</v>
      </c>
      <c r="Q318" s="1834">
        <f t="shared" ref="Q318:R318" si="231">SUM(Q314,Q315,Q316,Q317)</f>
        <v>0</v>
      </c>
      <c r="R318" s="1836">
        <f t="shared" si="231"/>
        <v>0</v>
      </c>
      <c r="S318" s="2810"/>
      <c r="T318" s="2810"/>
      <c r="U318" s="2829"/>
      <c r="V318" s="2784"/>
      <c r="W318" s="2785"/>
      <c r="X318" s="2785"/>
      <c r="Y318" s="2785"/>
      <c r="Z318" s="2785"/>
      <c r="AA318" s="2785"/>
      <c r="AB318" s="2785"/>
      <c r="AC318" s="2786"/>
      <c r="AE318" s="274"/>
      <c r="AF318" s="274"/>
      <c r="AG318" s="274"/>
      <c r="AH318" s="274"/>
      <c r="AI318" s="274"/>
      <c r="AJ318" s="274"/>
      <c r="AK318" s="274"/>
      <c r="AL318" s="274"/>
      <c r="AM318" s="274"/>
      <c r="AN318" s="274"/>
      <c r="AO318" s="274"/>
      <c r="AP318" s="274"/>
      <c r="AQ318" s="274"/>
      <c r="AR318" s="274"/>
      <c r="AS318" s="274"/>
      <c r="AT318" s="274"/>
      <c r="AU318" s="274"/>
      <c r="AV318" s="274"/>
      <c r="AW318" s="274"/>
      <c r="AX318" s="274"/>
      <c r="AY318" s="274"/>
      <c r="AZ318" s="274"/>
      <c r="BA318" s="274"/>
      <c r="BB318" s="274"/>
      <c r="BC318" s="274"/>
      <c r="BD318" s="274"/>
      <c r="BE318" s="274"/>
      <c r="BF318" s="274"/>
      <c r="BG318" s="274"/>
      <c r="BH318" s="274"/>
      <c r="BI318" s="274"/>
      <c r="BJ318" s="274"/>
      <c r="BK318" s="274"/>
      <c r="BL318" s="274"/>
      <c r="BM318" s="274"/>
      <c r="BN318" s="274"/>
      <c r="BO318" s="274"/>
      <c r="BP318" s="274"/>
      <c r="BQ318" s="274"/>
      <c r="BR318" s="274"/>
      <c r="BS318" s="274"/>
      <c r="BT318" s="274"/>
      <c r="BU318" s="274"/>
      <c r="BV318" s="274"/>
      <c r="BW318" s="274"/>
      <c r="BX318" s="274"/>
      <c r="BY318" s="274"/>
      <c r="BZ318" s="274"/>
      <c r="CA318" s="274"/>
      <c r="CB318" s="274"/>
      <c r="CC318" s="274"/>
      <c r="CD318" s="274"/>
      <c r="CE318" s="274"/>
      <c r="CF318" s="274"/>
      <c r="CG318" s="274"/>
      <c r="CH318" s="274"/>
      <c r="CI318" s="274"/>
      <c r="CJ318" s="274"/>
      <c r="CK318" s="274"/>
      <c r="CL318" s="274"/>
      <c r="CM318" s="274"/>
      <c r="CN318" s="274"/>
      <c r="CO318" s="274"/>
      <c r="CP318" s="274"/>
      <c r="CQ318" s="274"/>
      <c r="CR318" s="274"/>
      <c r="CS318" s="274"/>
      <c r="CT318" s="274"/>
      <c r="CU318" s="274"/>
      <c r="CV318" s="274"/>
      <c r="CW318" s="274"/>
      <c r="CX318" s="274"/>
      <c r="CY318" s="274"/>
      <c r="CZ318" s="274"/>
      <c r="DA318" s="274"/>
      <c r="DB318" s="274"/>
      <c r="DC318" s="274"/>
      <c r="DD318" s="274"/>
      <c r="DE318" s="274"/>
      <c r="DF318" s="274"/>
      <c r="DG318" s="274"/>
      <c r="DH318" s="274"/>
      <c r="DI318" s="274"/>
      <c r="DJ318" s="274"/>
      <c r="DK318" s="274"/>
      <c r="DL318" s="274"/>
      <c r="DM318" s="274"/>
      <c r="DN318" s="274"/>
      <c r="DO318" s="274"/>
      <c r="DP318" s="274"/>
      <c r="DQ318" s="274"/>
      <c r="DR318" s="274"/>
      <c r="DS318" s="274"/>
      <c r="DT318" s="274"/>
      <c r="DU318" s="274"/>
      <c r="DV318" s="274"/>
      <c r="DW318" s="274"/>
      <c r="DX318" s="274"/>
      <c r="DY318" s="274"/>
      <c r="DZ318" s="274"/>
      <c r="EA318" s="274"/>
      <c r="EB318" s="274"/>
      <c r="EC318" s="274"/>
      <c r="ED318" s="274"/>
      <c r="EE318" s="274"/>
      <c r="EF318" s="274"/>
    </row>
    <row r="319" spans="1:136" s="453" customFormat="1" ht="39" hidden="1" customHeight="1">
      <c r="A319" s="2809"/>
      <c r="B319" s="2793" t="s">
        <v>2540</v>
      </c>
      <c r="C319" s="2808"/>
      <c r="D319" s="444" t="s">
        <v>246</v>
      </c>
      <c r="E319" s="445"/>
      <c r="F319" s="468"/>
      <c r="G319" s="445"/>
      <c r="H319" s="445"/>
      <c r="I319" s="445"/>
      <c r="J319" s="447">
        <v>39.232999999999997</v>
      </c>
      <c r="K319" s="445">
        <v>44.667000000000002</v>
      </c>
      <c r="L319" s="445">
        <v>12</v>
      </c>
      <c r="M319" s="1529">
        <v>12</v>
      </c>
      <c r="N319" s="557">
        <f t="shared" si="200"/>
        <v>-0.73134528846799651</v>
      </c>
      <c r="O319" s="445"/>
      <c r="P319" s="1529"/>
      <c r="Q319" s="445"/>
      <c r="R319" s="1529"/>
      <c r="S319" s="2810"/>
      <c r="T319" s="2810"/>
      <c r="U319" s="2829"/>
      <c r="V319" s="2784"/>
      <c r="W319" s="2785"/>
      <c r="X319" s="2785"/>
      <c r="Y319" s="2785"/>
      <c r="Z319" s="2785"/>
      <c r="AA319" s="2785"/>
      <c r="AB319" s="2785"/>
      <c r="AC319" s="2786"/>
      <c r="AE319" s="274"/>
      <c r="AF319" s="274"/>
      <c r="AG319" s="274"/>
      <c r="AH319" s="274"/>
      <c r="AI319" s="274"/>
      <c r="AJ319" s="274"/>
      <c r="AK319" s="274"/>
      <c r="AL319" s="274"/>
      <c r="AM319" s="274"/>
      <c r="AN319" s="274"/>
      <c r="AO319" s="274"/>
      <c r="AP319" s="274"/>
      <c r="AQ319" s="274"/>
      <c r="AR319" s="274"/>
      <c r="AS319" s="274"/>
      <c r="AT319" s="274"/>
      <c r="AU319" s="274"/>
      <c r="AV319" s="274"/>
      <c r="AW319" s="274"/>
      <c r="AX319" s="274"/>
      <c r="AY319" s="274"/>
      <c r="AZ319" s="274"/>
      <c r="BA319" s="274"/>
      <c r="BB319" s="274"/>
      <c r="BC319" s="274"/>
      <c r="BD319" s="274"/>
      <c r="BE319" s="274"/>
      <c r="BF319" s="274"/>
      <c r="BG319" s="274"/>
      <c r="BH319" s="274"/>
      <c r="BI319" s="274"/>
      <c r="BJ319" s="274"/>
      <c r="BK319" s="274"/>
      <c r="BL319" s="274"/>
      <c r="BM319" s="274"/>
      <c r="BN319" s="274"/>
      <c r="BO319" s="274"/>
      <c r="BP319" s="274"/>
      <c r="BQ319" s="274"/>
      <c r="BR319" s="274"/>
      <c r="BS319" s="274"/>
      <c r="BT319" s="274"/>
      <c r="BU319" s="274"/>
      <c r="BV319" s="274"/>
      <c r="BW319" s="274"/>
      <c r="BX319" s="274"/>
      <c r="BY319" s="274"/>
      <c r="BZ319" s="274"/>
      <c r="CA319" s="274"/>
      <c r="CB319" s="274"/>
      <c r="CC319" s="274"/>
      <c r="CD319" s="274"/>
      <c r="CE319" s="274"/>
      <c r="CF319" s="274"/>
      <c r="CG319" s="274"/>
      <c r="CH319" s="274"/>
      <c r="CI319" s="274"/>
      <c r="CJ319" s="274"/>
      <c r="CK319" s="274"/>
      <c r="CL319" s="274"/>
      <c r="CM319" s="274"/>
      <c r="CN319" s="274"/>
      <c r="CO319" s="274"/>
      <c r="CP319" s="274"/>
      <c r="CQ319" s="274"/>
      <c r="CR319" s="274"/>
      <c r="CS319" s="274"/>
      <c r="CT319" s="274"/>
      <c r="CU319" s="274"/>
      <c r="CV319" s="274"/>
      <c r="CW319" s="274"/>
      <c r="CX319" s="274"/>
      <c r="CY319" s="274"/>
      <c r="CZ319" s="274"/>
      <c r="DA319" s="274"/>
      <c r="DB319" s="274"/>
      <c r="DC319" s="274"/>
      <c r="DD319" s="274"/>
      <c r="DE319" s="274"/>
      <c r="DF319" s="274"/>
      <c r="DG319" s="274"/>
      <c r="DH319" s="274"/>
      <c r="DI319" s="274"/>
      <c r="DJ319" s="274"/>
      <c r="DK319" s="274"/>
      <c r="DL319" s="274"/>
      <c r="DM319" s="274"/>
      <c r="DN319" s="274"/>
      <c r="DO319" s="274"/>
      <c r="DP319" s="274"/>
      <c r="DQ319" s="274"/>
      <c r="DR319" s="274"/>
      <c r="DS319" s="274"/>
      <c r="DT319" s="274"/>
      <c r="DU319" s="274"/>
      <c r="DV319" s="274"/>
      <c r="DW319" s="274"/>
      <c r="DX319" s="274"/>
      <c r="DY319" s="274"/>
      <c r="DZ319" s="274"/>
      <c r="EA319" s="274"/>
      <c r="EB319" s="274"/>
      <c r="EC319" s="274"/>
      <c r="ED319" s="274"/>
      <c r="EE319" s="274"/>
      <c r="EF319" s="274"/>
    </row>
    <row r="320" spans="1:136" s="453" customFormat="1" ht="39" hidden="1" customHeight="1">
      <c r="A320" s="2809"/>
      <c r="B320" s="2793"/>
      <c r="C320" s="2808"/>
      <c r="D320" s="444" t="s">
        <v>412</v>
      </c>
      <c r="E320" s="445"/>
      <c r="F320" s="468"/>
      <c r="G320" s="445"/>
      <c r="H320" s="445"/>
      <c r="I320" s="445"/>
      <c r="J320" s="447"/>
      <c r="K320" s="445"/>
      <c r="L320" s="445"/>
      <c r="M320" s="1529"/>
      <c r="N320" s="557" t="e">
        <f t="shared" si="200"/>
        <v>#DIV/0!</v>
      </c>
      <c r="O320" s="445"/>
      <c r="P320" s="1529"/>
      <c r="Q320" s="445"/>
      <c r="R320" s="1529"/>
      <c r="S320" s="2810"/>
      <c r="T320" s="2810"/>
      <c r="U320" s="2829"/>
      <c r="V320" s="2784"/>
      <c r="W320" s="2785"/>
      <c r="X320" s="2785"/>
      <c r="Y320" s="2785"/>
      <c r="Z320" s="2785"/>
      <c r="AA320" s="2785"/>
      <c r="AB320" s="2785"/>
      <c r="AC320" s="2786"/>
      <c r="AE320" s="274"/>
      <c r="AF320" s="274"/>
      <c r="AG320" s="274"/>
      <c r="AH320" s="274"/>
      <c r="AI320" s="274"/>
      <c r="AJ320" s="274"/>
      <c r="AK320" s="274"/>
      <c r="AL320" s="274"/>
      <c r="AM320" s="274"/>
      <c r="AN320" s="274"/>
      <c r="AO320" s="274"/>
      <c r="AP320" s="274"/>
      <c r="AQ320" s="274"/>
      <c r="AR320" s="274"/>
      <c r="AS320" s="274"/>
      <c r="AT320" s="274"/>
      <c r="AU320" s="274"/>
      <c r="AV320" s="274"/>
      <c r="AW320" s="274"/>
      <c r="AX320" s="274"/>
      <c r="AY320" s="274"/>
      <c r="AZ320" s="274"/>
      <c r="BA320" s="274"/>
      <c r="BB320" s="274"/>
      <c r="BC320" s="274"/>
      <c r="BD320" s="274"/>
      <c r="BE320" s="274"/>
      <c r="BF320" s="274"/>
      <c r="BG320" s="274"/>
      <c r="BH320" s="274"/>
      <c r="BI320" s="274"/>
      <c r="BJ320" s="274"/>
      <c r="BK320" s="274"/>
      <c r="BL320" s="274"/>
      <c r="BM320" s="274"/>
      <c r="BN320" s="274"/>
      <c r="BO320" s="274"/>
      <c r="BP320" s="274"/>
      <c r="BQ320" s="274"/>
      <c r="BR320" s="274"/>
      <c r="BS320" s="274"/>
      <c r="BT320" s="274"/>
      <c r="BU320" s="274"/>
      <c r="BV320" s="274"/>
      <c r="BW320" s="274"/>
      <c r="BX320" s="274"/>
      <c r="BY320" s="274"/>
      <c r="BZ320" s="274"/>
      <c r="CA320" s="274"/>
      <c r="CB320" s="274"/>
      <c r="CC320" s="274"/>
      <c r="CD320" s="274"/>
      <c r="CE320" s="274"/>
      <c r="CF320" s="274"/>
      <c r="CG320" s="274"/>
      <c r="CH320" s="274"/>
      <c r="CI320" s="274"/>
      <c r="CJ320" s="274"/>
      <c r="CK320" s="274"/>
      <c r="CL320" s="274"/>
      <c r="CM320" s="274"/>
      <c r="CN320" s="274"/>
      <c r="CO320" s="274"/>
      <c r="CP320" s="274"/>
      <c r="CQ320" s="274"/>
      <c r="CR320" s="274"/>
      <c r="CS320" s="274"/>
      <c r="CT320" s="274"/>
      <c r="CU320" s="274"/>
      <c r="CV320" s="274"/>
      <c r="CW320" s="274"/>
      <c r="CX320" s="274"/>
      <c r="CY320" s="274"/>
      <c r="CZ320" s="274"/>
      <c r="DA320" s="274"/>
      <c r="DB320" s="274"/>
      <c r="DC320" s="274"/>
      <c r="DD320" s="274"/>
      <c r="DE320" s="274"/>
      <c r="DF320" s="274"/>
      <c r="DG320" s="274"/>
      <c r="DH320" s="274"/>
      <c r="DI320" s="274"/>
      <c r="DJ320" s="274"/>
      <c r="DK320" s="274"/>
      <c r="DL320" s="274"/>
      <c r="DM320" s="274"/>
      <c r="DN320" s="274"/>
      <c r="DO320" s="274"/>
      <c r="DP320" s="274"/>
      <c r="DQ320" s="274"/>
      <c r="DR320" s="274"/>
      <c r="DS320" s="274"/>
      <c r="DT320" s="274"/>
      <c r="DU320" s="274"/>
      <c r="DV320" s="274"/>
      <c r="DW320" s="274"/>
      <c r="DX320" s="274"/>
      <c r="DY320" s="274"/>
      <c r="DZ320" s="274"/>
      <c r="EA320" s="274"/>
      <c r="EB320" s="274"/>
      <c r="EC320" s="274"/>
      <c r="ED320" s="274"/>
      <c r="EE320" s="274"/>
      <c r="EF320" s="274"/>
    </row>
    <row r="321" spans="1:136" s="453" customFormat="1" ht="39" hidden="1" customHeight="1">
      <c r="A321" s="2809"/>
      <c r="B321" s="2793"/>
      <c r="C321" s="2808"/>
      <c r="D321" s="444" t="s">
        <v>48</v>
      </c>
      <c r="E321" s="445"/>
      <c r="F321" s="468"/>
      <c r="G321" s="445"/>
      <c r="H321" s="445"/>
      <c r="I321" s="445"/>
      <c r="J321" s="447">
        <v>42.523000000000003</v>
      </c>
      <c r="K321" s="445">
        <v>21.271000000000001</v>
      </c>
      <c r="L321" s="445">
        <v>6.7</v>
      </c>
      <c r="M321" s="1529">
        <v>6.7</v>
      </c>
      <c r="N321" s="557">
        <f t="shared" si="200"/>
        <v>-0.68501715951295195</v>
      </c>
      <c r="O321" s="445"/>
      <c r="P321" s="1529"/>
      <c r="Q321" s="445"/>
      <c r="R321" s="1529"/>
      <c r="S321" s="2810"/>
      <c r="T321" s="2810"/>
      <c r="U321" s="2829"/>
      <c r="V321" s="2784"/>
      <c r="W321" s="2785"/>
      <c r="X321" s="2785"/>
      <c r="Y321" s="2785"/>
      <c r="Z321" s="2785"/>
      <c r="AA321" s="2785"/>
      <c r="AB321" s="2785"/>
      <c r="AC321" s="2786"/>
      <c r="AE321" s="274"/>
      <c r="AF321" s="274"/>
      <c r="AG321" s="274"/>
      <c r="AH321" s="274"/>
      <c r="AI321" s="274"/>
      <c r="AJ321" s="274"/>
      <c r="AK321" s="274"/>
      <c r="AL321" s="274"/>
      <c r="AM321" s="274"/>
      <c r="AN321" s="274"/>
      <c r="AO321" s="274"/>
      <c r="AP321" s="274"/>
      <c r="AQ321" s="274"/>
      <c r="AR321" s="274"/>
      <c r="AS321" s="274"/>
      <c r="AT321" s="274"/>
      <c r="AU321" s="274"/>
      <c r="AV321" s="274"/>
      <c r="AW321" s="274"/>
      <c r="AX321" s="274"/>
      <c r="AY321" s="274"/>
      <c r="AZ321" s="274"/>
      <c r="BA321" s="274"/>
      <c r="BB321" s="274"/>
      <c r="BC321" s="274"/>
      <c r="BD321" s="274"/>
      <c r="BE321" s="274"/>
      <c r="BF321" s="274"/>
      <c r="BG321" s="274"/>
      <c r="BH321" s="274"/>
      <c r="BI321" s="274"/>
      <c r="BJ321" s="274"/>
      <c r="BK321" s="274"/>
      <c r="BL321" s="274"/>
      <c r="BM321" s="274"/>
      <c r="BN321" s="274"/>
      <c r="BO321" s="274"/>
      <c r="BP321" s="274"/>
      <c r="BQ321" s="274"/>
      <c r="BR321" s="274"/>
      <c r="BS321" s="274"/>
      <c r="BT321" s="274"/>
      <c r="BU321" s="274"/>
      <c r="BV321" s="274"/>
      <c r="BW321" s="274"/>
      <c r="BX321" s="274"/>
      <c r="BY321" s="274"/>
      <c r="BZ321" s="274"/>
      <c r="CA321" s="274"/>
      <c r="CB321" s="274"/>
      <c r="CC321" s="274"/>
      <c r="CD321" s="274"/>
      <c r="CE321" s="274"/>
      <c r="CF321" s="274"/>
      <c r="CG321" s="274"/>
      <c r="CH321" s="274"/>
      <c r="CI321" s="274"/>
      <c r="CJ321" s="274"/>
      <c r="CK321" s="274"/>
      <c r="CL321" s="274"/>
      <c r="CM321" s="274"/>
      <c r="CN321" s="274"/>
      <c r="CO321" s="274"/>
      <c r="CP321" s="274"/>
      <c r="CQ321" s="274"/>
      <c r="CR321" s="274"/>
      <c r="CS321" s="274"/>
      <c r="CT321" s="274"/>
      <c r="CU321" s="274"/>
      <c r="CV321" s="274"/>
      <c r="CW321" s="274"/>
      <c r="CX321" s="274"/>
      <c r="CY321" s="274"/>
      <c r="CZ321" s="274"/>
      <c r="DA321" s="274"/>
      <c r="DB321" s="274"/>
      <c r="DC321" s="274"/>
      <c r="DD321" s="274"/>
      <c r="DE321" s="274"/>
      <c r="DF321" s="274"/>
      <c r="DG321" s="274"/>
      <c r="DH321" s="274"/>
      <c r="DI321" s="274"/>
      <c r="DJ321" s="274"/>
      <c r="DK321" s="274"/>
      <c r="DL321" s="274"/>
      <c r="DM321" s="274"/>
      <c r="DN321" s="274"/>
      <c r="DO321" s="274"/>
      <c r="DP321" s="274"/>
      <c r="DQ321" s="274"/>
      <c r="DR321" s="274"/>
      <c r="DS321" s="274"/>
      <c r="DT321" s="274"/>
      <c r="DU321" s="274"/>
      <c r="DV321" s="274"/>
      <c r="DW321" s="274"/>
      <c r="DX321" s="274"/>
      <c r="DY321" s="274"/>
      <c r="DZ321" s="274"/>
      <c r="EA321" s="274"/>
      <c r="EB321" s="274"/>
      <c r="EC321" s="274"/>
      <c r="ED321" s="274"/>
      <c r="EE321" s="274"/>
      <c r="EF321" s="274"/>
    </row>
    <row r="322" spans="1:136" s="453" customFormat="1" ht="39" hidden="1" customHeight="1">
      <c r="A322" s="2809"/>
      <c r="B322" s="2793"/>
      <c r="C322" s="2808"/>
      <c r="D322" s="444" t="s">
        <v>3020</v>
      </c>
      <c r="E322" s="445"/>
      <c r="F322" s="468"/>
      <c r="G322" s="445"/>
      <c r="H322" s="445"/>
      <c r="I322" s="445"/>
      <c r="J322" s="447"/>
      <c r="K322" s="445"/>
      <c r="L322" s="445"/>
      <c r="M322" s="1529"/>
      <c r="N322" s="557" t="e">
        <f t="shared" si="200"/>
        <v>#DIV/0!</v>
      </c>
      <c r="O322" s="445"/>
      <c r="P322" s="1529"/>
      <c r="Q322" s="445"/>
      <c r="R322" s="1529"/>
      <c r="S322" s="2810"/>
      <c r="T322" s="2810"/>
      <c r="U322" s="2829"/>
      <c r="V322" s="2784"/>
      <c r="W322" s="2785"/>
      <c r="X322" s="2785"/>
      <c r="Y322" s="2785"/>
      <c r="Z322" s="2785"/>
      <c r="AA322" s="2785"/>
      <c r="AB322" s="2785"/>
      <c r="AC322" s="2786"/>
      <c r="AE322" s="274"/>
      <c r="AF322" s="274"/>
      <c r="AG322" s="274"/>
      <c r="AH322" s="274"/>
      <c r="AI322" s="274"/>
      <c r="AJ322" s="274"/>
      <c r="AK322" s="274"/>
      <c r="AL322" s="274"/>
      <c r="AM322" s="274"/>
      <c r="AN322" s="274"/>
      <c r="AO322" s="274"/>
      <c r="AP322" s="274"/>
      <c r="AQ322" s="274"/>
      <c r="AR322" s="274"/>
      <c r="AS322" s="274"/>
      <c r="AT322" s="274"/>
      <c r="AU322" s="274"/>
      <c r="AV322" s="274"/>
      <c r="AW322" s="274"/>
      <c r="AX322" s="274"/>
      <c r="AY322" s="274"/>
      <c r="AZ322" s="274"/>
      <c r="BA322" s="274"/>
      <c r="BB322" s="274"/>
      <c r="BC322" s="274"/>
      <c r="BD322" s="274"/>
      <c r="BE322" s="274"/>
      <c r="BF322" s="274"/>
      <c r="BG322" s="274"/>
      <c r="BH322" s="274"/>
      <c r="BI322" s="274"/>
      <c r="BJ322" s="274"/>
      <c r="BK322" s="274"/>
      <c r="BL322" s="274"/>
      <c r="BM322" s="274"/>
      <c r="BN322" s="274"/>
      <c r="BO322" s="274"/>
      <c r="BP322" s="274"/>
      <c r="BQ322" s="274"/>
      <c r="BR322" s="274"/>
      <c r="BS322" s="274"/>
      <c r="BT322" s="274"/>
      <c r="BU322" s="274"/>
      <c r="BV322" s="274"/>
      <c r="BW322" s="274"/>
      <c r="BX322" s="274"/>
      <c r="BY322" s="274"/>
      <c r="BZ322" s="274"/>
      <c r="CA322" s="274"/>
      <c r="CB322" s="274"/>
      <c r="CC322" s="274"/>
      <c r="CD322" s="274"/>
      <c r="CE322" s="274"/>
      <c r="CF322" s="274"/>
      <c r="CG322" s="274"/>
      <c r="CH322" s="274"/>
      <c r="CI322" s="274"/>
      <c r="CJ322" s="274"/>
      <c r="CK322" s="274"/>
      <c r="CL322" s="274"/>
      <c r="CM322" s="274"/>
      <c r="CN322" s="274"/>
      <c r="CO322" s="274"/>
      <c r="CP322" s="274"/>
      <c r="CQ322" s="274"/>
      <c r="CR322" s="274"/>
      <c r="CS322" s="274"/>
      <c r="CT322" s="274"/>
      <c r="CU322" s="274"/>
      <c r="CV322" s="274"/>
      <c r="CW322" s="274"/>
      <c r="CX322" s="274"/>
      <c r="CY322" s="274"/>
      <c r="CZ322" s="274"/>
      <c r="DA322" s="274"/>
      <c r="DB322" s="274"/>
      <c r="DC322" s="274"/>
      <c r="DD322" s="274"/>
      <c r="DE322" s="274"/>
      <c r="DF322" s="274"/>
      <c r="DG322" s="274"/>
      <c r="DH322" s="274"/>
      <c r="DI322" s="274"/>
      <c r="DJ322" s="274"/>
      <c r="DK322" s="274"/>
      <c r="DL322" s="274"/>
      <c r="DM322" s="274"/>
      <c r="DN322" s="274"/>
      <c r="DO322" s="274"/>
      <c r="DP322" s="274"/>
      <c r="DQ322" s="274"/>
      <c r="DR322" s="274"/>
      <c r="DS322" s="274"/>
      <c r="DT322" s="274"/>
      <c r="DU322" s="274"/>
      <c r="DV322" s="274"/>
      <c r="DW322" s="274"/>
      <c r="DX322" s="274"/>
      <c r="DY322" s="274"/>
      <c r="DZ322" s="274"/>
      <c r="EA322" s="274"/>
      <c r="EB322" s="274"/>
      <c r="EC322" s="274"/>
      <c r="ED322" s="274"/>
      <c r="EE322" s="274"/>
      <c r="EF322" s="274"/>
    </row>
    <row r="323" spans="1:136" s="453" customFormat="1" ht="39" hidden="1" customHeight="1">
      <c r="A323" s="2809"/>
      <c r="B323" s="2793"/>
      <c r="C323" s="2808"/>
      <c r="D323" s="1838" t="s">
        <v>3452</v>
      </c>
      <c r="E323" s="1834"/>
      <c r="F323" s="1839"/>
      <c r="G323" s="1834"/>
      <c r="H323" s="1834"/>
      <c r="I323" s="1834"/>
      <c r="J323" s="1835">
        <f>SUM(J319,J320,J321,J322)</f>
        <v>81.756</v>
      </c>
      <c r="K323" s="1834">
        <f>SUM(K319,K320,K321,K322)</f>
        <v>65.938000000000002</v>
      </c>
      <c r="L323" s="1834">
        <f t="shared" ref="L323:M323" si="232">SUM(L319,L320,L321,L322)</f>
        <v>18.7</v>
      </c>
      <c r="M323" s="1836">
        <f t="shared" si="232"/>
        <v>18.7</v>
      </c>
      <c r="N323" s="2072">
        <f t="shared" si="200"/>
        <v>-0.71640025478479785</v>
      </c>
      <c r="O323" s="1834">
        <f t="shared" ref="O323:P323" si="233">SUM(O319,O320,O321,O322)</f>
        <v>0</v>
      </c>
      <c r="P323" s="1836">
        <f t="shared" si="233"/>
        <v>0</v>
      </c>
      <c r="Q323" s="1834">
        <f t="shared" ref="Q323:R323" si="234">SUM(Q319,Q320,Q321,Q322)</f>
        <v>0</v>
      </c>
      <c r="R323" s="1836">
        <f t="shared" si="234"/>
        <v>0</v>
      </c>
      <c r="S323" s="2810"/>
      <c r="T323" s="2810"/>
      <c r="U323" s="2829"/>
      <c r="V323" s="2787"/>
      <c r="W323" s="2788"/>
      <c r="X323" s="2788"/>
      <c r="Y323" s="2788"/>
      <c r="Z323" s="2788"/>
      <c r="AA323" s="2788"/>
      <c r="AB323" s="2788"/>
      <c r="AC323" s="2789"/>
      <c r="AE323" s="274"/>
      <c r="AF323" s="274"/>
      <c r="AG323" s="274"/>
      <c r="AH323" s="274"/>
      <c r="AI323" s="274"/>
      <c r="AJ323" s="274"/>
      <c r="AK323" s="274"/>
      <c r="AL323" s="274"/>
      <c r="AM323" s="274"/>
      <c r="AN323" s="274"/>
      <c r="AO323" s="274"/>
      <c r="AP323" s="274"/>
      <c r="AQ323" s="274"/>
      <c r="AR323" s="274"/>
      <c r="AS323" s="274"/>
      <c r="AT323" s="274"/>
      <c r="AU323" s="274"/>
      <c r="AV323" s="274"/>
      <c r="AW323" s="274"/>
      <c r="AX323" s="274"/>
      <c r="AY323" s="274"/>
      <c r="AZ323" s="274"/>
      <c r="BA323" s="274"/>
      <c r="BB323" s="274"/>
      <c r="BC323" s="274"/>
      <c r="BD323" s="274"/>
      <c r="BE323" s="274"/>
      <c r="BF323" s="274"/>
      <c r="BG323" s="274"/>
      <c r="BH323" s="274"/>
      <c r="BI323" s="274"/>
      <c r="BJ323" s="274"/>
      <c r="BK323" s="274"/>
      <c r="BL323" s="274"/>
      <c r="BM323" s="274"/>
      <c r="BN323" s="274"/>
      <c r="BO323" s="274"/>
      <c r="BP323" s="274"/>
      <c r="BQ323" s="274"/>
      <c r="BR323" s="274"/>
      <c r="BS323" s="274"/>
      <c r="BT323" s="274"/>
      <c r="BU323" s="274"/>
      <c r="BV323" s="274"/>
      <c r="BW323" s="274"/>
      <c r="BX323" s="274"/>
      <c r="BY323" s="274"/>
      <c r="BZ323" s="274"/>
      <c r="CA323" s="274"/>
      <c r="CB323" s="274"/>
      <c r="CC323" s="274"/>
      <c r="CD323" s="274"/>
      <c r="CE323" s="274"/>
      <c r="CF323" s="274"/>
      <c r="CG323" s="274"/>
      <c r="CH323" s="274"/>
      <c r="CI323" s="274"/>
      <c r="CJ323" s="274"/>
      <c r="CK323" s="274"/>
      <c r="CL323" s="274"/>
      <c r="CM323" s="274"/>
      <c r="CN323" s="274"/>
      <c r="CO323" s="274"/>
      <c r="CP323" s="274"/>
      <c r="CQ323" s="274"/>
      <c r="CR323" s="274"/>
      <c r="CS323" s="274"/>
      <c r="CT323" s="274"/>
      <c r="CU323" s="274"/>
      <c r="CV323" s="274"/>
      <c r="CW323" s="274"/>
      <c r="CX323" s="274"/>
      <c r="CY323" s="274"/>
      <c r="CZ323" s="274"/>
      <c r="DA323" s="274"/>
      <c r="DB323" s="274"/>
      <c r="DC323" s="274"/>
      <c r="DD323" s="274"/>
      <c r="DE323" s="274"/>
      <c r="DF323" s="274"/>
      <c r="DG323" s="274"/>
      <c r="DH323" s="274"/>
      <c r="DI323" s="274"/>
      <c r="DJ323" s="274"/>
      <c r="DK323" s="274"/>
      <c r="DL323" s="274"/>
      <c r="DM323" s="274"/>
      <c r="DN323" s="274"/>
      <c r="DO323" s="274"/>
      <c r="DP323" s="274"/>
      <c r="DQ323" s="274"/>
      <c r="DR323" s="274"/>
      <c r="DS323" s="274"/>
      <c r="DT323" s="274"/>
      <c r="DU323" s="274"/>
      <c r="DV323" s="274"/>
      <c r="DW323" s="274"/>
      <c r="DX323" s="274"/>
      <c r="DY323" s="274"/>
      <c r="DZ323" s="274"/>
      <c r="EA323" s="274"/>
      <c r="EB323" s="274"/>
      <c r="EC323" s="274"/>
      <c r="ED323" s="274"/>
      <c r="EE323" s="274"/>
      <c r="EF323" s="274"/>
    </row>
    <row r="324" spans="1:136" ht="39" customHeight="1">
      <c r="A324" s="2791" t="s">
        <v>1935</v>
      </c>
      <c r="B324" s="2703" t="s">
        <v>2732</v>
      </c>
      <c r="C324" s="2806" t="s">
        <v>3016</v>
      </c>
      <c r="D324" s="183" t="s">
        <v>246</v>
      </c>
      <c r="E324" s="213"/>
      <c r="F324" s="291"/>
      <c r="G324" s="213">
        <v>591.6</v>
      </c>
      <c r="H324" s="213">
        <v>591.6</v>
      </c>
      <c r="I324" s="442">
        <f t="shared" ref="I324:I329" si="235">K324/H324-1</f>
        <v>-2.5488505747126577E-2</v>
      </c>
      <c r="J324" s="216">
        <f>SUM(J330,J335,J340)</f>
        <v>807.5</v>
      </c>
      <c r="K324" s="213">
        <f>SUM(K330,K335,K340,)</f>
        <v>576.52099999999996</v>
      </c>
      <c r="L324" s="213">
        <f>SUM(L330,L335,L340)</f>
        <v>205.8</v>
      </c>
      <c r="M324" s="1527">
        <f>SUM(M330,M335,M340)</f>
        <v>205.8</v>
      </c>
      <c r="N324" s="2079">
        <f>SUM(L324-K324)/K324</f>
        <v>-0.64303121655585826</v>
      </c>
      <c r="O324" s="213"/>
      <c r="P324" s="1527"/>
      <c r="Q324" s="213"/>
      <c r="R324" s="1527"/>
      <c r="S324" s="2796" t="s">
        <v>2167</v>
      </c>
      <c r="T324" s="2704" t="s">
        <v>4321</v>
      </c>
      <c r="U324" s="2829"/>
      <c r="V324" s="2766" t="s">
        <v>1128</v>
      </c>
      <c r="W324" s="2694" t="s">
        <v>1854</v>
      </c>
      <c r="X324" s="265" t="s">
        <v>433</v>
      </c>
      <c r="Y324" s="2816"/>
      <c r="Z324" s="2766"/>
      <c r="AA324" s="2766" t="s">
        <v>2175</v>
      </c>
      <c r="AB324" s="2764"/>
      <c r="AC324" s="2766" t="s">
        <v>2798</v>
      </c>
    </row>
    <row r="325" spans="1:136" ht="39" customHeight="1">
      <c r="A325" s="2791"/>
      <c r="B325" s="2703"/>
      <c r="C325" s="2806"/>
      <c r="D325" s="183" t="s">
        <v>470</v>
      </c>
      <c r="E325" s="213"/>
      <c r="F325" s="291"/>
      <c r="G325" s="213"/>
      <c r="H325" s="213"/>
      <c r="I325" s="442"/>
      <c r="J325" s="216">
        <f>SUM(J332,J333,J337,J338,J342,J343)</f>
        <v>485.41400000000004</v>
      </c>
      <c r="K325" s="213"/>
      <c r="L325" s="213"/>
      <c r="M325" s="1527">
        <f>SUM(M332,M333,M337,M342)</f>
        <v>160.5</v>
      </c>
      <c r="N325" s="2079"/>
      <c r="O325" s="213"/>
      <c r="P325" s="1527"/>
      <c r="Q325" s="213"/>
      <c r="R325" s="1527"/>
      <c r="S325" s="2796"/>
      <c r="T325" s="2704"/>
      <c r="U325" s="2829"/>
      <c r="V325" s="2766"/>
      <c r="W325" s="2694"/>
      <c r="X325" s="265"/>
      <c r="Y325" s="2816"/>
      <c r="Z325" s="2766"/>
      <c r="AA325" s="2766"/>
      <c r="AB325" s="2764"/>
      <c r="AC325" s="2766"/>
    </row>
    <row r="326" spans="1:136" ht="39" customHeight="1">
      <c r="A326" s="2812"/>
      <c r="B326" s="2703"/>
      <c r="C326" s="2811"/>
      <c r="D326" s="276" t="s">
        <v>2747</v>
      </c>
      <c r="E326" s="213">
        <v>16.239999999999998</v>
      </c>
      <c r="F326" s="291">
        <f>H326/E326-1</f>
        <v>9.0474137931034484</v>
      </c>
      <c r="G326" s="213">
        <v>163.16999999999999</v>
      </c>
      <c r="H326" s="213">
        <v>163.16999999999999</v>
      </c>
      <c r="I326" s="442">
        <f t="shared" si="235"/>
        <v>1.4885334313905743</v>
      </c>
      <c r="J326" s="216"/>
      <c r="K326" s="213">
        <f>SUM(K337,K342,K332)</f>
        <v>406.05399999999997</v>
      </c>
      <c r="L326" s="213">
        <v>160.5</v>
      </c>
      <c r="M326" s="1527"/>
      <c r="N326" s="2079">
        <f>SUM(L325-K326)/K326</f>
        <v>-1</v>
      </c>
      <c r="O326" s="213"/>
      <c r="P326" s="1527"/>
      <c r="Q326" s="213"/>
      <c r="R326" s="1527"/>
      <c r="S326" s="2796"/>
      <c r="T326" s="2734"/>
      <c r="U326" s="2829"/>
      <c r="V326" s="2766"/>
      <c r="W326" s="2694" t="s">
        <v>1853</v>
      </c>
      <c r="X326" s="265" t="s">
        <v>433</v>
      </c>
      <c r="Y326" s="2816"/>
      <c r="Z326" s="2766"/>
      <c r="AA326" s="2766" t="s">
        <v>4322</v>
      </c>
      <c r="AB326" s="2764"/>
      <c r="AC326" s="2766"/>
      <c r="AD326" s="307" t="s">
        <v>2614</v>
      </c>
    </row>
    <row r="327" spans="1:136" ht="39" customHeight="1">
      <c r="A327" s="2812"/>
      <c r="B327" s="2703"/>
      <c r="C327" s="2811"/>
      <c r="D327" s="276" t="s">
        <v>1358</v>
      </c>
      <c r="E327" s="213"/>
      <c r="F327" s="291"/>
      <c r="G327" s="213"/>
      <c r="H327" s="213"/>
      <c r="I327" s="442"/>
      <c r="J327" s="216"/>
      <c r="K327" s="213"/>
      <c r="L327" s="213"/>
      <c r="M327" s="1527"/>
      <c r="N327" s="2079"/>
      <c r="O327" s="213"/>
      <c r="P327" s="1527"/>
      <c r="Q327" s="213"/>
      <c r="R327" s="1527"/>
      <c r="S327" s="2796"/>
      <c r="T327" s="2734"/>
      <c r="U327" s="2829"/>
      <c r="V327" s="2766"/>
      <c r="W327" s="2694"/>
      <c r="X327" s="265"/>
      <c r="Y327" s="2816"/>
      <c r="Z327" s="2766"/>
      <c r="AA327" s="2766"/>
      <c r="AB327" s="2764"/>
      <c r="AC327" s="2766"/>
      <c r="AD327" s="307"/>
    </row>
    <row r="328" spans="1:136" ht="39" customHeight="1">
      <c r="A328" s="2812"/>
      <c r="B328" s="2703"/>
      <c r="C328" s="2811"/>
      <c r="D328" s="2830" t="s">
        <v>1110</v>
      </c>
      <c r="E328" s="2792">
        <f>SUM(E324:E326)</f>
        <v>16.239999999999998</v>
      </c>
      <c r="F328" s="2831">
        <f t="shared" ref="F328:F329" si="236">H328/E328-1</f>
        <v>45.475985221674883</v>
      </c>
      <c r="G328" s="2792">
        <f>SUM(G324:G326)</f>
        <v>754.77</v>
      </c>
      <c r="H328" s="2792">
        <f>SUM(H324:H326)</f>
        <v>754.77</v>
      </c>
      <c r="I328" s="2813">
        <f t="shared" si="235"/>
        <v>0.30182042211534643</v>
      </c>
      <c r="J328" s="2814">
        <f>SUM(J324:J326)</f>
        <v>1292.914</v>
      </c>
      <c r="K328" s="2792">
        <f t="shared" ref="K328" si="237">SUM(K324:K326)</f>
        <v>982.57499999999993</v>
      </c>
      <c r="L328" s="2792">
        <f>SUM(L324,L325,L326,L327)</f>
        <v>366.3</v>
      </c>
      <c r="M328" s="2765">
        <f t="shared" ref="M328:R328" si="238">SUM(M324,M325,M326,M327)</f>
        <v>366.3</v>
      </c>
      <c r="N328" s="2803">
        <f t="shared" si="200"/>
        <v>-0.62720403022670013</v>
      </c>
      <c r="O328" s="2792">
        <f t="shared" si="238"/>
        <v>0</v>
      </c>
      <c r="P328" s="2765">
        <f t="shared" si="238"/>
        <v>0</v>
      </c>
      <c r="Q328" s="2792">
        <f t="shared" si="238"/>
        <v>0</v>
      </c>
      <c r="R328" s="2765">
        <f t="shared" si="238"/>
        <v>0</v>
      </c>
      <c r="S328" s="2796"/>
      <c r="T328" s="2734"/>
      <c r="U328" s="2829"/>
      <c r="V328" s="2766"/>
      <c r="W328" s="2694" t="s">
        <v>1129</v>
      </c>
      <c r="X328" s="2766" t="s">
        <v>433</v>
      </c>
      <c r="Y328" s="2815"/>
      <c r="Z328" s="2766"/>
      <c r="AA328" s="2766" t="s">
        <v>2176</v>
      </c>
      <c r="AB328" s="2764"/>
      <c r="AC328" s="2766"/>
    </row>
    <row r="329" spans="1:136" ht="19.2" customHeight="1">
      <c r="A329" s="2812"/>
      <c r="B329" s="2703"/>
      <c r="C329" s="2811"/>
      <c r="D329" s="2830"/>
      <c r="E329" s="2792"/>
      <c r="F329" s="2831" t="e">
        <f t="shared" si="236"/>
        <v>#DIV/0!</v>
      </c>
      <c r="G329" s="2792"/>
      <c r="H329" s="2792"/>
      <c r="I329" s="2813" t="e">
        <f t="shared" si="235"/>
        <v>#DIV/0!</v>
      </c>
      <c r="J329" s="2814"/>
      <c r="K329" s="2792"/>
      <c r="L329" s="2792"/>
      <c r="M329" s="2765"/>
      <c r="N329" s="2805" t="e">
        <f t="shared" si="200"/>
        <v>#DIV/0!</v>
      </c>
      <c r="O329" s="2792"/>
      <c r="P329" s="2765"/>
      <c r="Q329" s="2792"/>
      <c r="R329" s="2765"/>
      <c r="S329" s="2796"/>
      <c r="T329" s="2734"/>
      <c r="U329" s="2829"/>
      <c r="V329" s="2766"/>
      <c r="W329" s="2694"/>
      <c r="X329" s="2766"/>
      <c r="Y329" s="2815"/>
      <c r="Z329" s="2766"/>
      <c r="AA329" s="2766"/>
      <c r="AB329" s="2764"/>
      <c r="AC329" s="2766"/>
    </row>
    <row r="330" spans="1:136" s="453" customFormat="1" ht="39" hidden="1" customHeight="1">
      <c r="A330" s="2809"/>
      <c r="B330" s="2793" t="s">
        <v>3024</v>
      </c>
      <c r="C330" s="2808"/>
      <c r="D330" s="444" t="s">
        <v>246</v>
      </c>
      <c r="E330" s="445"/>
      <c r="F330" s="468"/>
      <c r="G330" s="445"/>
      <c r="H330" s="445"/>
      <c r="I330" s="445"/>
      <c r="J330" s="447">
        <v>276.07299999999998</v>
      </c>
      <c r="K330" s="445">
        <v>114.78700000000001</v>
      </c>
      <c r="L330" s="445">
        <v>15.5</v>
      </c>
      <c r="M330" s="1529">
        <v>15.5</v>
      </c>
      <c r="N330" s="557">
        <f t="shared" si="200"/>
        <v>-0.86496728723635952</v>
      </c>
      <c r="O330" s="445"/>
      <c r="P330" s="1529"/>
      <c r="Q330" s="445"/>
      <c r="R330" s="1529"/>
      <c r="S330" s="2807"/>
      <c r="T330" s="2807"/>
      <c r="U330" s="2829"/>
      <c r="V330" s="2794"/>
      <c r="W330" s="2794"/>
      <c r="X330" s="2794"/>
      <c r="Y330" s="2794"/>
      <c r="Z330" s="2794"/>
      <c r="AA330" s="2781"/>
      <c r="AB330" s="2782"/>
      <c r="AC330" s="2783"/>
      <c r="AE330" s="274"/>
      <c r="AF330" s="274"/>
      <c r="AG330" s="274"/>
      <c r="AH330" s="274"/>
      <c r="AI330" s="274"/>
      <c r="AJ330" s="274"/>
      <c r="AK330" s="274"/>
      <c r="AL330" s="274"/>
      <c r="AM330" s="274"/>
      <c r="AN330" s="274"/>
      <c r="AO330" s="274"/>
      <c r="AP330" s="274"/>
      <c r="AQ330" s="274"/>
      <c r="AR330" s="274"/>
      <c r="AS330" s="274"/>
      <c r="AT330" s="274"/>
      <c r="AU330" s="274"/>
      <c r="AV330" s="274"/>
      <c r="AW330" s="274"/>
      <c r="AX330" s="274"/>
      <c r="AY330" s="274"/>
      <c r="AZ330" s="274"/>
      <c r="BA330" s="274"/>
      <c r="BB330" s="274"/>
      <c r="BC330" s="274"/>
      <c r="BD330" s="274"/>
      <c r="BE330" s="274"/>
      <c r="BF330" s="274"/>
      <c r="BG330" s="274"/>
      <c r="BH330" s="274"/>
      <c r="BI330" s="274"/>
      <c r="BJ330" s="274"/>
      <c r="BK330" s="274"/>
      <c r="BL330" s="274"/>
      <c r="BM330" s="274"/>
      <c r="BN330" s="274"/>
      <c r="BO330" s="274"/>
      <c r="BP330" s="274"/>
      <c r="BQ330" s="274"/>
      <c r="BR330" s="274"/>
      <c r="BS330" s="274"/>
      <c r="BT330" s="274"/>
      <c r="BU330" s="274"/>
      <c r="BV330" s="274"/>
      <c r="BW330" s="274"/>
      <c r="BX330" s="274"/>
      <c r="BY330" s="274"/>
      <c r="BZ330" s="274"/>
      <c r="CA330" s="274"/>
      <c r="CB330" s="274"/>
      <c r="CC330" s="274"/>
      <c r="CD330" s="274"/>
      <c r="CE330" s="274"/>
      <c r="CF330" s="274"/>
      <c r="CG330" s="274"/>
      <c r="CH330" s="274"/>
      <c r="CI330" s="274"/>
      <c r="CJ330" s="274"/>
      <c r="CK330" s="274"/>
      <c r="CL330" s="274"/>
      <c r="CM330" s="274"/>
      <c r="CN330" s="274"/>
      <c r="CO330" s="274"/>
      <c r="CP330" s="274"/>
      <c r="CQ330" s="274"/>
      <c r="CR330" s="274"/>
      <c r="CS330" s="274"/>
      <c r="CT330" s="274"/>
      <c r="CU330" s="274"/>
      <c r="CV330" s="274"/>
      <c r="CW330" s="274"/>
      <c r="CX330" s="274"/>
      <c r="CY330" s="274"/>
      <c r="CZ330" s="274"/>
      <c r="DA330" s="274"/>
      <c r="DB330" s="274"/>
      <c r="DC330" s="274"/>
      <c r="DD330" s="274"/>
      <c r="DE330" s="274"/>
      <c r="DF330" s="274"/>
      <c r="DG330" s="274"/>
      <c r="DH330" s="274"/>
      <c r="DI330" s="274"/>
      <c r="DJ330" s="274"/>
      <c r="DK330" s="274"/>
      <c r="DL330" s="274"/>
      <c r="DM330" s="274"/>
      <c r="DN330" s="274"/>
      <c r="DO330" s="274"/>
      <c r="DP330" s="274"/>
      <c r="DQ330" s="274"/>
      <c r="DR330" s="274"/>
      <c r="DS330" s="274"/>
      <c r="DT330" s="274"/>
      <c r="DU330" s="274"/>
      <c r="DV330" s="274"/>
      <c r="DW330" s="274"/>
      <c r="DX330" s="274"/>
      <c r="DY330" s="274"/>
      <c r="DZ330" s="274"/>
      <c r="EA330" s="274"/>
      <c r="EB330" s="274"/>
      <c r="EC330" s="274"/>
      <c r="ED330" s="274"/>
      <c r="EE330" s="274"/>
      <c r="EF330" s="274"/>
    </row>
    <row r="331" spans="1:136" s="453" customFormat="1" ht="39" hidden="1" customHeight="1">
      <c r="A331" s="2809"/>
      <c r="B331" s="2793"/>
      <c r="C331" s="2808"/>
      <c r="D331" s="444" t="s">
        <v>412</v>
      </c>
      <c r="E331" s="445"/>
      <c r="F331" s="468"/>
      <c r="G331" s="445"/>
      <c r="H331" s="445"/>
      <c r="I331" s="445"/>
      <c r="J331" s="447"/>
      <c r="K331" s="445"/>
      <c r="L331" s="445"/>
      <c r="M331" s="1529"/>
      <c r="N331" s="557" t="e">
        <f t="shared" si="200"/>
        <v>#DIV/0!</v>
      </c>
      <c r="O331" s="445"/>
      <c r="P331" s="1529"/>
      <c r="Q331" s="445"/>
      <c r="R331" s="1529"/>
      <c r="S331" s="2807"/>
      <c r="T331" s="2807"/>
      <c r="U331" s="2829"/>
      <c r="V331" s="2794"/>
      <c r="W331" s="2794"/>
      <c r="X331" s="2794"/>
      <c r="Y331" s="2794"/>
      <c r="Z331" s="2794"/>
      <c r="AA331" s="2784"/>
      <c r="AB331" s="2785"/>
      <c r="AC331" s="2786"/>
      <c r="AE331" s="274"/>
      <c r="AF331" s="274"/>
      <c r="AG331" s="274"/>
      <c r="AH331" s="274"/>
      <c r="AI331" s="274"/>
      <c r="AJ331" s="274"/>
      <c r="AK331" s="274"/>
      <c r="AL331" s="274"/>
      <c r="AM331" s="274"/>
      <c r="AN331" s="274"/>
      <c r="AO331" s="274"/>
      <c r="AP331" s="274"/>
      <c r="AQ331" s="274"/>
      <c r="AR331" s="274"/>
      <c r="AS331" s="274"/>
      <c r="AT331" s="274"/>
      <c r="AU331" s="274"/>
      <c r="AV331" s="274"/>
      <c r="AW331" s="274"/>
      <c r="AX331" s="274"/>
      <c r="AY331" s="274"/>
      <c r="AZ331" s="274"/>
      <c r="BA331" s="274"/>
      <c r="BB331" s="274"/>
      <c r="BC331" s="274"/>
      <c r="BD331" s="274"/>
      <c r="BE331" s="274"/>
      <c r="BF331" s="274"/>
      <c r="BG331" s="274"/>
      <c r="BH331" s="274"/>
      <c r="BI331" s="274"/>
      <c r="BJ331" s="274"/>
      <c r="BK331" s="274"/>
      <c r="BL331" s="274"/>
      <c r="BM331" s="274"/>
      <c r="BN331" s="274"/>
      <c r="BO331" s="274"/>
      <c r="BP331" s="274"/>
      <c r="BQ331" s="274"/>
      <c r="BR331" s="274"/>
      <c r="BS331" s="274"/>
      <c r="BT331" s="274"/>
      <c r="BU331" s="274"/>
      <c r="BV331" s="274"/>
      <c r="BW331" s="274"/>
      <c r="BX331" s="274"/>
      <c r="BY331" s="274"/>
      <c r="BZ331" s="274"/>
      <c r="CA331" s="274"/>
      <c r="CB331" s="274"/>
      <c r="CC331" s="274"/>
      <c r="CD331" s="274"/>
      <c r="CE331" s="274"/>
      <c r="CF331" s="274"/>
      <c r="CG331" s="274"/>
      <c r="CH331" s="274"/>
      <c r="CI331" s="274"/>
      <c r="CJ331" s="274"/>
      <c r="CK331" s="274"/>
      <c r="CL331" s="274"/>
      <c r="CM331" s="274"/>
      <c r="CN331" s="274"/>
      <c r="CO331" s="274"/>
      <c r="CP331" s="274"/>
      <c r="CQ331" s="274"/>
      <c r="CR331" s="274"/>
      <c r="CS331" s="274"/>
      <c r="CT331" s="274"/>
      <c r="CU331" s="274"/>
      <c r="CV331" s="274"/>
      <c r="CW331" s="274"/>
      <c r="CX331" s="274"/>
      <c r="CY331" s="274"/>
      <c r="CZ331" s="274"/>
      <c r="DA331" s="274"/>
      <c r="DB331" s="274"/>
      <c r="DC331" s="274"/>
      <c r="DD331" s="274"/>
      <c r="DE331" s="274"/>
      <c r="DF331" s="274"/>
      <c r="DG331" s="274"/>
      <c r="DH331" s="274"/>
      <c r="DI331" s="274"/>
      <c r="DJ331" s="274"/>
      <c r="DK331" s="274"/>
      <c r="DL331" s="274"/>
      <c r="DM331" s="274"/>
      <c r="DN331" s="274"/>
      <c r="DO331" s="274"/>
      <c r="DP331" s="274"/>
      <c r="DQ331" s="274"/>
      <c r="DR331" s="274"/>
      <c r="DS331" s="274"/>
      <c r="DT331" s="274"/>
      <c r="DU331" s="274"/>
      <c r="DV331" s="274"/>
      <c r="DW331" s="274"/>
      <c r="DX331" s="274"/>
      <c r="DY331" s="274"/>
      <c r="DZ331" s="274"/>
      <c r="EA331" s="274"/>
      <c r="EB331" s="274"/>
      <c r="EC331" s="274"/>
      <c r="ED331" s="274"/>
      <c r="EE331" s="274"/>
      <c r="EF331" s="274"/>
    </row>
    <row r="332" spans="1:136" s="453" customFormat="1" ht="39" hidden="1" customHeight="1">
      <c r="A332" s="2809"/>
      <c r="B332" s="2793"/>
      <c r="C332" s="2808"/>
      <c r="D332" s="444" t="s">
        <v>48</v>
      </c>
      <c r="E332" s="445"/>
      <c r="F332" s="468"/>
      <c r="G332" s="445"/>
      <c r="H332" s="445"/>
      <c r="I332" s="445"/>
      <c r="J332" s="447">
        <v>125.994</v>
      </c>
      <c r="K332" s="445">
        <v>81.619</v>
      </c>
      <c r="L332" s="445">
        <v>11</v>
      </c>
      <c r="M332" s="1529">
        <v>11</v>
      </c>
      <c r="N332" s="557">
        <f t="shared" si="200"/>
        <v>-0.86522745929256673</v>
      </c>
      <c r="O332" s="445"/>
      <c r="P332" s="1529"/>
      <c r="Q332" s="445"/>
      <c r="R332" s="1529"/>
      <c r="S332" s="2807"/>
      <c r="T332" s="2807"/>
      <c r="U332" s="2829"/>
      <c r="V332" s="2794"/>
      <c r="W332" s="2794"/>
      <c r="X332" s="2794"/>
      <c r="Y332" s="2794"/>
      <c r="Z332" s="2794"/>
      <c r="AA332" s="2784"/>
      <c r="AB332" s="2785"/>
      <c r="AC332" s="2786"/>
      <c r="AE332" s="274"/>
      <c r="AF332" s="274"/>
      <c r="AG332" s="274"/>
      <c r="AH332" s="274"/>
      <c r="AI332" s="274"/>
      <c r="AJ332" s="274"/>
      <c r="AK332" s="274"/>
      <c r="AL332" s="274"/>
      <c r="AM332" s="274"/>
      <c r="AN332" s="274"/>
      <c r="AO332" s="274"/>
      <c r="AP332" s="274"/>
      <c r="AQ332" s="274"/>
      <c r="AR332" s="274"/>
      <c r="AS332" s="274"/>
      <c r="AT332" s="274"/>
      <c r="AU332" s="274"/>
      <c r="AV332" s="274"/>
      <c r="AW332" s="274"/>
      <c r="AX332" s="274"/>
      <c r="AY332" s="274"/>
      <c r="AZ332" s="274"/>
      <c r="BA332" s="274"/>
      <c r="BB332" s="274"/>
      <c r="BC332" s="274"/>
      <c r="BD332" s="274"/>
      <c r="BE332" s="274"/>
      <c r="BF332" s="274"/>
      <c r="BG332" s="274"/>
      <c r="BH332" s="274"/>
      <c r="BI332" s="274"/>
      <c r="BJ332" s="274"/>
      <c r="BK332" s="274"/>
      <c r="BL332" s="274"/>
      <c r="BM332" s="274"/>
      <c r="BN332" s="274"/>
      <c r="BO332" s="274"/>
      <c r="BP332" s="274"/>
      <c r="BQ332" s="274"/>
      <c r="BR332" s="274"/>
      <c r="BS332" s="274"/>
      <c r="BT332" s="274"/>
      <c r="BU332" s="274"/>
      <c r="BV332" s="274"/>
      <c r="BW332" s="274"/>
      <c r="BX332" s="274"/>
      <c r="BY332" s="274"/>
      <c r="BZ332" s="274"/>
      <c r="CA332" s="274"/>
      <c r="CB332" s="274"/>
      <c r="CC332" s="274"/>
      <c r="CD332" s="274"/>
      <c r="CE332" s="274"/>
      <c r="CF332" s="274"/>
      <c r="CG332" s="274"/>
      <c r="CH332" s="274"/>
      <c r="CI332" s="274"/>
      <c r="CJ332" s="274"/>
      <c r="CK332" s="274"/>
      <c r="CL332" s="274"/>
      <c r="CM332" s="274"/>
      <c r="CN332" s="274"/>
      <c r="CO332" s="274"/>
      <c r="CP332" s="274"/>
      <c r="CQ332" s="274"/>
      <c r="CR332" s="274"/>
      <c r="CS332" s="274"/>
      <c r="CT332" s="274"/>
      <c r="CU332" s="274"/>
      <c r="CV332" s="274"/>
      <c r="CW332" s="274"/>
      <c r="CX332" s="274"/>
      <c r="CY332" s="274"/>
      <c r="CZ332" s="274"/>
      <c r="DA332" s="274"/>
      <c r="DB332" s="274"/>
      <c r="DC332" s="274"/>
      <c r="DD332" s="274"/>
      <c r="DE332" s="274"/>
      <c r="DF332" s="274"/>
      <c r="DG332" s="274"/>
      <c r="DH332" s="274"/>
      <c r="DI332" s="274"/>
      <c r="DJ332" s="274"/>
      <c r="DK332" s="274"/>
      <c r="DL332" s="274"/>
      <c r="DM332" s="274"/>
      <c r="DN332" s="274"/>
      <c r="DO332" s="274"/>
      <c r="DP332" s="274"/>
      <c r="DQ332" s="274"/>
      <c r="DR332" s="274"/>
      <c r="DS332" s="274"/>
      <c r="DT332" s="274"/>
      <c r="DU332" s="274"/>
      <c r="DV332" s="274"/>
      <c r="DW332" s="274"/>
      <c r="DX332" s="274"/>
      <c r="DY332" s="274"/>
      <c r="DZ332" s="274"/>
      <c r="EA332" s="274"/>
      <c r="EB332" s="274"/>
      <c r="EC332" s="274"/>
      <c r="ED332" s="274"/>
      <c r="EE332" s="274"/>
      <c r="EF332" s="274"/>
    </row>
    <row r="333" spans="1:136" s="453" customFormat="1" ht="39" hidden="1" customHeight="1">
      <c r="A333" s="2809"/>
      <c r="B333" s="2793"/>
      <c r="C333" s="2808"/>
      <c r="D333" s="444" t="s">
        <v>3020</v>
      </c>
      <c r="E333" s="445"/>
      <c r="F333" s="468"/>
      <c r="G333" s="445"/>
      <c r="H333" s="445"/>
      <c r="I333" s="445"/>
      <c r="J333" s="447"/>
      <c r="K333" s="445"/>
      <c r="L333" s="445"/>
      <c r="M333" s="1529"/>
      <c r="N333" s="557" t="e">
        <f t="shared" si="200"/>
        <v>#DIV/0!</v>
      </c>
      <c r="O333" s="445"/>
      <c r="P333" s="1529"/>
      <c r="Q333" s="445"/>
      <c r="R333" s="1529"/>
      <c r="S333" s="2807"/>
      <c r="T333" s="2807"/>
      <c r="U333" s="2829"/>
      <c r="V333" s="2794"/>
      <c r="W333" s="2794"/>
      <c r="X333" s="2794"/>
      <c r="Y333" s="2794"/>
      <c r="Z333" s="2794"/>
      <c r="AA333" s="2784"/>
      <c r="AB333" s="2785"/>
      <c r="AC333" s="2786"/>
      <c r="AE333" s="274"/>
      <c r="AF333" s="274"/>
      <c r="AG333" s="274"/>
      <c r="AH333" s="274"/>
      <c r="AI333" s="274"/>
      <c r="AJ333" s="274"/>
      <c r="AK333" s="274"/>
      <c r="AL333" s="274"/>
      <c r="AM333" s="274"/>
      <c r="AN333" s="274"/>
      <c r="AO333" s="274"/>
      <c r="AP333" s="274"/>
      <c r="AQ333" s="274"/>
      <c r="AR333" s="274"/>
      <c r="AS333" s="274"/>
      <c r="AT333" s="274"/>
      <c r="AU333" s="274"/>
      <c r="AV333" s="274"/>
      <c r="AW333" s="274"/>
      <c r="AX333" s="274"/>
      <c r="AY333" s="274"/>
      <c r="AZ333" s="274"/>
      <c r="BA333" s="274"/>
      <c r="BB333" s="274"/>
      <c r="BC333" s="274"/>
      <c r="BD333" s="274"/>
      <c r="BE333" s="274"/>
      <c r="BF333" s="274"/>
      <c r="BG333" s="274"/>
      <c r="BH333" s="274"/>
      <c r="BI333" s="274"/>
      <c r="BJ333" s="274"/>
      <c r="BK333" s="274"/>
      <c r="BL333" s="274"/>
      <c r="BM333" s="274"/>
      <c r="BN333" s="274"/>
      <c r="BO333" s="274"/>
      <c r="BP333" s="274"/>
      <c r="BQ333" s="274"/>
      <c r="BR333" s="274"/>
      <c r="BS333" s="274"/>
      <c r="BT333" s="274"/>
      <c r="BU333" s="274"/>
      <c r="BV333" s="274"/>
      <c r="BW333" s="274"/>
      <c r="BX333" s="274"/>
      <c r="BY333" s="274"/>
      <c r="BZ333" s="274"/>
      <c r="CA333" s="274"/>
      <c r="CB333" s="274"/>
      <c r="CC333" s="274"/>
      <c r="CD333" s="274"/>
      <c r="CE333" s="274"/>
      <c r="CF333" s="274"/>
      <c r="CG333" s="274"/>
      <c r="CH333" s="274"/>
      <c r="CI333" s="274"/>
      <c r="CJ333" s="274"/>
      <c r="CK333" s="274"/>
      <c r="CL333" s="274"/>
      <c r="CM333" s="274"/>
      <c r="CN333" s="274"/>
      <c r="CO333" s="274"/>
      <c r="CP333" s="274"/>
      <c r="CQ333" s="274"/>
      <c r="CR333" s="274"/>
      <c r="CS333" s="274"/>
      <c r="CT333" s="274"/>
      <c r="CU333" s="274"/>
      <c r="CV333" s="274"/>
      <c r="CW333" s="274"/>
      <c r="CX333" s="274"/>
      <c r="CY333" s="274"/>
      <c r="CZ333" s="274"/>
      <c r="DA333" s="274"/>
      <c r="DB333" s="274"/>
      <c r="DC333" s="274"/>
      <c r="DD333" s="274"/>
      <c r="DE333" s="274"/>
      <c r="DF333" s="274"/>
      <c r="DG333" s="274"/>
      <c r="DH333" s="274"/>
      <c r="DI333" s="274"/>
      <c r="DJ333" s="274"/>
      <c r="DK333" s="274"/>
      <c r="DL333" s="274"/>
      <c r="DM333" s="274"/>
      <c r="DN333" s="274"/>
      <c r="DO333" s="274"/>
      <c r="DP333" s="274"/>
      <c r="DQ333" s="274"/>
      <c r="DR333" s="274"/>
      <c r="DS333" s="274"/>
      <c r="DT333" s="274"/>
      <c r="DU333" s="274"/>
      <c r="DV333" s="274"/>
      <c r="DW333" s="274"/>
      <c r="DX333" s="274"/>
      <c r="DY333" s="274"/>
      <c r="DZ333" s="274"/>
      <c r="EA333" s="274"/>
      <c r="EB333" s="274"/>
      <c r="EC333" s="274"/>
      <c r="ED333" s="274"/>
      <c r="EE333" s="274"/>
      <c r="EF333" s="274"/>
    </row>
    <row r="334" spans="1:136" s="453" customFormat="1" ht="39" hidden="1" customHeight="1">
      <c r="A334" s="2809"/>
      <c r="B334" s="2793"/>
      <c r="C334" s="2808"/>
      <c r="D334" s="1838" t="s">
        <v>3452</v>
      </c>
      <c r="E334" s="1834"/>
      <c r="F334" s="1839"/>
      <c r="G334" s="1834"/>
      <c r="H334" s="1834"/>
      <c r="I334" s="1834"/>
      <c r="J334" s="1835">
        <f t="shared" ref="J334:R334" si="239">SUM(J330,J331,J332,J333)</f>
        <v>402.06700000000001</v>
      </c>
      <c r="K334" s="1834">
        <f t="shared" si="239"/>
        <v>196.40600000000001</v>
      </c>
      <c r="L334" s="1834">
        <f>SUM(L330,L331,L332,L333)</f>
        <v>26.5</v>
      </c>
      <c r="M334" s="1836">
        <f t="shared" si="239"/>
        <v>26.5</v>
      </c>
      <c r="N334" s="2072">
        <f t="shared" si="200"/>
        <v>-0.86507540502835967</v>
      </c>
      <c r="O334" s="1834">
        <f t="shared" si="239"/>
        <v>0</v>
      </c>
      <c r="P334" s="1836">
        <f t="shared" si="239"/>
        <v>0</v>
      </c>
      <c r="Q334" s="1834">
        <f t="shared" si="239"/>
        <v>0</v>
      </c>
      <c r="R334" s="1836">
        <f t="shared" si="239"/>
        <v>0</v>
      </c>
      <c r="S334" s="2807"/>
      <c r="T334" s="2807"/>
      <c r="U334" s="2829"/>
      <c r="V334" s="2794"/>
      <c r="W334" s="2794"/>
      <c r="X334" s="2794"/>
      <c r="Y334" s="2794"/>
      <c r="Z334" s="2794"/>
      <c r="AA334" s="2784"/>
      <c r="AB334" s="2785"/>
      <c r="AC334" s="2786"/>
      <c r="AE334" s="274"/>
      <c r="AF334" s="274"/>
      <c r="AG334" s="274"/>
      <c r="AH334" s="274"/>
      <c r="AI334" s="274"/>
      <c r="AJ334" s="274"/>
      <c r="AK334" s="274"/>
      <c r="AL334" s="274"/>
      <c r="AM334" s="274"/>
      <c r="AN334" s="274"/>
      <c r="AO334" s="274"/>
      <c r="AP334" s="274"/>
      <c r="AQ334" s="274"/>
      <c r="AR334" s="274"/>
      <c r="AS334" s="274"/>
      <c r="AT334" s="274"/>
      <c r="AU334" s="274"/>
      <c r="AV334" s="274"/>
      <c r="AW334" s="274"/>
      <c r="AX334" s="274"/>
      <c r="AY334" s="274"/>
      <c r="AZ334" s="274"/>
      <c r="BA334" s="274"/>
      <c r="BB334" s="274"/>
      <c r="BC334" s="274"/>
      <c r="BD334" s="274"/>
      <c r="BE334" s="274"/>
      <c r="BF334" s="274"/>
      <c r="BG334" s="274"/>
      <c r="BH334" s="274"/>
      <c r="BI334" s="274"/>
      <c r="BJ334" s="274"/>
      <c r="BK334" s="274"/>
      <c r="BL334" s="274"/>
      <c r="BM334" s="274"/>
      <c r="BN334" s="274"/>
      <c r="BO334" s="274"/>
      <c r="BP334" s="274"/>
      <c r="BQ334" s="274"/>
      <c r="BR334" s="274"/>
      <c r="BS334" s="274"/>
      <c r="BT334" s="274"/>
      <c r="BU334" s="274"/>
      <c r="BV334" s="274"/>
      <c r="BW334" s="274"/>
      <c r="BX334" s="274"/>
      <c r="BY334" s="274"/>
      <c r="BZ334" s="274"/>
      <c r="CA334" s="274"/>
      <c r="CB334" s="274"/>
      <c r="CC334" s="274"/>
      <c r="CD334" s="274"/>
      <c r="CE334" s="274"/>
      <c r="CF334" s="274"/>
      <c r="CG334" s="274"/>
      <c r="CH334" s="274"/>
      <c r="CI334" s="274"/>
      <c r="CJ334" s="274"/>
      <c r="CK334" s="274"/>
      <c r="CL334" s="274"/>
      <c r="CM334" s="274"/>
      <c r="CN334" s="274"/>
      <c r="CO334" s="274"/>
      <c r="CP334" s="274"/>
      <c r="CQ334" s="274"/>
      <c r="CR334" s="274"/>
      <c r="CS334" s="274"/>
      <c r="CT334" s="274"/>
      <c r="CU334" s="274"/>
      <c r="CV334" s="274"/>
      <c r="CW334" s="274"/>
      <c r="CX334" s="274"/>
      <c r="CY334" s="274"/>
      <c r="CZ334" s="274"/>
      <c r="DA334" s="274"/>
      <c r="DB334" s="274"/>
      <c r="DC334" s="274"/>
      <c r="DD334" s="274"/>
      <c r="DE334" s="274"/>
      <c r="DF334" s="274"/>
      <c r="DG334" s="274"/>
      <c r="DH334" s="274"/>
      <c r="DI334" s="274"/>
      <c r="DJ334" s="274"/>
      <c r="DK334" s="274"/>
      <c r="DL334" s="274"/>
      <c r="DM334" s="274"/>
      <c r="DN334" s="274"/>
      <c r="DO334" s="274"/>
      <c r="DP334" s="274"/>
      <c r="DQ334" s="274"/>
      <c r="DR334" s="274"/>
      <c r="DS334" s="274"/>
      <c r="DT334" s="274"/>
      <c r="DU334" s="274"/>
      <c r="DV334" s="274"/>
      <c r="DW334" s="274"/>
      <c r="DX334" s="274"/>
      <c r="DY334" s="274"/>
      <c r="DZ334" s="274"/>
      <c r="EA334" s="274"/>
      <c r="EB334" s="274"/>
      <c r="EC334" s="274"/>
      <c r="ED334" s="274"/>
      <c r="EE334" s="274"/>
      <c r="EF334" s="274"/>
    </row>
    <row r="335" spans="1:136" s="453" customFormat="1" ht="39" hidden="1" customHeight="1">
      <c r="A335" s="2809"/>
      <c r="B335" s="2793" t="s">
        <v>1076</v>
      </c>
      <c r="C335" s="2808"/>
      <c r="D335" s="444" t="s">
        <v>246</v>
      </c>
      <c r="E335" s="445"/>
      <c r="F335" s="468"/>
      <c r="G335" s="445"/>
      <c r="H335" s="445"/>
      <c r="I335" s="445"/>
      <c r="J335" s="447">
        <v>477.57799999999997</v>
      </c>
      <c r="K335" s="445">
        <v>413.09</v>
      </c>
      <c r="L335" s="445">
        <v>176</v>
      </c>
      <c r="M335" s="1529">
        <v>176</v>
      </c>
      <c r="N335" s="557">
        <f t="shared" ref="N335:N372" si="240">SUM(L335-K335)/K335</f>
        <v>-0.57394272434578419</v>
      </c>
      <c r="O335" s="445"/>
      <c r="P335" s="1529"/>
      <c r="Q335" s="445"/>
      <c r="R335" s="1529"/>
      <c r="S335" s="2807"/>
      <c r="T335" s="2807"/>
      <c r="U335" s="2829"/>
      <c r="V335" s="2794"/>
      <c r="W335" s="2794"/>
      <c r="X335" s="2794"/>
      <c r="Y335" s="2794"/>
      <c r="Z335" s="2794"/>
      <c r="AA335" s="2784"/>
      <c r="AB335" s="2785"/>
      <c r="AC335" s="2786"/>
      <c r="AE335" s="274"/>
      <c r="AF335" s="274"/>
      <c r="AG335" s="274"/>
      <c r="AH335" s="274"/>
      <c r="AI335" s="274"/>
      <c r="AJ335" s="274"/>
      <c r="AK335" s="274"/>
      <c r="AL335" s="274"/>
      <c r="AM335" s="274"/>
      <c r="AN335" s="274"/>
      <c r="AO335" s="274"/>
      <c r="AP335" s="274"/>
      <c r="AQ335" s="274"/>
      <c r="AR335" s="274"/>
      <c r="AS335" s="274"/>
      <c r="AT335" s="274"/>
      <c r="AU335" s="274"/>
      <c r="AV335" s="274"/>
      <c r="AW335" s="274"/>
      <c r="AX335" s="274"/>
      <c r="AY335" s="274"/>
      <c r="AZ335" s="274"/>
      <c r="BA335" s="274"/>
      <c r="BB335" s="274"/>
      <c r="BC335" s="274"/>
      <c r="BD335" s="274"/>
      <c r="BE335" s="274"/>
      <c r="BF335" s="274"/>
      <c r="BG335" s="274"/>
      <c r="BH335" s="274"/>
      <c r="BI335" s="274"/>
      <c r="BJ335" s="274"/>
      <c r="BK335" s="274"/>
      <c r="BL335" s="274"/>
      <c r="BM335" s="274"/>
      <c r="BN335" s="274"/>
      <c r="BO335" s="274"/>
      <c r="BP335" s="274"/>
      <c r="BQ335" s="274"/>
      <c r="BR335" s="274"/>
      <c r="BS335" s="274"/>
      <c r="BT335" s="274"/>
      <c r="BU335" s="274"/>
      <c r="BV335" s="274"/>
      <c r="BW335" s="274"/>
      <c r="BX335" s="274"/>
      <c r="BY335" s="274"/>
      <c r="BZ335" s="274"/>
      <c r="CA335" s="274"/>
      <c r="CB335" s="274"/>
      <c r="CC335" s="274"/>
      <c r="CD335" s="274"/>
      <c r="CE335" s="274"/>
      <c r="CF335" s="274"/>
      <c r="CG335" s="274"/>
      <c r="CH335" s="274"/>
      <c r="CI335" s="274"/>
      <c r="CJ335" s="274"/>
      <c r="CK335" s="274"/>
      <c r="CL335" s="274"/>
      <c r="CM335" s="274"/>
      <c r="CN335" s="274"/>
      <c r="CO335" s="274"/>
      <c r="CP335" s="274"/>
      <c r="CQ335" s="274"/>
      <c r="CR335" s="274"/>
      <c r="CS335" s="274"/>
      <c r="CT335" s="274"/>
      <c r="CU335" s="274"/>
      <c r="CV335" s="274"/>
      <c r="CW335" s="274"/>
      <c r="CX335" s="274"/>
      <c r="CY335" s="274"/>
      <c r="CZ335" s="274"/>
      <c r="DA335" s="274"/>
      <c r="DB335" s="274"/>
      <c r="DC335" s="274"/>
      <c r="DD335" s="274"/>
      <c r="DE335" s="274"/>
      <c r="DF335" s="274"/>
      <c r="DG335" s="274"/>
      <c r="DH335" s="274"/>
      <c r="DI335" s="274"/>
      <c r="DJ335" s="274"/>
      <c r="DK335" s="274"/>
      <c r="DL335" s="274"/>
      <c r="DM335" s="274"/>
      <c r="DN335" s="274"/>
      <c r="DO335" s="274"/>
      <c r="DP335" s="274"/>
      <c r="DQ335" s="274"/>
      <c r="DR335" s="274"/>
      <c r="DS335" s="274"/>
      <c r="DT335" s="274"/>
      <c r="DU335" s="274"/>
      <c r="DV335" s="274"/>
      <c r="DW335" s="274"/>
      <c r="DX335" s="274"/>
      <c r="DY335" s="274"/>
      <c r="DZ335" s="274"/>
      <c r="EA335" s="274"/>
      <c r="EB335" s="274"/>
      <c r="EC335" s="274"/>
      <c r="ED335" s="274"/>
      <c r="EE335" s="274"/>
      <c r="EF335" s="274"/>
    </row>
    <row r="336" spans="1:136" s="453" customFormat="1" ht="39" hidden="1" customHeight="1">
      <c r="A336" s="2809"/>
      <c r="B336" s="2793"/>
      <c r="C336" s="2808"/>
      <c r="D336" s="444" t="s">
        <v>412</v>
      </c>
      <c r="E336" s="445"/>
      <c r="F336" s="468"/>
      <c r="G336" s="445"/>
      <c r="H336" s="445"/>
      <c r="I336" s="445"/>
      <c r="J336" s="447"/>
      <c r="K336" s="445"/>
      <c r="L336" s="445"/>
      <c r="M336" s="1529"/>
      <c r="N336" s="557" t="e">
        <f t="shared" si="240"/>
        <v>#DIV/0!</v>
      </c>
      <c r="O336" s="445"/>
      <c r="P336" s="1529"/>
      <c r="Q336" s="445"/>
      <c r="R336" s="1529"/>
      <c r="S336" s="2807"/>
      <c r="T336" s="2807"/>
      <c r="U336" s="2829"/>
      <c r="V336" s="2794"/>
      <c r="W336" s="2794"/>
      <c r="X336" s="2794"/>
      <c r="Y336" s="2794"/>
      <c r="Z336" s="2794"/>
      <c r="AA336" s="2784"/>
      <c r="AB336" s="2785"/>
      <c r="AC336" s="2786"/>
      <c r="AE336" s="274"/>
      <c r="AF336" s="274"/>
      <c r="AG336" s="274"/>
      <c r="AH336" s="274"/>
      <c r="AI336" s="274"/>
      <c r="AJ336" s="274"/>
      <c r="AK336" s="274"/>
      <c r="AL336" s="274"/>
      <c r="AM336" s="274"/>
      <c r="AN336" s="274"/>
      <c r="AO336" s="274"/>
      <c r="AP336" s="274"/>
      <c r="AQ336" s="274"/>
      <c r="AR336" s="274"/>
      <c r="AS336" s="274"/>
      <c r="AT336" s="274"/>
      <c r="AU336" s="274"/>
      <c r="AV336" s="274"/>
      <c r="AW336" s="274"/>
      <c r="AX336" s="274"/>
      <c r="AY336" s="274"/>
      <c r="AZ336" s="274"/>
      <c r="BA336" s="274"/>
      <c r="BB336" s="274"/>
      <c r="BC336" s="274"/>
      <c r="BD336" s="274"/>
      <c r="BE336" s="274"/>
      <c r="BF336" s="274"/>
      <c r="BG336" s="274"/>
      <c r="BH336" s="274"/>
      <c r="BI336" s="274"/>
      <c r="BJ336" s="274"/>
      <c r="BK336" s="274"/>
      <c r="BL336" s="274"/>
      <c r="BM336" s="274"/>
      <c r="BN336" s="274"/>
      <c r="BO336" s="274"/>
      <c r="BP336" s="274"/>
      <c r="BQ336" s="274"/>
      <c r="BR336" s="274"/>
      <c r="BS336" s="274"/>
      <c r="BT336" s="274"/>
      <c r="BU336" s="274"/>
      <c r="BV336" s="274"/>
      <c r="BW336" s="274"/>
      <c r="BX336" s="274"/>
      <c r="BY336" s="274"/>
      <c r="BZ336" s="274"/>
      <c r="CA336" s="274"/>
      <c r="CB336" s="274"/>
      <c r="CC336" s="274"/>
      <c r="CD336" s="274"/>
      <c r="CE336" s="274"/>
      <c r="CF336" s="274"/>
      <c r="CG336" s="274"/>
      <c r="CH336" s="274"/>
      <c r="CI336" s="274"/>
      <c r="CJ336" s="274"/>
      <c r="CK336" s="274"/>
      <c r="CL336" s="274"/>
      <c r="CM336" s="274"/>
      <c r="CN336" s="274"/>
      <c r="CO336" s="274"/>
      <c r="CP336" s="274"/>
      <c r="CQ336" s="274"/>
      <c r="CR336" s="274"/>
      <c r="CS336" s="274"/>
      <c r="CT336" s="274"/>
      <c r="CU336" s="274"/>
      <c r="CV336" s="274"/>
      <c r="CW336" s="274"/>
      <c r="CX336" s="274"/>
      <c r="CY336" s="274"/>
      <c r="CZ336" s="274"/>
      <c r="DA336" s="274"/>
      <c r="DB336" s="274"/>
      <c r="DC336" s="274"/>
      <c r="DD336" s="274"/>
      <c r="DE336" s="274"/>
      <c r="DF336" s="274"/>
      <c r="DG336" s="274"/>
      <c r="DH336" s="274"/>
      <c r="DI336" s="274"/>
      <c r="DJ336" s="274"/>
      <c r="DK336" s="274"/>
      <c r="DL336" s="274"/>
      <c r="DM336" s="274"/>
      <c r="DN336" s="274"/>
      <c r="DO336" s="274"/>
      <c r="DP336" s="274"/>
      <c r="DQ336" s="274"/>
      <c r="DR336" s="274"/>
      <c r="DS336" s="274"/>
      <c r="DT336" s="274"/>
      <c r="DU336" s="274"/>
      <c r="DV336" s="274"/>
      <c r="DW336" s="274"/>
      <c r="DX336" s="274"/>
      <c r="DY336" s="274"/>
      <c r="DZ336" s="274"/>
      <c r="EA336" s="274"/>
      <c r="EB336" s="274"/>
      <c r="EC336" s="274"/>
      <c r="ED336" s="274"/>
      <c r="EE336" s="274"/>
      <c r="EF336" s="274"/>
    </row>
    <row r="337" spans="1:136" s="453" customFormat="1" ht="39" hidden="1" customHeight="1">
      <c r="A337" s="2809"/>
      <c r="B337" s="2793"/>
      <c r="C337" s="2808"/>
      <c r="D337" s="444" t="s">
        <v>48</v>
      </c>
      <c r="E337" s="445"/>
      <c r="F337" s="468"/>
      <c r="G337" s="445"/>
      <c r="H337" s="445"/>
      <c r="I337" s="445"/>
      <c r="J337" s="447">
        <v>325.82100000000003</v>
      </c>
      <c r="K337" s="445">
        <v>293.52600000000001</v>
      </c>
      <c r="L337" s="445">
        <v>145</v>
      </c>
      <c r="M337" s="1529">
        <v>145</v>
      </c>
      <c r="N337" s="557">
        <f t="shared" si="240"/>
        <v>-0.50600628223734867</v>
      </c>
      <c r="O337" s="445"/>
      <c r="P337" s="1529"/>
      <c r="Q337" s="445"/>
      <c r="R337" s="1529"/>
      <c r="S337" s="2807"/>
      <c r="T337" s="2807"/>
      <c r="U337" s="2829"/>
      <c r="V337" s="2794"/>
      <c r="W337" s="2794"/>
      <c r="X337" s="2794"/>
      <c r="Y337" s="2794"/>
      <c r="Z337" s="2794"/>
      <c r="AA337" s="2784"/>
      <c r="AB337" s="2785"/>
      <c r="AC337" s="2786"/>
      <c r="AE337" s="274"/>
      <c r="AF337" s="274"/>
      <c r="AG337" s="274"/>
      <c r="AH337" s="274"/>
      <c r="AI337" s="274"/>
      <c r="AJ337" s="274"/>
      <c r="AK337" s="274"/>
      <c r="AL337" s="274"/>
      <c r="AM337" s="274"/>
      <c r="AN337" s="274"/>
      <c r="AO337" s="274"/>
      <c r="AP337" s="274"/>
      <c r="AQ337" s="274"/>
      <c r="AR337" s="274"/>
      <c r="AS337" s="274"/>
      <c r="AT337" s="274"/>
      <c r="AU337" s="274"/>
      <c r="AV337" s="274"/>
      <c r="AW337" s="274"/>
      <c r="AX337" s="274"/>
      <c r="AY337" s="274"/>
      <c r="AZ337" s="274"/>
      <c r="BA337" s="274"/>
      <c r="BB337" s="274"/>
      <c r="BC337" s="274"/>
      <c r="BD337" s="274"/>
      <c r="BE337" s="274"/>
      <c r="BF337" s="274"/>
      <c r="BG337" s="274"/>
      <c r="BH337" s="274"/>
      <c r="BI337" s="274"/>
      <c r="BJ337" s="274"/>
      <c r="BK337" s="274"/>
      <c r="BL337" s="274"/>
      <c r="BM337" s="274"/>
      <c r="BN337" s="274"/>
      <c r="BO337" s="274"/>
      <c r="BP337" s="274"/>
      <c r="BQ337" s="274"/>
      <c r="BR337" s="274"/>
      <c r="BS337" s="274"/>
      <c r="BT337" s="274"/>
      <c r="BU337" s="274"/>
      <c r="BV337" s="274"/>
      <c r="BW337" s="274"/>
      <c r="BX337" s="274"/>
      <c r="BY337" s="274"/>
      <c r="BZ337" s="274"/>
      <c r="CA337" s="274"/>
      <c r="CB337" s="274"/>
      <c r="CC337" s="274"/>
      <c r="CD337" s="274"/>
      <c r="CE337" s="274"/>
      <c r="CF337" s="274"/>
      <c r="CG337" s="274"/>
      <c r="CH337" s="274"/>
      <c r="CI337" s="274"/>
      <c r="CJ337" s="274"/>
      <c r="CK337" s="274"/>
      <c r="CL337" s="274"/>
      <c r="CM337" s="274"/>
      <c r="CN337" s="274"/>
      <c r="CO337" s="274"/>
      <c r="CP337" s="274"/>
      <c r="CQ337" s="274"/>
      <c r="CR337" s="274"/>
      <c r="CS337" s="274"/>
      <c r="CT337" s="274"/>
      <c r="CU337" s="274"/>
      <c r="CV337" s="274"/>
      <c r="CW337" s="274"/>
      <c r="CX337" s="274"/>
      <c r="CY337" s="274"/>
      <c r="CZ337" s="274"/>
      <c r="DA337" s="274"/>
      <c r="DB337" s="274"/>
      <c r="DC337" s="274"/>
      <c r="DD337" s="274"/>
      <c r="DE337" s="274"/>
      <c r="DF337" s="274"/>
      <c r="DG337" s="274"/>
      <c r="DH337" s="274"/>
      <c r="DI337" s="274"/>
      <c r="DJ337" s="274"/>
      <c r="DK337" s="274"/>
      <c r="DL337" s="274"/>
      <c r="DM337" s="274"/>
      <c r="DN337" s="274"/>
      <c r="DO337" s="274"/>
      <c r="DP337" s="274"/>
      <c r="DQ337" s="274"/>
      <c r="DR337" s="274"/>
      <c r="DS337" s="274"/>
      <c r="DT337" s="274"/>
      <c r="DU337" s="274"/>
      <c r="DV337" s="274"/>
      <c r="DW337" s="274"/>
      <c r="DX337" s="274"/>
      <c r="DY337" s="274"/>
      <c r="DZ337" s="274"/>
      <c r="EA337" s="274"/>
      <c r="EB337" s="274"/>
      <c r="EC337" s="274"/>
      <c r="ED337" s="274"/>
      <c r="EE337" s="274"/>
      <c r="EF337" s="274"/>
    </row>
    <row r="338" spans="1:136" s="453" customFormat="1" ht="39" hidden="1" customHeight="1">
      <c r="A338" s="2809"/>
      <c r="B338" s="2793"/>
      <c r="C338" s="2808"/>
      <c r="D338" s="444" t="s">
        <v>3020</v>
      </c>
      <c r="E338" s="445"/>
      <c r="F338" s="468"/>
      <c r="G338" s="445"/>
      <c r="H338" s="445"/>
      <c r="I338" s="445"/>
      <c r="J338" s="447"/>
      <c r="K338" s="445"/>
      <c r="L338" s="445"/>
      <c r="M338" s="1529"/>
      <c r="N338" s="557" t="e">
        <f t="shared" si="240"/>
        <v>#DIV/0!</v>
      </c>
      <c r="O338" s="445"/>
      <c r="P338" s="1529"/>
      <c r="Q338" s="445"/>
      <c r="R338" s="1529"/>
      <c r="S338" s="2807"/>
      <c r="T338" s="2807"/>
      <c r="U338" s="2829"/>
      <c r="V338" s="2794"/>
      <c r="W338" s="2794"/>
      <c r="X338" s="2794"/>
      <c r="Y338" s="2794"/>
      <c r="Z338" s="2794"/>
      <c r="AA338" s="2784"/>
      <c r="AB338" s="2785"/>
      <c r="AC338" s="2786"/>
      <c r="AE338" s="274"/>
      <c r="AF338" s="274"/>
      <c r="AG338" s="274"/>
      <c r="AH338" s="274"/>
      <c r="AI338" s="274"/>
      <c r="AJ338" s="274"/>
      <c r="AK338" s="274"/>
      <c r="AL338" s="274"/>
      <c r="AM338" s="274"/>
      <c r="AN338" s="274"/>
      <c r="AO338" s="274"/>
      <c r="AP338" s="274"/>
      <c r="AQ338" s="274"/>
      <c r="AR338" s="274"/>
      <c r="AS338" s="274"/>
      <c r="AT338" s="274"/>
      <c r="AU338" s="274"/>
      <c r="AV338" s="274"/>
      <c r="AW338" s="274"/>
      <c r="AX338" s="274"/>
      <c r="AY338" s="274"/>
      <c r="AZ338" s="274"/>
      <c r="BA338" s="274"/>
      <c r="BB338" s="274"/>
      <c r="BC338" s="274"/>
      <c r="BD338" s="274"/>
      <c r="BE338" s="274"/>
      <c r="BF338" s="274"/>
      <c r="BG338" s="274"/>
      <c r="BH338" s="274"/>
      <c r="BI338" s="274"/>
      <c r="BJ338" s="274"/>
      <c r="BK338" s="274"/>
      <c r="BL338" s="274"/>
      <c r="BM338" s="274"/>
      <c r="BN338" s="274"/>
      <c r="BO338" s="274"/>
      <c r="BP338" s="274"/>
      <c r="BQ338" s="274"/>
      <c r="BR338" s="274"/>
      <c r="BS338" s="274"/>
      <c r="BT338" s="274"/>
      <c r="BU338" s="274"/>
      <c r="BV338" s="274"/>
      <c r="BW338" s="274"/>
      <c r="BX338" s="274"/>
      <c r="BY338" s="274"/>
      <c r="BZ338" s="274"/>
      <c r="CA338" s="274"/>
      <c r="CB338" s="274"/>
      <c r="CC338" s="274"/>
      <c r="CD338" s="274"/>
      <c r="CE338" s="274"/>
      <c r="CF338" s="274"/>
      <c r="CG338" s="274"/>
      <c r="CH338" s="274"/>
      <c r="CI338" s="274"/>
      <c r="CJ338" s="274"/>
      <c r="CK338" s="274"/>
      <c r="CL338" s="274"/>
      <c r="CM338" s="274"/>
      <c r="CN338" s="274"/>
      <c r="CO338" s="274"/>
      <c r="CP338" s="274"/>
      <c r="CQ338" s="274"/>
      <c r="CR338" s="274"/>
      <c r="CS338" s="274"/>
      <c r="CT338" s="274"/>
      <c r="CU338" s="274"/>
      <c r="CV338" s="274"/>
      <c r="CW338" s="274"/>
      <c r="CX338" s="274"/>
      <c r="CY338" s="274"/>
      <c r="CZ338" s="274"/>
      <c r="DA338" s="274"/>
      <c r="DB338" s="274"/>
      <c r="DC338" s="274"/>
      <c r="DD338" s="274"/>
      <c r="DE338" s="274"/>
      <c r="DF338" s="274"/>
      <c r="DG338" s="274"/>
      <c r="DH338" s="274"/>
      <c r="DI338" s="274"/>
      <c r="DJ338" s="274"/>
      <c r="DK338" s="274"/>
      <c r="DL338" s="274"/>
      <c r="DM338" s="274"/>
      <c r="DN338" s="274"/>
      <c r="DO338" s="274"/>
      <c r="DP338" s="274"/>
      <c r="DQ338" s="274"/>
      <c r="DR338" s="274"/>
      <c r="DS338" s="274"/>
      <c r="DT338" s="274"/>
      <c r="DU338" s="274"/>
      <c r="DV338" s="274"/>
      <c r="DW338" s="274"/>
      <c r="DX338" s="274"/>
      <c r="DY338" s="274"/>
      <c r="DZ338" s="274"/>
      <c r="EA338" s="274"/>
      <c r="EB338" s="274"/>
      <c r="EC338" s="274"/>
      <c r="ED338" s="274"/>
      <c r="EE338" s="274"/>
      <c r="EF338" s="274"/>
    </row>
    <row r="339" spans="1:136" s="453" customFormat="1" ht="39" hidden="1" customHeight="1">
      <c r="A339" s="2809"/>
      <c r="B339" s="2793"/>
      <c r="C339" s="2808"/>
      <c r="D339" s="1838" t="s">
        <v>3452</v>
      </c>
      <c r="E339" s="1834"/>
      <c r="F339" s="1839"/>
      <c r="G339" s="1834"/>
      <c r="H339" s="1834"/>
      <c r="I339" s="1834"/>
      <c r="J339" s="1835">
        <f t="shared" ref="J339:R339" si="241">SUM(J335,J336,J337,J338)</f>
        <v>803.399</v>
      </c>
      <c r="K339" s="1834">
        <f t="shared" si="241"/>
        <v>706.61599999999999</v>
      </c>
      <c r="L339" s="1834">
        <f t="shared" si="241"/>
        <v>321</v>
      </c>
      <c r="M339" s="1836">
        <f t="shared" si="241"/>
        <v>321</v>
      </c>
      <c r="N339" s="2072">
        <f t="shared" si="240"/>
        <v>-0.54572214611613656</v>
      </c>
      <c r="O339" s="1834">
        <f t="shared" si="241"/>
        <v>0</v>
      </c>
      <c r="P339" s="1836">
        <f t="shared" si="241"/>
        <v>0</v>
      </c>
      <c r="Q339" s="1834">
        <f t="shared" si="241"/>
        <v>0</v>
      </c>
      <c r="R339" s="1836">
        <f t="shared" si="241"/>
        <v>0</v>
      </c>
      <c r="S339" s="2807"/>
      <c r="T339" s="2807"/>
      <c r="U339" s="2829"/>
      <c r="V339" s="2794"/>
      <c r="W339" s="2794"/>
      <c r="X339" s="2794"/>
      <c r="Y339" s="2794"/>
      <c r="Z339" s="2794"/>
      <c r="AA339" s="2784"/>
      <c r="AB339" s="2785"/>
      <c r="AC339" s="2786"/>
      <c r="AE339" s="274"/>
      <c r="AF339" s="274"/>
      <c r="AG339" s="274"/>
      <c r="AH339" s="274"/>
      <c r="AI339" s="274"/>
      <c r="AJ339" s="274"/>
      <c r="AK339" s="274"/>
      <c r="AL339" s="274"/>
      <c r="AM339" s="274"/>
      <c r="AN339" s="274"/>
      <c r="AO339" s="274"/>
      <c r="AP339" s="274"/>
      <c r="AQ339" s="274"/>
      <c r="AR339" s="274"/>
      <c r="AS339" s="274"/>
      <c r="AT339" s="274"/>
      <c r="AU339" s="274"/>
      <c r="AV339" s="274"/>
      <c r="AW339" s="274"/>
      <c r="AX339" s="274"/>
      <c r="AY339" s="274"/>
      <c r="AZ339" s="274"/>
      <c r="BA339" s="274"/>
      <c r="BB339" s="274"/>
      <c r="BC339" s="274"/>
      <c r="BD339" s="274"/>
      <c r="BE339" s="274"/>
      <c r="BF339" s="274"/>
      <c r="BG339" s="274"/>
      <c r="BH339" s="274"/>
      <c r="BI339" s="274"/>
      <c r="BJ339" s="274"/>
      <c r="BK339" s="274"/>
      <c r="BL339" s="274"/>
      <c r="BM339" s="274"/>
      <c r="BN339" s="274"/>
      <c r="BO339" s="274"/>
      <c r="BP339" s="274"/>
      <c r="BQ339" s="274"/>
      <c r="BR339" s="274"/>
      <c r="BS339" s="274"/>
      <c r="BT339" s="274"/>
      <c r="BU339" s="274"/>
      <c r="BV339" s="274"/>
      <c r="BW339" s="274"/>
      <c r="BX339" s="274"/>
      <c r="BY339" s="274"/>
      <c r="BZ339" s="274"/>
      <c r="CA339" s="274"/>
      <c r="CB339" s="274"/>
      <c r="CC339" s="274"/>
      <c r="CD339" s="274"/>
      <c r="CE339" s="274"/>
      <c r="CF339" s="274"/>
      <c r="CG339" s="274"/>
      <c r="CH339" s="274"/>
      <c r="CI339" s="274"/>
      <c r="CJ339" s="274"/>
      <c r="CK339" s="274"/>
      <c r="CL339" s="274"/>
      <c r="CM339" s="274"/>
      <c r="CN339" s="274"/>
      <c r="CO339" s="274"/>
      <c r="CP339" s="274"/>
      <c r="CQ339" s="274"/>
      <c r="CR339" s="274"/>
      <c r="CS339" s="274"/>
      <c r="CT339" s="274"/>
      <c r="CU339" s="274"/>
      <c r="CV339" s="274"/>
      <c r="CW339" s="274"/>
      <c r="CX339" s="274"/>
      <c r="CY339" s="274"/>
      <c r="CZ339" s="274"/>
      <c r="DA339" s="274"/>
      <c r="DB339" s="274"/>
      <c r="DC339" s="274"/>
      <c r="DD339" s="274"/>
      <c r="DE339" s="274"/>
      <c r="DF339" s="274"/>
      <c r="DG339" s="274"/>
      <c r="DH339" s="274"/>
      <c r="DI339" s="274"/>
      <c r="DJ339" s="274"/>
      <c r="DK339" s="274"/>
      <c r="DL339" s="274"/>
      <c r="DM339" s="274"/>
      <c r="DN339" s="274"/>
      <c r="DO339" s="274"/>
      <c r="DP339" s="274"/>
      <c r="DQ339" s="274"/>
      <c r="DR339" s="274"/>
      <c r="DS339" s="274"/>
      <c r="DT339" s="274"/>
      <c r="DU339" s="274"/>
      <c r="DV339" s="274"/>
      <c r="DW339" s="274"/>
      <c r="DX339" s="274"/>
      <c r="DY339" s="274"/>
      <c r="DZ339" s="274"/>
      <c r="EA339" s="274"/>
      <c r="EB339" s="274"/>
      <c r="EC339" s="274"/>
      <c r="ED339" s="274"/>
      <c r="EE339" s="274"/>
      <c r="EF339" s="274"/>
    </row>
    <row r="340" spans="1:136" s="453" customFormat="1" ht="39" hidden="1" customHeight="1">
      <c r="A340" s="2809"/>
      <c r="B340" s="2793" t="s">
        <v>2540</v>
      </c>
      <c r="C340" s="2808"/>
      <c r="D340" s="444" t="s">
        <v>246</v>
      </c>
      <c r="E340" s="446"/>
      <c r="F340" s="457"/>
      <c r="G340" s="446"/>
      <c r="H340" s="446"/>
      <c r="I340" s="445"/>
      <c r="J340" s="447">
        <v>53.848999999999997</v>
      </c>
      <c r="K340" s="445">
        <v>48.643999999999998</v>
      </c>
      <c r="L340" s="445">
        <v>14.3</v>
      </c>
      <c r="M340" s="1529">
        <v>14.3</v>
      </c>
      <c r="N340" s="557">
        <f t="shared" si="240"/>
        <v>-0.70602746484664081</v>
      </c>
      <c r="O340" s="446"/>
      <c r="P340" s="1530"/>
      <c r="Q340" s="446"/>
      <c r="R340" s="1530"/>
      <c r="S340" s="2807"/>
      <c r="T340" s="2807"/>
      <c r="U340" s="2829"/>
      <c r="V340" s="2794"/>
      <c r="W340" s="2794"/>
      <c r="X340" s="2794"/>
      <c r="Y340" s="2794"/>
      <c r="Z340" s="2794"/>
      <c r="AA340" s="2784"/>
      <c r="AB340" s="2785"/>
      <c r="AC340" s="2786"/>
      <c r="AE340" s="274"/>
      <c r="AF340" s="274"/>
      <c r="AG340" s="274"/>
      <c r="AH340" s="274"/>
      <c r="AI340" s="274"/>
      <c r="AJ340" s="274"/>
      <c r="AK340" s="274"/>
      <c r="AL340" s="274"/>
      <c r="AM340" s="274"/>
      <c r="AN340" s="274"/>
      <c r="AO340" s="274"/>
      <c r="AP340" s="274"/>
      <c r="AQ340" s="274"/>
      <c r="AR340" s="274"/>
      <c r="AS340" s="274"/>
      <c r="AT340" s="274"/>
      <c r="AU340" s="274"/>
      <c r="AV340" s="274"/>
      <c r="AW340" s="274"/>
      <c r="AX340" s="274"/>
      <c r="AY340" s="274"/>
      <c r="AZ340" s="274"/>
      <c r="BA340" s="274"/>
      <c r="BB340" s="274"/>
      <c r="BC340" s="274"/>
      <c r="BD340" s="274"/>
      <c r="BE340" s="274"/>
      <c r="BF340" s="274"/>
      <c r="BG340" s="274"/>
      <c r="BH340" s="274"/>
      <c r="BI340" s="274"/>
      <c r="BJ340" s="274"/>
      <c r="BK340" s="274"/>
      <c r="BL340" s="274"/>
      <c r="BM340" s="274"/>
      <c r="BN340" s="274"/>
      <c r="BO340" s="274"/>
      <c r="BP340" s="274"/>
      <c r="BQ340" s="274"/>
      <c r="BR340" s="274"/>
      <c r="BS340" s="274"/>
      <c r="BT340" s="274"/>
      <c r="BU340" s="274"/>
      <c r="BV340" s="274"/>
      <c r="BW340" s="274"/>
      <c r="BX340" s="274"/>
      <c r="BY340" s="274"/>
      <c r="BZ340" s="274"/>
      <c r="CA340" s="274"/>
      <c r="CB340" s="274"/>
      <c r="CC340" s="274"/>
      <c r="CD340" s="274"/>
      <c r="CE340" s="274"/>
      <c r="CF340" s="274"/>
      <c r="CG340" s="274"/>
      <c r="CH340" s="274"/>
      <c r="CI340" s="274"/>
      <c r="CJ340" s="274"/>
      <c r="CK340" s="274"/>
      <c r="CL340" s="274"/>
      <c r="CM340" s="274"/>
      <c r="CN340" s="274"/>
      <c r="CO340" s="274"/>
      <c r="CP340" s="274"/>
      <c r="CQ340" s="274"/>
      <c r="CR340" s="274"/>
      <c r="CS340" s="274"/>
      <c r="CT340" s="274"/>
      <c r="CU340" s="274"/>
      <c r="CV340" s="274"/>
      <c r="CW340" s="274"/>
      <c r="CX340" s="274"/>
      <c r="CY340" s="274"/>
      <c r="CZ340" s="274"/>
      <c r="DA340" s="274"/>
      <c r="DB340" s="274"/>
      <c r="DC340" s="274"/>
      <c r="DD340" s="274"/>
      <c r="DE340" s="274"/>
      <c r="DF340" s="274"/>
      <c r="DG340" s="274"/>
      <c r="DH340" s="274"/>
      <c r="DI340" s="274"/>
      <c r="DJ340" s="274"/>
      <c r="DK340" s="274"/>
      <c r="DL340" s="274"/>
      <c r="DM340" s="274"/>
      <c r="DN340" s="274"/>
      <c r="DO340" s="274"/>
      <c r="DP340" s="274"/>
      <c r="DQ340" s="274"/>
      <c r="DR340" s="274"/>
      <c r="DS340" s="274"/>
      <c r="DT340" s="274"/>
      <c r="DU340" s="274"/>
      <c r="DV340" s="274"/>
      <c r="DW340" s="274"/>
      <c r="DX340" s="274"/>
      <c r="DY340" s="274"/>
      <c r="DZ340" s="274"/>
      <c r="EA340" s="274"/>
      <c r="EB340" s="274"/>
      <c r="EC340" s="274"/>
      <c r="ED340" s="274"/>
      <c r="EE340" s="274"/>
      <c r="EF340" s="274"/>
    </row>
    <row r="341" spans="1:136" s="453" customFormat="1" ht="39" hidden="1" customHeight="1">
      <c r="A341" s="2809"/>
      <c r="B341" s="2793"/>
      <c r="C341" s="2808"/>
      <c r="D341" s="444" t="s">
        <v>412</v>
      </c>
      <c r="E341" s="446"/>
      <c r="F341" s="457"/>
      <c r="G341" s="446"/>
      <c r="H341" s="446"/>
      <c r="I341" s="445"/>
      <c r="J341" s="447"/>
      <c r="K341" s="445"/>
      <c r="L341" s="445"/>
      <c r="M341" s="1529"/>
      <c r="N341" s="557" t="e">
        <f t="shared" si="240"/>
        <v>#DIV/0!</v>
      </c>
      <c r="O341" s="446"/>
      <c r="P341" s="1530"/>
      <c r="Q341" s="446"/>
      <c r="R341" s="1530"/>
      <c r="S341" s="2807"/>
      <c r="T341" s="2807"/>
      <c r="U341" s="2829"/>
      <c r="V341" s="2794"/>
      <c r="W341" s="2794"/>
      <c r="X341" s="2794"/>
      <c r="Y341" s="2794"/>
      <c r="Z341" s="2794"/>
      <c r="AA341" s="2784"/>
      <c r="AB341" s="2785"/>
      <c r="AC341" s="2786"/>
      <c r="AE341" s="274"/>
      <c r="AF341" s="274"/>
      <c r="AG341" s="274"/>
      <c r="AH341" s="274"/>
      <c r="AI341" s="274"/>
      <c r="AJ341" s="274"/>
      <c r="AK341" s="274"/>
      <c r="AL341" s="274"/>
      <c r="AM341" s="274"/>
      <c r="AN341" s="274"/>
      <c r="AO341" s="274"/>
      <c r="AP341" s="274"/>
      <c r="AQ341" s="274"/>
      <c r="AR341" s="274"/>
      <c r="AS341" s="274"/>
      <c r="AT341" s="274"/>
      <c r="AU341" s="274"/>
      <c r="AV341" s="274"/>
      <c r="AW341" s="274"/>
      <c r="AX341" s="274"/>
      <c r="AY341" s="274"/>
      <c r="AZ341" s="274"/>
      <c r="BA341" s="274"/>
      <c r="BB341" s="274"/>
      <c r="BC341" s="274"/>
      <c r="BD341" s="274"/>
      <c r="BE341" s="274"/>
      <c r="BF341" s="274"/>
      <c r="BG341" s="274"/>
      <c r="BH341" s="274"/>
      <c r="BI341" s="274"/>
      <c r="BJ341" s="274"/>
      <c r="BK341" s="274"/>
      <c r="BL341" s="274"/>
      <c r="BM341" s="274"/>
      <c r="BN341" s="274"/>
      <c r="BO341" s="274"/>
      <c r="BP341" s="274"/>
      <c r="BQ341" s="274"/>
      <c r="BR341" s="274"/>
      <c r="BS341" s="274"/>
      <c r="BT341" s="274"/>
      <c r="BU341" s="274"/>
      <c r="BV341" s="274"/>
      <c r="BW341" s="274"/>
      <c r="BX341" s="274"/>
      <c r="BY341" s="274"/>
      <c r="BZ341" s="274"/>
      <c r="CA341" s="274"/>
      <c r="CB341" s="274"/>
      <c r="CC341" s="274"/>
      <c r="CD341" s="274"/>
      <c r="CE341" s="274"/>
      <c r="CF341" s="274"/>
      <c r="CG341" s="274"/>
      <c r="CH341" s="274"/>
      <c r="CI341" s="274"/>
      <c r="CJ341" s="274"/>
      <c r="CK341" s="274"/>
      <c r="CL341" s="274"/>
      <c r="CM341" s="274"/>
      <c r="CN341" s="274"/>
      <c r="CO341" s="274"/>
      <c r="CP341" s="274"/>
      <c r="CQ341" s="274"/>
      <c r="CR341" s="274"/>
      <c r="CS341" s="274"/>
      <c r="CT341" s="274"/>
      <c r="CU341" s="274"/>
      <c r="CV341" s="274"/>
      <c r="CW341" s="274"/>
      <c r="CX341" s="274"/>
      <c r="CY341" s="274"/>
      <c r="CZ341" s="274"/>
      <c r="DA341" s="274"/>
      <c r="DB341" s="274"/>
      <c r="DC341" s="274"/>
      <c r="DD341" s="274"/>
      <c r="DE341" s="274"/>
      <c r="DF341" s="274"/>
      <c r="DG341" s="274"/>
      <c r="DH341" s="274"/>
      <c r="DI341" s="274"/>
      <c r="DJ341" s="274"/>
      <c r="DK341" s="274"/>
      <c r="DL341" s="274"/>
      <c r="DM341" s="274"/>
      <c r="DN341" s="274"/>
      <c r="DO341" s="274"/>
      <c r="DP341" s="274"/>
      <c r="DQ341" s="274"/>
      <c r="DR341" s="274"/>
      <c r="DS341" s="274"/>
      <c r="DT341" s="274"/>
      <c r="DU341" s="274"/>
      <c r="DV341" s="274"/>
      <c r="DW341" s="274"/>
      <c r="DX341" s="274"/>
      <c r="DY341" s="274"/>
      <c r="DZ341" s="274"/>
      <c r="EA341" s="274"/>
      <c r="EB341" s="274"/>
      <c r="EC341" s="274"/>
      <c r="ED341" s="274"/>
      <c r="EE341" s="274"/>
      <c r="EF341" s="274"/>
    </row>
    <row r="342" spans="1:136" s="453" customFormat="1" ht="39" hidden="1" customHeight="1">
      <c r="A342" s="2809"/>
      <c r="B342" s="2793"/>
      <c r="C342" s="2808"/>
      <c r="D342" s="444" t="s">
        <v>48</v>
      </c>
      <c r="E342" s="446"/>
      <c r="F342" s="457"/>
      <c r="G342" s="446"/>
      <c r="H342" s="446"/>
      <c r="I342" s="445"/>
      <c r="J342" s="447">
        <v>33.598999999999997</v>
      </c>
      <c r="K342" s="445">
        <v>30.908999999999999</v>
      </c>
      <c r="L342" s="445">
        <v>4.5</v>
      </c>
      <c r="M342" s="1529">
        <v>4.5</v>
      </c>
      <c r="N342" s="557">
        <f t="shared" si="240"/>
        <v>-0.85441133650393086</v>
      </c>
      <c r="O342" s="446"/>
      <c r="P342" s="1530"/>
      <c r="Q342" s="446"/>
      <c r="R342" s="1530"/>
      <c r="S342" s="2807"/>
      <c r="T342" s="2807"/>
      <c r="U342" s="2829"/>
      <c r="V342" s="2794"/>
      <c r="W342" s="2794"/>
      <c r="X342" s="2794"/>
      <c r="Y342" s="2794"/>
      <c r="Z342" s="2794"/>
      <c r="AA342" s="2784"/>
      <c r="AB342" s="2785"/>
      <c r="AC342" s="2786"/>
      <c r="AE342" s="274"/>
      <c r="AF342" s="274"/>
      <c r="AG342" s="274"/>
      <c r="AH342" s="274"/>
      <c r="AI342" s="274"/>
      <c r="AJ342" s="274"/>
      <c r="AK342" s="274"/>
      <c r="AL342" s="274"/>
      <c r="AM342" s="274"/>
      <c r="AN342" s="274"/>
      <c r="AO342" s="274"/>
      <c r="AP342" s="274"/>
      <c r="AQ342" s="274"/>
      <c r="AR342" s="274"/>
      <c r="AS342" s="274"/>
      <c r="AT342" s="274"/>
      <c r="AU342" s="274"/>
      <c r="AV342" s="274"/>
      <c r="AW342" s="274"/>
      <c r="AX342" s="274"/>
      <c r="AY342" s="274"/>
      <c r="AZ342" s="274"/>
      <c r="BA342" s="274"/>
      <c r="BB342" s="274"/>
      <c r="BC342" s="274"/>
      <c r="BD342" s="274"/>
      <c r="BE342" s="274"/>
      <c r="BF342" s="274"/>
      <c r="BG342" s="274"/>
      <c r="BH342" s="274"/>
      <c r="BI342" s="274"/>
      <c r="BJ342" s="274"/>
      <c r="BK342" s="274"/>
      <c r="BL342" s="274"/>
      <c r="BM342" s="274"/>
      <c r="BN342" s="274"/>
      <c r="BO342" s="274"/>
      <c r="BP342" s="274"/>
      <c r="BQ342" s="274"/>
      <c r="BR342" s="274"/>
      <c r="BS342" s="274"/>
      <c r="BT342" s="274"/>
      <c r="BU342" s="274"/>
      <c r="BV342" s="274"/>
      <c r="BW342" s="274"/>
      <c r="BX342" s="274"/>
      <c r="BY342" s="274"/>
      <c r="BZ342" s="274"/>
      <c r="CA342" s="274"/>
      <c r="CB342" s="274"/>
      <c r="CC342" s="274"/>
      <c r="CD342" s="274"/>
      <c r="CE342" s="274"/>
      <c r="CF342" s="274"/>
      <c r="CG342" s="274"/>
      <c r="CH342" s="274"/>
      <c r="CI342" s="274"/>
      <c r="CJ342" s="274"/>
      <c r="CK342" s="274"/>
      <c r="CL342" s="274"/>
      <c r="CM342" s="274"/>
      <c r="CN342" s="274"/>
      <c r="CO342" s="274"/>
      <c r="CP342" s="274"/>
      <c r="CQ342" s="274"/>
      <c r="CR342" s="274"/>
      <c r="CS342" s="274"/>
      <c r="CT342" s="274"/>
      <c r="CU342" s="274"/>
      <c r="CV342" s="274"/>
      <c r="CW342" s="274"/>
      <c r="CX342" s="274"/>
      <c r="CY342" s="274"/>
      <c r="CZ342" s="274"/>
      <c r="DA342" s="274"/>
      <c r="DB342" s="274"/>
      <c r="DC342" s="274"/>
      <c r="DD342" s="274"/>
      <c r="DE342" s="274"/>
      <c r="DF342" s="274"/>
      <c r="DG342" s="274"/>
      <c r="DH342" s="274"/>
      <c r="DI342" s="274"/>
      <c r="DJ342" s="274"/>
      <c r="DK342" s="274"/>
      <c r="DL342" s="274"/>
      <c r="DM342" s="274"/>
      <c r="DN342" s="274"/>
      <c r="DO342" s="274"/>
      <c r="DP342" s="274"/>
      <c r="DQ342" s="274"/>
      <c r="DR342" s="274"/>
      <c r="DS342" s="274"/>
      <c r="DT342" s="274"/>
      <c r="DU342" s="274"/>
      <c r="DV342" s="274"/>
      <c r="DW342" s="274"/>
      <c r="DX342" s="274"/>
      <c r="DY342" s="274"/>
      <c r="DZ342" s="274"/>
      <c r="EA342" s="274"/>
      <c r="EB342" s="274"/>
      <c r="EC342" s="274"/>
      <c r="ED342" s="274"/>
      <c r="EE342" s="274"/>
      <c r="EF342" s="274"/>
    </row>
    <row r="343" spans="1:136" s="453" customFormat="1" ht="39" hidden="1" customHeight="1">
      <c r="A343" s="2809"/>
      <c r="B343" s="2793"/>
      <c r="C343" s="2808"/>
      <c r="D343" s="444" t="s">
        <v>3020</v>
      </c>
      <c r="E343" s="446"/>
      <c r="F343" s="457"/>
      <c r="G343" s="446"/>
      <c r="H343" s="446"/>
      <c r="I343" s="445"/>
      <c r="J343" s="447"/>
      <c r="K343" s="445"/>
      <c r="L343" s="445"/>
      <c r="M343" s="1529"/>
      <c r="N343" s="557" t="e">
        <f t="shared" si="240"/>
        <v>#DIV/0!</v>
      </c>
      <c r="O343" s="446"/>
      <c r="P343" s="1530"/>
      <c r="Q343" s="446"/>
      <c r="R343" s="1530"/>
      <c r="S343" s="2807"/>
      <c r="T343" s="2807"/>
      <c r="U343" s="2829"/>
      <c r="V343" s="2794"/>
      <c r="W343" s="2794"/>
      <c r="X343" s="2794"/>
      <c r="Y343" s="2794"/>
      <c r="Z343" s="2794"/>
      <c r="AA343" s="2784"/>
      <c r="AB343" s="2785"/>
      <c r="AC343" s="2786"/>
      <c r="AE343" s="274"/>
      <c r="AF343" s="274"/>
      <c r="AG343" s="274"/>
      <c r="AH343" s="274"/>
      <c r="AI343" s="274"/>
      <c r="AJ343" s="274"/>
      <c r="AK343" s="274"/>
      <c r="AL343" s="274"/>
      <c r="AM343" s="274"/>
      <c r="AN343" s="274"/>
      <c r="AO343" s="274"/>
      <c r="AP343" s="274"/>
      <c r="AQ343" s="274"/>
      <c r="AR343" s="274"/>
      <c r="AS343" s="274"/>
      <c r="AT343" s="274"/>
      <c r="AU343" s="274"/>
      <c r="AV343" s="274"/>
      <c r="AW343" s="274"/>
      <c r="AX343" s="274"/>
      <c r="AY343" s="274"/>
      <c r="AZ343" s="274"/>
      <c r="BA343" s="274"/>
      <c r="BB343" s="274"/>
      <c r="BC343" s="274"/>
      <c r="BD343" s="274"/>
      <c r="BE343" s="274"/>
      <c r="BF343" s="274"/>
      <c r="BG343" s="274"/>
      <c r="BH343" s="274"/>
      <c r="BI343" s="274"/>
      <c r="BJ343" s="274"/>
      <c r="BK343" s="274"/>
      <c r="BL343" s="274"/>
      <c r="BM343" s="274"/>
      <c r="BN343" s="274"/>
      <c r="BO343" s="274"/>
      <c r="BP343" s="274"/>
      <c r="BQ343" s="274"/>
      <c r="BR343" s="274"/>
      <c r="BS343" s="274"/>
      <c r="BT343" s="274"/>
      <c r="BU343" s="274"/>
      <c r="BV343" s="274"/>
      <c r="BW343" s="274"/>
      <c r="BX343" s="274"/>
      <c r="BY343" s="274"/>
      <c r="BZ343" s="274"/>
      <c r="CA343" s="274"/>
      <c r="CB343" s="274"/>
      <c r="CC343" s="274"/>
      <c r="CD343" s="274"/>
      <c r="CE343" s="274"/>
      <c r="CF343" s="274"/>
      <c r="CG343" s="274"/>
      <c r="CH343" s="274"/>
      <c r="CI343" s="274"/>
      <c r="CJ343" s="274"/>
      <c r="CK343" s="274"/>
      <c r="CL343" s="274"/>
      <c r="CM343" s="274"/>
      <c r="CN343" s="274"/>
      <c r="CO343" s="274"/>
      <c r="CP343" s="274"/>
      <c r="CQ343" s="274"/>
      <c r="CR343" s="274"/>
      <c r="CS343" s="274"/>
      <c r="CT343" s="274"/>
      <c r="CU343" s="274"/>
      <c r="CV343" s="274"/>
      <c r="CW343" s="274"/>
      <c r="CX343" s="274"/>
      <c r="CY343" s="274"/>
      <c r="CZ343" s="274"/>
      <c r="DA343" s="274"/>
      <c r="DB343" s="274"/>
      <c r="DC343" s="274"/>
      <c r="DD343" s="274"/>
      <c r="DE343" s="274"/>
      <c r="DF343" s="274"/>
      <c r="DG343" s="274"/>
      <c r="DH343" s="274"/>
      <c r="DI343" s="274"/>
      <c r="DJ343" s="274"/>
      <c r="DK343" s="274"/>
      <c r="DL343" s="274"/>
      <c r="DM343" s="274"/>
      <c r="DN343" s="274"/>
      <c r="DO343" s="274"/>
      <c r="DP343" s="274"/>
      <c r="DQ343" s="274"/>
      <c r="DR343" s="274"/>
      <c r="DS343" s="274"/>
      <c r="DT343" s="274"/>
      <c r="DU343" s="274"/>
      <c r="DV343" s="274"/>
      <c r="DW343" s="274"/>
      <c r="DX343" s="274"/>
      <c r="DY343" s="274"/>
      <c r="DZ343" s="274"/>
      <c r="EA343" s="274"/>
      <c r="EB343" s="274"/>
      <c r="EC343" s="274"/>
      <c r="ED343" s="274"/>
      <c r="EE343" s="274"/>
      <c r="EF343" s="274"/>
    </row>
    <row r="344" spans="1:136" s="453" customFormat="1" ht="39" hidden="1" customHeight="1">
      <c r="A344" s="2809"/>
      <c r="B344" s="2793"/>
      <c r="C344" s="2808"/>
      <c r="D344" s="1838" t="s">
        <v>3452</v>
      </c>
      <c r="E344" s="1834"/>
      <c r="F344" s="1839"/>
      <c r="G344" s="1834"/>
      <c r="H344" s="1834"/>
      <c r="I344" s="1834"/>
      <c r="J344" s="1835">
        <f t="shared" ref="J344:R344" si="242">SUM(J340,J341,J342,J343)</f>
        <v>87.447999999999993</v>
      </c>
      <c r="K344" s="1834">
        <f t="shared" si="242"/>
        <v>79.552999999999997</v>
      </c>
      <c r="L344" s="1834">
        <f t="shared" si="242"/>
        <v>18.8</v>
      </c>
      <c r="M344" s="1836">
        <f t="shared" si="242"/>
        <v>18.8</v>
      </c>
      <c r="N344" s="2072">
        <f t="shared" si="240"/>
        <v>-0.76367955953892375</v>
      </c>
      <c r="O344" s="1834">
        <f t="shared" si="242"/>
        <v>0</v>
      </c>
      <c r="P344" s="1836">
        <f t="shared" si="242"/>
        <v>0</v>
      </c>
      <c r="Q344" s="1834">
        <f t="shared" si="242"/>
        <v>0</v>
      </c>
      <c r="R344" s="1836">
        <f t="shared" si="242"/>
        <v>0</v>
      </c>
      <c r="S344" s="2807"/>
      <c r="T344" s="2807"/>
      <c r="U344" s="2829"/>
      <c r="V344" s="2794"/>
      <c r="W344" s="2794"/>
      <c r="X344" s="2794"/>
      <c r="Y344" s="2794"/>
      <c r="Z344" s="2794"/>
      <c r="AA344" s="2787"/>
      <c r="AB344" s="2788"/>
      <c r="AC344" s="2789"/>
      <c r="AE344" s="274"/>
      <c r="AF344" s="274"/>
      <c r="AG344" s="274"/>
      <c r="AH344" s="274"/>
      <c r="AI344" s="274"/>
      <c r="AJ344" s="274"/>
      <c r="AK344" s="274"/>
      <c r="AL344" s="274"/>
      <c r="AM344" s="274"/>
      <c r="AN344" s="274"/>
      <c r="AO344" s="274"/>
      <c r="AP344" s="274"/>
      <c r="AQ344" s="274"/>
      <c r="AR344" s="274"/>
      <c r="AS344" s="274"/>
      <c r="AT344" s="274"/>
      <c r="AU344" s="274"/>
      <c r="AV344" s="274"/>
      <c r="AW344" s="274"/>
      <c r="AX344" s="274"/>
      <c r="AY344" s="274"/>
      <c r="AZ344" s="274"/>
      <c r="BA344" s="274"/>
      <c r="BB344" s="274"/>
      <c r="BC344" s="274"/>
      <c r="BD344" s="274"/>
      <c r="BE344" s="274"/>
      <c r="BF344" s="274"/>
      <c r="BG344" s="274"/>
      <c r="BH344" s="274"/>
      <c r="BI344" s="274"/>
      <c r="BJ344" s="274"/>
      <c r="BK344" s="274"/>
      <c r="BL344" s="274"/>
      <c r="BM344" s="274"/>
      <c r="BN344" s="274"/>
      <c r="BO344" s="274"/>
      <c r="BP344" s="274"/>
      <c r="BQ344" s="274"/>
      <c r="BR344" s="274"/>
      <c r="BS344" s="274"/>
      <c r="BT344" s="274"/>
      <c r="BU344" s="274"/>
      <c r="BV344" s="274"/>
      <c r="BW344" s="274"/>
      <c r="BX344" s="274"/>
      <c r="BY344" s="274"/>
      <c r="BZ344" s="274"/>
      <c r="CA344" s="274"/>
      <c r="CB344" s="274"/>
      <c r="CC344" s="274"/>
      <c r="CD344" s="274"/>
      <c r="CE344" s="274"/>
      <c r="CF344" s="274"/>
      <c r="CG344" s="274"/>
      <c r="CH344" s="274"/>
      <c r="CI344" s="274"/>
      <c r="CJ344" s="274"/>
      <c r="CK344" s="274"/>
      <c r="CL344" s="274"/>
      <c r="CM344" s="274"/>
      <c r="CN344" s="274"/>
      <c r="CO344" s="274"/>
      <c r="CP344" s="274"/>
      <c r="CQ344" s="274"/>
      <c r="CR344" s="274"/>
      <c r="CS344" s="274"/>
      <c r="CT344" s="274"/>
      <c r="CU344" s="274"/>
      <c r="CV344" s="274"/>
      <c r="CW344" s="274"/>
      <c r="CX344" s="274"/>
      <c r="CY344" s="274"/>
      <c r="CZ344" s="274"/>
      <c r="DA344" s="274"/>
      <c r="DB344" s="274"/>
      <c r="DC344" s="274"/>
      <c r="DD344" s="274"/>
      <c r="DE344" s="274"/>
      <c r="DF344" s="274"/>
      <c r="DG344" s="274"/>
      <c r="DH344" s="274"/>
      <c r="DI344" s="274"/>
      <c r="DJ344" s="274"/>
      <c r="DK344" s="274"/>
      <c r="DL344" s="274"/>
      <c r="DM344" s="274"/>
      <c r="DN344" s="274"/>
      <c r="DO344" s="274"/>
      <c r="DP344" s="274"/>
      <c r="DQ344" s="274"/>
      <c r="DR344" s="274"/>
      <c r="DS344" s="274"/>
      <c r="DT344" s="274"/>
      <c r="DU344" s="274"/>
      <c r="DV344" s="274"/>
      <c r="DW344" s="274"/>
      <c r="DX344" s="274"/>
      <c r="DY344" s="274"/>
      <c r="DZ344" s="274"/>
      <c r="EA344" s="274"/>
      <c r="EB344" s="274"/>
      <c r="EC344" s="274"/>
      <c r="ED344" s="274"/>
      <c r="EE344" s="274"/>
      <c r="EF344" s="274"/>
    </row>
    <row r="345" spans="1:136" ht="39" customHeight="1">
      <c r="A345" s="2791" t="s">
        <v>2859</v>
      </c>
      <c r="B345" s="2703" t="s">
        <v>2860</v>
      </c>
      <c r="C345" s="2806">
        <v>188711925</v>
      </c>
      <c r="D345" s="276" t="s">
        <v>246</v>
      </c>
      <c r="E345" s="213">
        <v>30</v>
      </c>
      <c r="F345" s="291">
        <f>H345/E345-1</f>
        <v>2.3333333333333335</v>
      </c>
      <c r="G345" s="213">
        <v>35</v>
      </c>
      <c r="H345" s="213">
        <v>100</v>
      </c>
      <c r="I345" s="442">
        <f>J345/H345-1</f>
        <v>0.33505999999999991</v>
      </c>
      <c r="J345" s="216">
        <v>133.506</v>
      </c>
      <c r="K345" s="213">
        <v>133.506</v>
      </c>
      <c r="L345" s="213">
        <v>82.015000000000001</v>
      </c>
      <c r="M345" s="1527">
        <v>82.015000000000001</v>
      </c>
      <c r="N345" s="2079">
        <f>SUM(L345-K345)/K345</f>
        <v>-0.38568304046260093</v>
      </c>
      <c r="O345" s="213">
        <v>62.015000000000001</v>
      </c>
      <c r="P345" s="1527">
        <v>62.015000000000001</v>
      </c>
      <c r="Q345" s="213">
        <v>22.015000000000001</v>
      </c>
      <c r="R345" s="1527">
        <v>22.015000000000001</v>
      </c>
      <c r="S345" s="2796" t="s">
        <v>2864</v>
      </c>
      <c r="T345" s="2704" t="s">
        <v>3966</v>
      </c>
      <c r="U345" s="2829"/>
      <c r="V345" s="2766" t="s">
        <v>2861</v>
      </c>
      <c r="W345" s="2766" t="s">
        <v>2862</v>
      </c>
      <c r="X345" s="2766" t="s">
        <v>2863</v>
      </c>
      <c r="Y345" s="2766" t="s">
        <v>2865</v>
      </c>
      <c r="Z345" s="2766" t="s">
        <v>3967</v>
      </c>
      <c r="AA345" s="2766" t="s">
        <v>3968</v>
      </c>
      <c r="AB345" s="2766" t="s">
        <v>3968</v>
      </c>
      <c r="AC345" s="2766" t="s">
        <v>2866</v>
      </c>
    </row>
    <row r="346" spans="1:136" ht="159.75" customHeight="1">
      <c r="A346" s="2791"/>
      <c r="B346" s="2703">
        <f>SUM(B345:B345)</f>
        <v>0</v>
      </c>
      <c r="C346" s="2806">
        <f>SUM(C345:C345)</f>
        <v>188711925</v>
      </c>
      <c r="D346" s="301" t="s">
        <v>1110</v>
      </c>
      <c r="E346" s="212">
        <f>E345</f>
        <v>30</v>
      </c>
      <c r="F346" s="294">
        <f t="shared" ref="F346" si="243">(H346-E346)/E346</f>
        <v>2.3333333333333335</v>
      </c>
      <c r="G346" s="212">
        <f>G345</f>
        <v>35</v>
      </c>
      <c r="H346" s="212">
        <f t="shared" ref="H346:O346" si="244">H345</f>
        <v>100</v>
      </c>
      <c r="I346" s="452">
        <f t="shared" ref="I346:I348" si="245">J346/H346-1</f>
        <v>0.33505999999999991</v>
      </c>
      <c r="J346" s="257">
        <f>J345</f>
        <v>133.506</v>
      </c>
      <c r="K346" s="212">
        <f t="shared" si="244"/>
        <v>133.506</v>
      </c>
      <c r="L346" s="212">
        <f t="shared" si="244"/>
        <v>82.015000000000001</v>
      </c>
      <c r="M346" s="1528">
        <f t="shared" ref="M346" si="246">M345</f>
        <v>82.015000000000001</v>
      </c>
      <c r="N346" s="2080">
        <f t="shared" si="240"/>
        <v>-0.38568304046260093</v>
      </c>
      <c r="O346" s="212">
        <f t="shared" si="244"/>
        <v>62.015000000000001</v>
      </c>
      <c r="P346" s="1528">
        <f t="shared" ref="P346:Q346" si="247">P345</f>
        <v>62.015000000000001</v>
      </c>
      <c r="Q346" s="212">
        <f t="shared" si="247"/>
        <v>22.015000000000001</v>
      </c>
      <c r="R346" s="1528">
        <f t="shared" ref="R346" si="248">R345</f>
        <v>22.015000000000001</v>
      </c>
      <c r="S346" s="2796"/>
      <c r="T346" s="2734"/>
      <c r="U346" s="2829"/>
      <c r="V346" s="2766"/>
      <c r="W346" s="2766"/>
      <c r="X346" s="2766"/>
      <c r="Y346" s="2766"/>
      <c r="Z346" s="2766"/>
      <c r="AA346" s="2766"/>
      <c r="AB346" s="2766"/>
      <c r="AC346" s="2766"/>
    </row>
    <row r="347" spans="1:136" ht="39" customHeight="1">
      <c r="A347" s="2791" t="s">
        <v>2867</v>
      </c>
      <c r="B347" s="2703" t="s">
        <v>2868</v>
      </c>
      <c r="C347" s="2806">
        <v>188711925</v>
      </c>
      <c r="D347" s="276" t="s">
        <v>246</v>
      </c>
      <c r="E347" s="213">
        <v>30</v>
      </c>
      <c r="F347" s="291">
        <f>H347/E347-1</f>
        <v>6.4673333333333334</v>
      </c>
      <c r="G347" s="213">
        <v>35</v>
      </c>
      <c r="H347" s="213">
        <v>224.02</v>
      </c>
      <c r="I347" s="442">
        <f t="shared" si="245"/>
        <v>0.48255512900633879</v>
      </c>
      <c r="J347" s="216">
        <v>332.12200000000001</v>
      </c>
      <c r="K347" s="213">
        <v>332.12200000000001</v>
      </c>
      <c r="L347" s="213">
        <v>340.04599999999999</v>
      </c>
      <c r="M347" s="1527">
        <v>340.04599999999999</v>
      </c>
      <c r="N347" s="2079">
        <f t="shared" si="240"/>
        <v>2.3858702524975694E-2</v>
      </c>
      <c r="O347" s="213">
        <v>340.04599999999999</v>
      </c>
      <c r="P347" s="1527">
        <v>340.04599999999999</v>
      </c>
      <c r="Q347" s="213">
        <v>0</v>
      </c>
      <c r="R347" s="1527">
        <v>0</v>
      </c>
      <c r="S347" s="2796" t="s">
        <v>2864</v>
      </c>
      <c r="T347" s="2704" t="s">
        <v>2879</v>
      </c>
      <c r="U347" s="2829"/>
      <c r="V347" s="2766" t="s">
        <v>2869</v>
      </c>
      <c r="W347" s="2766" t="s">
        <v>2870</v>
      </c>
      <c r="X347" s="2766" t="s">
        <v>2871</v>
      </c>
      <c r="Y347" s="2766" t="s">
        <v>2871</v>
      </c>
      <c r="Z347" s="2766" t="s">
        <v>2871</v>
      </c>
      <c r="AA347" s="2764" t="s">
        <v>2871</v>
      </c>
      <c r="AB347" s="2764" t="s">
        <v>2871</v>
      </c>
      <c r="AC347" s="2766"/>
    </row>
    <row r="348" spans="1:136" ht="205.95" customHeight="1">
      <c r="A348" s="2791"/>
      <c r="B348" s="2703">
        <f>SUM(B347:B347)</f>
        <v>0</v>
      </c>
      <c r="C348" s="2806">
        <f>SUM(C347:C347)</f>
        <v>188711925</v>
      </c>
      <c r="D348" s="301" t="s">
        <v>1110</v>
      </c>
      <c r="E348" s="212">
        <f>E347</f>
        <v>30</v>
      </c>
      <c r="F348" s="294">
        <f t="shared" ref="F348" si="249">(H348-E348)/E348</f>
        <v>6.4673333333333334</v>
      </c>
      <c r="G348" s="212">
        <f>G347</f>
        <v>35</v>
      </c>
      <c r="H348" s="212">
        <f t="shared" ref="H348:L348" si="250">H347</f>
        <v>224.02</v>
      </c>
      <c r="I348" s="452">
        <f t="shared" si="245"/>
        <v>0.48255512900633879</v>
      </c>
      <c r="J348" s="257">
        <f t="shared" si="250"/>
        <v>332.12200000000001</v>
      </c>
      <c r="K348" s="212">
        <f t="shared" si="250"/>
        <v>332.12200000000001</v>
      </c>
      <c r="L348" s="212">
        <f t="shared" si="250"/>
        <v>340.04599999999999</v>
      </c>
      <c r="M348" s="1528">
        <f t="shared" ref="M348" si="251">M347</f>
        <v>340.04599999999999</v>
      </c>
      <c r="N348" s="2080">
        <f>SUM(L348-K348)/K348</f>
        <v>2.3858702524975694E-2</v>
      </c>
      <c r="O348" s="212">
        <f>O347</f>
        <v>340.04599999999999</v>
      </c>
      <c r="P348" s="1528">
        <v>0</v>
      </c>
      <c r="Q348" s="212">
        <v>0</v>
      </c>
      <c r="R348" s="1528">
        <v>0</v>
      </c>
      <c r="S348" s="2796"/>
      <c r="T348" s="2734"/>
      <c r="U348" s="2829"/>
      <c r="V348" s="2766"/>
      <c r="W348" s="2766"/>
      <c r="X348" s="2766"/>
      <c r="Y348" s="2766"/>
      <c r="Z348" s="2766"/>
      <c r="AA348" s="2764"/>
      <c r="AB348" s="2764"/>
      <c r="AC348" s="2766"/>
    </row>
    <row r="349" spans="1:136" ht="49.95" hidden="1" customHeight="1">
      <c r="A349" s="1660"/>
      <c r="B349" s="1661" t="s">
        <v>3935</v>
      </c>
      <c r="C349" s="1662"/>
      <c r="D349" s="1663"/>
      <c r="E349" s="1664"/>
      <c r="F349" s="1665"/>
      <c r="G349" s="1664"/>
      <c r="H349" s="1664"/>
      <c r="I349" s="1666"/>
      <c r="J349" s="1667"/>
      <c r="K349" s="1664"/>
      <c r="L349" s="1664"/>
      <c r="M349" s="1668"/>
      <c r="N349" s="2085" t="e">
        <f t="shared" si="240"/>
        <v>#DIV/0!</v>
      </c>
      <c r="O349" s="1664"/>
      <c r="P349" s="1668"/>
      <c r="Q349" s="1664"/>
      <c r="R349" s="1668"/>
      <c r="S349" s="1669"/>
      <c r="T349" s="1658"/>
      <c r="U349" s="2829"/>
      <c r="V349" s="265"/>
      <c r="W349" s="265"/>
      <c r="X349" s="265"/>
      <c r="Y349" s="265"/>
      <c r="Z349" s="265"/>
      <c r="AA349" s="1487"/>
      <c r="AB349" s="1487"/>
      <c r="AC349" s="265"/>
    </row>
    <row r="350" spans="1:136" ht="72.75" customHeight="1">
      <c r="A350" s="214" t="s">
        <v>1941</v>
      </c>
      <c r="B350" s="668" t="s">
        <v>2791</v>
      </c>
      <c r="C350" s="1354"/>
      <c r="D350" s="305"/>
      <c r="E350" s="206">
        <f>E352</f>
        <v>30</v>
      </c>
      <c r="F350" s="288">
        <f>H350/E350-1</f>
        <v>2.2518333333333334</v>
      </c>
      <c r="G350" s="206">
        <f t="shared" ref="G350" si="252">G352</f>
        <v>35</v>
      </c>
      <c r="H350" s="206">
        <f>H352+H355</f>
        <v>97.555000000000007</v>
      </c>
      <c r="I350" s="443">
        <f t="shared" ref="I350:I355" si="253">K350/H350-1</f>
        <v>2.2418123110040433E-2</v>
      </c>
      <c r="J350" s="256">
        <f>J352+J355</f>
        <v>50</v>
      </c>
      <c r="K350" s="206">
        <f>SUM(K352,K355)</f>
        <v>99.742000000000004</v>
      </c>
      <c r="L350" s="206">
        <f>SUM(L352,L355)</f>
        <v>50</v>
      </c>
      <c r="M350" s="206">
        <f t="shared" ref="M350:Q350" si="254">SUM(M352,M355)</f>
        <v>104.67</v>
      </c>
      <c r="N350" s="206">
        <f t="shared" si="254"/>
        <v>-1</v>
      </c>
      <c r="O350" s="206">
        <f t="shared" si="254"/>
        <v>50</v>
      </c>
      <c r="P350" s="206">
        <f t="shared" si="254"/>
        <v>50</v>
      </c>
      <c r="Q350" s="206">
        <f t="shared" si="254"/>
        <v>50</v>
      </c>
      <c r="R350" s="1532">
        <f t="shared" ref="R350" si="255">SUM(R352,R355)</f>
        <v>115.482</v>
      </c>
      <c r="S350" s="179" t="s">
        <v>2640</v>
      </c>
      <c r="T350" s="197"/>
      <c r="U350" s="2829"/>
      <c r="V350" s="180" t="s">
        <v>1612</v>
      </c>
      <c r="W350" s="196" t="s">
        <v>2641</v>
      </c>
      <c r="X350" s="180">
        <v>27</v>
      </c>
      <c r="Y350" s="180">
        <v>28</v>
      </c>
      <c r="Z350" s="180">
        <v>29</v>
      </c>
      <c r="AA350" s="180">
        <v>30</v>
      </c>
      <c r="AB350" s="180">
        <v>30</v>
      </c>
      <c r="AC350" s="2766" t="s">
        <v>2171</v>
      </c>
    </row>
    <row r="351" spans="1:136" ht="39" customHeight="1">
      <c r="A351" s="2791" t="s">
        <v>1936</v>
      </c>
      <c r="B351" s="2703" t="s">
        <v>2799</v>
      </c>
      <c r="C351" s="2806">
        <v>188711925</v>
      </c>
      <c r="D351" s="276" t="s">
        <v>470</v>
      </c>
      <c r="E351" s="213">
        <v>30</v>
      </c>
      <c r="F351" s="291">
        <f>H351/E351-1</f>
        <v>0.66666666666666674</v>
      </c>
      <c r="G351" s="213">
        <v>35</v>
      </c>
      <c r="H351" s="213">
        <v>50</v>
      </c>
      <c r="I351" s="442">
        <f t="shared" si="253"/>
        <v>0</v>
      </c>
      <c r="J351" s="216">
        <v>50</v>
      </c>
      <c r="K351" s="617">
        <v>50</v>
      </c>
      <c r="L351" s="617">
        <v>50</v>
      </c>
      <c r="M351" s="1527">
        <v>50</v>
      </c>
      <c r="N351" s="2079">
        <f t="shared" si="240"/>
        <v>0</v>
      </c>
      <c r="O351" s="617">
        <v>50</v>
      </c>
      <c r="P351" s="1527">
        <v>50</v>
      </c>
      <c r="Q351" s="617">
        <v>50</v>
      </c>
      <c r="R351" s="1527">
        <v>50</v>
      </c>
      <c r="S351" s="2796" t="s">
        <v>2168</v>
      </c>
      <c r="T351" s="2704" t="s">
        <v>3969</v>
      </c>
      <c r="U351" s="2829"/>
      <c r="V351" s="2766" t="s">
        <v>1613</v>
      </c>
      <c r="W351" s="2766" t="s">
        <v>2328</v>
      </c>
      <c r="X351" s="2766" t="s">
        <v>2329</v>
      </c>
      <c r="Y351" s="2766" t="s">
        <v>1306</v>
      </c>
      <c r="Z351" s="2766" t="s">
        <v>1305</v>
      </c>
      <c r="AA351" s="2764" t="s">
        <v>1305</v>
      </c>
      <c r="AB351" s="2764" t="s">
        <v>1306</v>
      </c>
      <c r="AC351" s="2766"/>
    </row>
    <row r="352" spans="1:136" ht="39" customHeight="1">
      <c r="A352" s="2791"/>
      <c r="B352" s="2703">
        <f>SUM(B351:B351)</f>
        <v>0</v>
      </c>
      <c r="C352" s="2806">
        <f>SUM(C351:C351)</f>
        <v>188711925</v>
      </c>
      <c r="D352" s="301" t="s">
        <v>1110</v>
      </c>
      <c r="E352" s="212">
        <f>E351</f>
        <v>30</v>
      </c>
      <c r="F352" s="294">
        <f t="shared" si="132"/>
        <v>0.66666666666666663</v>
      </c>
      <c r="G352" s="212">
        <f>G351</f>
        <v>35</v>
      </c>
      <c r="H352" s="212">
        <f t="shared" ref="H352:O352" si="256">H351</f>
        <v>50</v>
      </c>
      <c r="I352" s="452">
        <f t="shared" si="253"/>
        <v>0</v>
      </c>
      <c r="J352" s="257">
        <f t="shared" si="256"/>
        <v>50</v>
      </c>
      <c r="K352" s="212">
        <f t="shared" si="256"/>
        <v>50</v>
      </c>
      <c r="L352" s="212">
        <f t="shared" si="256"/>
        <v>50</v>
      </c>
      <c r="M352" s="1528">
        <f t="shared" ref="M352" si="257">M351</f>
        <v>50</v>
      </c>
      <c r="N352" s="2080">
        <f t="shared" si="240"/>
        <v>0</v>
      </c>
      <c r="O352" s="212">
        <f t="shared" si="256"/>
        <v>50</v>
      </c>
      <c r="P352" s="1528">
        <f t="shared" ref="P352:Q352" si="258">P351</f>
        <v>50</v>
      </c>
      <c r="Q352" s="212">
        <f t="shared" si="258"/>
        <v>50</v>
      </c>
      <c r="R352" s="1528">
        <f t="shared" ref="R352" si="259">R351</f>
        <v>50</v>
      </c>
      <c r="S352" s="2796"/>
      <c r="T352" s="2734"/>
      <c r="U352" s="2829"/>
      <c r="V352" s="2766"/>
      <c r="W352" s="2766"/>
      <c r="X352" s="2766"/>
      <c r="Y352" s="2766"/>
      <c r="Z352" s="2766"/>
      <c r="AA352" s="2764"/>
      <c r="AB352" s="2764"/>
      <c r="AC352" s="2766"/>
    </row>
    <row r="353" spans="1:30" ht="39" hidden="1" customHeight="1">
      <c r="A353" s="1485"/>
      <c r="B353" s="1551" t="s">
        <v>3022</v>
      </c>
      <c r="C353" s="1486"/>
      <c r="D353" s="301"/>
      <c r="E353" s="212"/>
      <c r="F353" s="294"/>
      <c r="G353" s="212"/>
      <c r="H353" s="212"/>
      <c r="I353" s="452"/>
      <c r="J353" s="257"/>
      <c r="K353" s="212"/>
      <c r="L353" s="212"/>
      <c r="M353" s="1528">
        <v>2.4</v>
      </c>
      <c r="N353" s="2080" t="e">
        <f t="shared" si="240"/>
        <v>#DIV/0!</v>
      </c>
      <c r="O353" s="212"/>
      <c r="P353" s="1528">
        <v>2.5</v>
      </c>
      <c r="Q353" s="212"/>
      <c r="R353" s="1528">
        <v>2.5</v>
      </c>
      <c r="S353" s="2796"/>
      <c r="T353" s="655"/>
      <c r="U353" s="185"/>
      <c r="V353" s="265"/>
      <c r="W353" s="265"/>
      <c r="X353" s="265"/>
      <c r="Y353" s="265"/>
      <c r="Z353" s="265"/>
      <c r="AA353" s="1487"/>
      <c r="AB353" s="1487"/>
      <c r="AC353" s="2766"/>
    </row>
    <row r="354" spans="1:30" ht="39" customHeight="1">
      <c r="A354" s="2766" t="s">
        <v>2618</v>
      </c>
      <c r="B354" s="2703" t="s">
        <v>2581</v>
      </c>
      <c r="C354" s="2806" t="s">
        <v>1071</v>
      </c>
      <c r="D354" s="276" t="s">
        <v>1111</v>
      </c>
      <c r="E354" s="213">
        <v>0</v>
      </c>
      <c r="F354" s="291"/>
      <c r="G354" s="213">
        <v>0</v>
      </c>
      <c r="H354" s="213">
        <f>SUM(H356:H358)</f>
        <v>47.555</v>
      </c>
      <c r="I354" s="442">
        <f t="shared" si="253"/>
        <v>4.5988855009988505E-2</v>
      </c>
      <c r="J354" s="216"/>
      <c r="K354" s="213">
        <f>K356+K357+K358</f>
        <v>49.742000000000004</v>
      </c>
      <c r="L354" s="213">
        <f t="shared" ref="L354:O354" si="260">L356+L357+L358</f>
        <v>0</v>
      </c>
      <c r="M354" s="1527">
        <f>SUM(M356,M357,M358)</f>
        <v>54.67</v>
      </c>
      <c r="N354" s="2082">
        <f t="shared" si="240"/>
        <v>-1</v>
      </c>
      <c r="O354" s="213">
        <f t="shared" si="260"/>
        <v>0</v>
      </c>
      <c r="P354" s="1527">
        <f>SUM(P356,P357,P358)</f>
        <v>0</v>
      </c>
      <c r="Q354" s="213">
        <f t="shared" ref="Q354" si="261">Q356+Q357+Q358</f>
        <v>0</v>
      </c>
      <c r="R354" s="1527">
        <f>SUM(R356,R357,R358)</f>
        <v>65.481999999999999</v>
      </c>
      <c r="S354" s="2796"/>
      <c r="T354" s="2704" t="s">
        <v>2800</v>
      </c>
      <c r="U354" s="185"/>
      <c r="V354" s="2766" t="s">
        <v>1613</v>
      </c>
      <c r="W354" s="2766" t="s">
        <v>2617</v>
      </c>
      <c r="X354" s="2766" t="s">
        <v>392</v>
      </c>
      <c r="Y354" s="2766" t="s">
        <v>392</v>
      </c>
      <c r="Z354" s="2766" t="s">
        <v>392</v>
      </c>
      <c r="AA354" s="2764" t="s">
        <v>392</v>
      </c>
      <c r="AB354" s="2764" t="s">
        <v>392</v>
      </c>
      <c r="AC354" s="2766"/>
      <c r="AD354" s="307" t="s">
        <v>2616</v>
      </c>
    </row>
    <row r="355" spans="1:30" ht="68.25" customHeight="1">
      <c r="A355" s="2791"/>
      <c r="B355" s="2703"/>
      <c r="C355" s="2806">
        <f>SUM(C354:C354)</f>
        <v>0</v>
      </c>
      <c r="D355" s="301" t="s">
        <v>1110</v>
      </c>
      <c r="E355" s="212">
        <f>E354</f>
        <v>0</v>
      </c>
      <c r="F355" s="294"/>
      <c r="G355" s="212">
        <f>G354</f>
        <v>0</v>
      </c>
      <c r="H355" s="212">
        <f t="shared" ref="H355:O355" si="262">H354</f>
        <v>47.555</v>
      </c>
      <c r="I355" s="452">
        <f t="shared" si="253"/>
        <v>4.5988855009988505E-2</v>
      </c>
      <c r="J355" s="257">
        <f>J354</f>
        <v>0</v>
      </c>
      <c r="K355" s="212">
        <f t="shared" si="262"/>
        <v>49.742000000000004</v>
      </c>
      <c r="L355" s="212">
        <f t="shared" si="262"/>
        <v>0</v>
      </c>
      <c r="M355" s="1528">
        <f t="shared" ref="M355" si="263">M354</f>
        <v>54.67</v>
      </c>
      <c r="N355" s="2080">
        <f t="shared" si="240"/>
        <v>-1</v>
      </c>
      <c r="O355" s="212">
        <f t="shared" si="262"/>
        <v>0</v>
      </c>
      <c r="P355" s="1528">
        <f t="shared" ref="P355:Q355" si="264">P354</f>
        <v>0</v>
      </c>
      <c r="Q355" s="212">
        <f t="shared" si="264"/>
        <v>0</v>
      </c>
      <c r="R355" s="1528">
        <f t="shared" ref="R355" si="265">R354</f>
        <v>65.481999999999999</v>
      </c>
      <c r="S355" s="2796"/>
      <c r="T355" s="2734"/>
      <c r="U355" s="185"/>
      <c r="V355" s="2766"/>
      <c r="W355" s="2766"/>
      <c r="X355" s="2766"/>
      <c r="Y355" s="2766"/>
      <c r="Z355" s="2766"/>
      <c r="AA355" s="2764"/>
      <c r="AB355" s="2764"/>
      <c r="AC355" s="2766"/>
    </row>
    <row r="356" spans="1:30" ht="39" hidden="1" customHeight="1">
      <c r="A356" s="1337"/>
      <c r="B356" s="666" t="s">
        <v>2583</v>
      </c>
      <c r="C356" s="1338"/>
      <c r="D356" s="618"/>
      <c r="E356" s="530"/>
      <c r="F356" s="642"/>
      <c r="G356" s="530"/>
      <c r="H356" s="529">
        <v>10.95</v>
      </c>
      <c r="I356" s="474"/>
      <c r="J356" s="619">
        <v>11.154999999999999</v>
      </c>
      <c r="K356" s="601">
        <v>11.028</v>
      </c>
      <c r="L356" s="529"/>
      <c r="M356" s="1535">
        <v>12.397</v>
      </c>
      <c r="N356" s="2076">
        <f t="shared" si="240"/>
        <v>-1</v>
      </c>
      <c r="O356" s="529"/>
      <c r="P356" s="1535"/>
      <c r="Q356" s="529"/>
      <c r="R356" s="1535">
        <v>15.004</v>
      </c>
      <c r="S356" s="2758"/>
      <c r="T356" s="2759"/>
      <c r="U356" s="2759"/>
      <c r="V356" s="2759"/>
      <c r="W356" s="308"/>
      <c r="X356" s="309"/>
      <c r="Y356" s="309"/>
      <c r="Z356" s="309"/>
      <c r="AA356" s="309"/>
      <c r="AB356" s="309"/>
      <c r="AC356" s="309"/>
    </row>
    <row r="357" spans="1:30" ht="39" hidden="1" customHeight="1">
      <c r="A357" s="620"/>
      <c r="B357" s="665" t="s">
        <v>2584</v>
      </c>
      <c r="C357" s="539"/>
      <c r="D357" s="618"/>
      <c r="E357" s="530"/>
      <c r="F357" s="457"/>
      <c r="G357" s="530"/>
      <c r="H357" s="529">
        <v>11.452999999999999</v>
      </c>
      <c r="I357" s="474"/>
      <c r="J357" s="619">
        <v>12.513999999999999</v>
      </c>
      <c r="K357" s="601">
        <v>13.51</v>
      </c>
      <c r="L357" s="529"/>
      <c r="M357" s="1535">
        <v>14.866</v>
      </c>
      <c r="N357" s="2076">
        <f t="shared" si="240"/>
        <v>-1</v>
      </c>
      <c r="O357" s="529"/>
      <c r="P357" s="1535"/>
      <c r="Q357" s="529"/>
      <c r="R357" s="1535">
        <v>17.315999999999999</v>
      </c>
      <c r="S357" s="2760"/>
      <c r="T357" s="2761"/>
      <c r="U357" s="2761"/>
      <c r="V357" s="2761"/>
      <c r="W357" s="308"/>
      <c r="X357" s="309"/>
      <c r="Y357" s="309"/>
      <c r="Z357" s="309"/>
      <c r="AA357" s="309"/>
      <c r="AB357" s="309"/>
      <c r="AC357" s="309"/>
    </row>
    <row r="358" spans="1:30" ht="39" hidden="1" customHeight="1">
      <c r="A358" s="620"/>
      <c r="B358" s="665" t="s">
        <v>2585</v>
      </c>
      <c r="C358" s="539"/>
      <c r="D358" s="618"/>
      <c r="E358" s="530"/>
      <c r="F358" s="457"/>
      <c r="G358" s="530"/>
      <c r="H358" s="529">
        <v>25.152000000000001</v>
      </c>
      <c r="I358" s="474"/>
      <c r="J358" s="619">
        <v>27.53</v>
      </c>
      <c r="K358" s="601">
        <v>25.204000000000001</v>
      </c>
      <c r="L358" s="474"/>
      <c r="M358" s="1536">
        <v>27.407</v>
      </c>
      <c r="N358" s="2077">
        <f t="shared" si="240"/>
        <v>-1</v>
      </c>
      <c r="O358" s="474"/>
      <c r="P358" s="1536"/>
      <c r="Q358" s="474"/>
      <c r="R358" s="1536">
        <v>33.161999999999999</v>
      </c>
      <c r="S358" s="2762"/>
      <c r="T358" s="2763"/>
      <c r="U358" s="2763"/>
      <c r="V358" s="2763"/>
      <c r="W358" s="310"/>
      <c r="X358" s="311"/>
      <c r="Y358" s="311"/>
      <c r="Z358" s="311"/>
      <c r="AA358" s="311"/>
      <c r="AB358" s="311"/>
      <c r="AC358" s="311"/>
    </row>
    <row r="359" spans="1:30" ht="57" customHeight="1">
      <c r="A359" s="2825"/>
      <c r="B359" s="2825"/>
      <c r="C359" s="2825"/>
      <c r="D359" s="2825"/>
      <c r="E359" s="312" t="s">
        <v>1081</v>
      </c>
      <c r="F359" s="313"/>
      <c r="G359" s="312" t="str">
        <f>G12</f>
        <v xml:space="preserve">2024  m. asignavimų poreikis </v>
      </c>
      <c r="H359" s="312" t="str">
        <f>H12</f>
        <v>2024  m. asignavimai ir kitos lėšos, tūkst. Eur</v>
      </c>
      <c r="I359" s="400" t="s">
        <v>2882</v>
      </c>
      <c r="J359" s="449" t="s">
        <v>2883</v>
      </c>
      <c r="K359" s="943" t="str">
        <f>K12</f>
        <v>2025 m. asignavimai ir kitos lėšos, tūkst. Eur</v>
      </c>
      <c r="L359" s="190" t="str">
        <f>L12</f>
        <v>2026 m.asignavimai ir kitos lėšos, tūkst. Eur</v>
      </c>
      <c r="M359" s="1537" t="str">
        <f>M12</f>
        <v>2026 m.asignavimai ir kitos lėšos, tūkst. Eur
(poreikis)</v>
      </c>
      <c r="N359" s="2086"/>
      <c r="O359" s="182" t="s">
        <v>2881</v>
      </c>
      <c r="P359" s="1505" t="s">
        <v>2881</v>
      </c>
      <c r="Q359" s="182" t="s">
        <v>2881</v>
      </c>
      <c r="R359" s="1505" t="s">
        <v>2881</v>
      </c>
      <c r="S359" s="869"/>
      <c r="T359" s="219"/>
      <c r="U359" s="219"/>
      <c r="V359" s="219"/>
      <c r="W359" s="219"/>
      <c r="X359" s="219"/>
      <c r="Y359" s="219"/>
      <c r="Z359" s="219"/>
      <c r="AA359" s="219"/>
      <c r="AB359" s="219"/>
      <c r="AC359" s="219"/>
    </row>
    <row r="360" spans="1:30" ht="39" customHeight="1">
      <c r="A360" s="222"/>
      <c r="B360" s="2848" t="s">
        <v>720</v>
      </c>
      <c r="C360" s="2848"/>
      <c r="D360" s="2848"/>
      <c r="E360" s="226" t="e">
        <f>SUM(E361,E362,E366,E367,E368,E369,)</f>
        <v>#REF!</v>
      </c>
      <c r="F360" s="291" t="e">
        <f>H360/E360-1</f>
        <v>#REF!</v>
      </c>
      <c r="G360" s="226" t="e">
        <f t="shared" ref="G360" si="266">SUM(G361,G362,G366,G367,G368,G369,)</f>
        <v>#REF!</v>
      </c>
      <c r="H360" s="226">
        <f>SUM(H361,H362,H366,H367,H368,H369,)</f>
        <v>21438.585999999999</v>
      </c>
      <c r="I360" s="224">
        <f t="shared" ref="I360:I372" si="267">K360/H360-1</f>
        <v>0.12914461802658073</v>
      </c>
      <c r="J360" s="262">
        <f>SUM(J361,J362,J366,J367,J368,J369,)</f>
        <v>11454.429999999998</v>
      </c>
      <c r="K360" s="226">
        <f>SUM(K361,K362,K366,K367,K368,K369,)</f>
        <v>24207.263999999999</v>
      </c>
      <c r="L360" s="646">
        <f>SUM(L361,L362,L366,L367,L368,L369,)</f>
        <v>23588.459000000003</v>
      </c>
      <c r="M360" s="1538">
        <f>SUM(M361,M362,M366,M367,M368,M369,)</f>
        <v>21996.639999999999</v>
      </c>
      <c r="N360" s="2087">
        <f t="shared" si="240"/>
        <v>-2.5562781485755543E-2</v>
      </c>
      <c r="O360" s="225">
        <f t="shared" ref="O360:P360" si="268">SUM(O361,O362,O366,O367,O368,O369,)</f>
        <v>22230.587749999999</v>
      </c>
      <c r="P360" s="1539">
        <f t="shared" si="268"/>
        <v>13623.401999999998</v>
      </c>
      <c r="Q360" s="225">
        <f t="shared" ref="Q360:R360" si="269">SUM(Q361,Q362,Q366,Q367,Q368,Q369,)</f>
        <v>21963.663237499997</v>
      </c>
      <c r="R360" s="1539">
        <f t="shared" si="269"/>
        <v>20523.48</v>
      </c>
      <c r="S360" s="192"/>
      <c r="T360" s="223"/>
      <c r="U360" s="219"/>
      <c r="V360" s="223"/>
      <c r="W360" s="219"/>
      <c r="X360" s="219"/>
      <c r="Y360" s="219"/>
      <c r="Z360" s="219"/>
      <c r="AA360" s="219"/>
      <c r="AB360" s="219"/>
      <c r="AC360" s="219"/>
    </row>
    <row r="361" spans="1:30" ht="39" customHeight="1">
      <c r="A361" s="221"/>
      <c r="B361" s="2828" t="s">
        <v>1913</v>
      </c>
      <c r="C361" s="2828"/>
      <c r="D361" s="2828"/>
      <c r="E361" s="213" t="e">
        <f>SUM(E15,E81,E168,E183,E200,E209,E230,#REF!,#REF!,E258,E260,E264,E288,#REF!,E306,E326,E351,)</f>
        <v>#REF!</v>
      </c>
      <c r="F361" s="291" t="e">
        <f>H361/E361-1</f>
        <v>#REF!</v>
      </c>
      <c r="G361" s="213" t="e">
        <f>SUM(G15,G81,G168,G183,G200,G209,G230,#REF!,#REF!,G258,G260,G264,G288,#REF!,G306,G326,G351,)</f>
        <v>#REF!</v>
      </c>
      <c r="H361" s="213">
        <f>SUM(H15,H81,H168,H183,H200,H230,H258,H260,H351,)</f>
        <v>7241.39</v>
      </c>
      <c r="I361" s="442">
        <f t="shared" si="267"/>
        <v>5.341239734360359E-2</v>
      </c>
      <c r="J361" s="216">
        <f>SUM(J15,J81,J168,J183,J200,J230,J258,J260,J351,J210,J266,J289,J303,J325,)</f>
        <v>7406.875</v>
      </c>
      <c r="K361" s="213">
        <f>SUM(K15,K81,K168,K183,K200,K230,K258,K260,K351,K210,K266,K289,K303,K325,)</f>
        <v>7628.1699999999983</v>
      </c>
      <c r="L361" s="213">
        <f>SUM(L15,L81,L168,L183,L200,L230,L258,L260,L351,L210,L266,L289,L303,L325,L293,L254,L252,L82)</f>
        <v>8745.5949999999993</v>
      </c>
      <c r="M361" s="1962">
        <f>SUM(M15,M81,M168,M183,M200,M230,M258,M260,M351,M210,M266,M289,M303,M325,M293,M254,M252,)</f>
        <v>9110.9060000000009</v>
      </c>
      <c r="N361" s="2079">
        <f t="shared" si="240"/>
        <v>0.14648664096369135</v>
      </c>
      <c r="O361" s="213">
        <f>SUM(O15,O81,O168,O183,O200,O230,O258,O260,O351,O210,O266,O289,O303,O325,O293,O254,O252,)</f>
        <v>9193.4327499999999</v>
      </c>
      <c r="P361" s="1527">
        <f>SUM(P15,P81,P168,P183,P200,P230,P258,P260,P351,P210,P266,P289,P303,P325,P293,P254,P252,)</f>
        <v>2505.875</v>
      </c>
      <c r="Q361" s="213">
        <f>SUM(Q15,Q81,Q168,Q183,Q200,Q230,Q258,Q260,Q351,Q210,Q266,Q289,Q303,Q325,Q293,Q254,Q252,)</f>
        <v>9642.0722374999987</v>
      </c>
      <c r="R361" s="1527">
        <f>SUM(R15,R81,R168,R183,R200,R230,R258,R260,R351,R210,R266,R289,R303,R325,R293,R254,R252,)</f>
        <v>8000.4459999999999</v>
      </c>
      <c r="S361" s="882"/>
      <c r="T361" s="219"/>
      <c r="U361" s="219"/>
      <c r="V361" s="219"/>
      <c r="W361" s="219"/>
      <c r="X361" s="219"/>
      <c r="Y361" s="219"/>
      <c r="Z361" s="219"/>
      <c r="AA361" s="219"/>
      <c r="AB361" s="219"/>
      <c r="AC361" s="219"/>
    </row>
    <row r="362" spans="1:30" ht="31.5" customHeight="1">
      <c r="A362" s="221"/>
      <c r="B362" s="2828" t="s">
        <v>722</v>
      </c>
      <c r="C362" s="2828"/>
      <c r="D362" s="2828"/>
      <c r="E362" s="213">
        <f>SUM(E18,E79,E201,E231)</f>
        <v>8050.119999999999</v>
      </c>
      <c r="F362" s="291">
        <f>H362/E362-1</f>
        <v>0.11818743074637417</v>
      </c>
      <c r="G362" s="213">
        <f>SUM(G18,G79,G201,G231)</f>
        <v>8143.7910000000011</v>
      </c>
      <c r="H362" s="213">
        <f>H363+H364+H365</f>
        <v>9001.5429999999997</v>
      </c>
      <c r="I362" s="442">
        <f t="shared" si="267"/>
        <v>0.22754421103137568</v>
      </c>
      <c r="J362" s="216">
        <f t="shared" ref="J362" si="270">J363+J364+J365</f>
        <v>51.2</v>
      </c>
      <c r="K362" s="213">
        <f>K363+K364+K365</f>
        <v>11049.792000000001</v>
      </c>
      <c r="L362" s="213">
        <f t="shared" ref="L362:R362" si="271">L363+L364+L365</f>
        <v>11465.805999999999</v>
      </c>
      <c r="M362" s="1527">
        <f>M363+M364+M365</f>
        <v>10760.325000000001</v>
      </c>
      <c r="N362" s="2079">
        <f t="shared" si="240"/>
        <v>3.7649034479562811E-2</v>
      </c>
      <c r="O362" s="213">
        <f>O363+O364+O365</f>
        <v>11465.805999999999</v>
      </c>
      <c r="P362" s="1527">
        <f t="shared" si="271"/>
        <v>9903.6959999999981</v>
      </c>
      <c r="Q362" s="213">
        <f>Q363+Q364+Q365</f>
        <v>11465.805999999999</v>
      </c>
      <c r="R362" s="1527">
        <f t="shared" si="271"/>
        <v>11667.249000000002</v>
      </c>
      <c r="S362" s="882"/>
      <c r="T362" s="219"/>
      <c r="U362" s="219"/>
      <c r="V362" s="219"/>
      <c r="W362" s="219"/>
      <c r="X362" s="219"/>
      <c r="Y362" s="219"/>
      <c r="Z362" s="219"/>
      <c r="AA362" s="219"/>
      <c r="AB362" s="219"/>
      <c r="AC362" s="219"/>
    </row>
    <row r="363" spans="1:30" ht="39" hidden="1" customHeight="1">
      <c r="A363" s="221"/>
      <c r="B363" s="2737" t="s">
        <v>2586</v>
      </c>
      <c r="C363" s="2738"/>
      <c r="D363" s="2739"/>
      <c r="E363" s="446"/>
      <c r="F363" s="457"/>
      <c r="G363" s="446"/>
      <c r="H363" s="445">
        <f>SUM(H79,H201)</f>
        <v>8800.5399999999991</v>
      </c>
      <c r="I363" s="557">
        <f t="shared" si="267"/>
        <v>0.19422785419985611</v>
      </c>
      <c r="J363" s="447">
        <f>SUM(J79,J201)</f>
        <v>11</v>
      </c>
      <c r="K363" s="445">
        <f>SUM(K79,K201,K233)</f>
        <v>10509.85</v>
      </c>
      <c r="L363" s="445">
        <f>SUM(L79,L201,L233)</f>
        <v>11285.15</v>
      </c>
      <c r="M363" s="1529">
        <f>SUM(M79,M201,M233)</f>
        <v>10664.555</v>
      </c>
      <c r="N363" s="557">
        <f t="shared" si="240"/>
        <v>7.3768892990860882E-2</v>
      </c>
      <c r="O363" s="445">
        <f t="shared" ref="O363:Q363" si="272">SUM(O79,O201,O233)</f>
        <v>11285.15</v>
      </c>
      <c r="P363" s="1529">
        <f t="shared" si="272"/>
        <v>9723.0399999999991</v>
      </c>
      <c r="Q363" s="445">
        <f t="shared" si="272"/>
        <v>11285.15</v>
      </c>
      <c r="R363" s="1529">
        <f>SUM(R79,R201,R233)</f>
        <v>11556.367000000002</v>
      </c>
      <c r="S363" s="883"/>
      <c r="T363" s="219"/>
      <c r="U363" s="219"/>
      <c r="V363" s="223"/>
      <c r="W363" s="219"/>
      <c r="X363" s="219"/>
      <c r="Y363" s="219"/>
      <c r="Z363" s="219"/>
      <c r="AA363" s="219"/>
      <c r="AB363" s="219"/>
      <c r="AC363" s="219"/>
    </row>
    <row r="364" spans="1:30" ht="39" hidden="1" customHeight="1">
      <c r="A364" s="221"/>
      <c r="B364" s="2737" t="s">
        <v>2587</v>
      </c>
      <c r="C364" s="2738"/>
      <c r="D364" s="2739"/>
      <c r="E364" s="446"/>
      <c r="F364" s="457"/>
      <c r="G364" s="446"/>
      <c r="H364" s="445">
        <f>H141</f>
        <v>39</v>
      </c>
      <c r="I364" s="557">
        <f t="shared" si="267"/>
        <v>3.0769230769230882E-2</v>
      </c>
      <c r="J364" s="447">
        <f>J141</f>
        <v>40.200000000000003</v>
      </c>
      <c r="K364" s="445">
        <f>K141</f>
        <v>40.200000000000003</v>
      </c>
      <c r="L364" s="445">
        <f>L141</f>
        <v>35.799999999999997</v>
      </c>
      <c r="M364" s="1529">
        <f>M141</f>
        <v>41.1</v>
      </c>
      <c r="N364" s="557">
        <f t="shared" si="240"/>
        <v>-0.1094527363184081</v>
      </c>
      <c r="O364" s="445">
        <f>O141</f>
        <v>35.799999999999997</v>
      </c>
      <c r="P364" s="1529">
        <f>P141</f>
        <v>35.799999999999997</v>
      </c>
      <c r="Q364" s="445">
        <f>Q141</f>
        <v>35.799999999999997</v>
      </c>
      <c r="R364" s="1529">
        <f>R141</f>
        <v>45.4</v>
      </c>
      <c r="S364" s="168"/>
      <c r="T364" s="219"/>
      <c r="U364" s="219"/>
      <c r="V364" s="219"/>
      <c r="W364" s="219"/>
      <c r="X364" s="219"/>
      <c r="Y364" s="219"/>
      <c r="Z364" s="219"/>
      <c r="AA364" s="219"/>
      <c r="AB364" s="219"/>
      <c r="AC364" s="219"/>
    </row>
    <row r="365" spans="1:30" ht="39" hidden="1" customHeight="1">
      <c r="A365" s="221"/>
      <c r="B365" s="2737" t="s">
        <v>4336</v>
      </c>
      <c r="C365" s="2738"/>
      <c r="D365" s="2739"/>
      <c r="E365" s="446"/>
      <c r="F365" s="457"/>
      <c r="G365" s="446"/>
      <c r="H365" s="445">
        <f>SUM(H117,H231,H354)</f>
        <v>162.00300000000001</v>
      </c>
      <c r="I365" s="557">
        <f t="shared" si="267"/>
        <v>2.0847700351228058</v>
      </c>
      <c r="J365" s="447">
        <f>SUM(J117,J231,J354)</f>
        <v>0</v>
      </c>
      <c r="K365" s="445">
        <f>SUM(K90,K97,K104,K111,K117,K238,K354,K241,K164)</f>
        <v>499.74199999999996</v>
      </c>
      <c r="L365" s="2588">
        <f>SUM(L90,L97,L104,L111,L117,L238,L354,L241,L164)</f>
        <v>144.85599999999999</v>
      </c>
      <c r="M365" s="445">
        <f>SUM(M90,M97,M104,M111,M117,M238,M354,M241,M164)</f>
        <v>54.67</v>
      </c>
      <c r="N365" s="557">
        <f>SUM(L365-K365)/K365</f>
        <v>-0.71013843143061817</v>
      </c>
      <c r="O365" s="445">
        <f>SUM(O90,O97,O104,O111,O117,O238,O354,O241,O164)</f>
        <v>144.85599999999999</v>
      </c>
      <c r="P365" s="445">
        <f>SUM(P90,P97,P104,P111,P117,P238,P354,P241,P164)</f>
        <v>144.85599999999999</v>
      </c>
      <c r="Q365" s="445">
        <f>SUM(Q90,Q97,Q104,Q111,Q117,Q238,Q354,Q241,Q164)</f>
        <v>144.85599999999999</v>
      </c>
      <c r="R365" s="1529">
        <f>SUM(R90,R97,R104,R111,R117,R238,R354,R241,R164)</f>
        <v>65.481999999999999</v>
      </c>
      <c r="S365" s="168"/>
      <c r="T365" s="223"/>
      <c r="U365" s="219"/>
      <c r="V365" s="219"/>
      <c r="W365" s="219"/>
      <c r="X365" s="219"/>
      <c r="Y365" s="219"/>
      <c r="Z365" s="219"/>
      <c r="AA365" s="219"/>
      <c r="AB365" s="219"/>
      <c r="AC365" s="219"/>
    </row>
    <row r="366" spans="1:30" ht="31.5" customHeight="1">
      <c r="A366" s="221"/>
      <c r="B366" s="2828" t="s">
        <v>723</v>
      </c>
      <c r="C366" s="2828"/>
      <c r="D366" s="2828"/>
      <c r="E366" s="213">
        <f>SUM(E16,E80,)</f>
        <v>774.452</v>
      </c>
      <c r="F366" s="291">
        <f>H366/E366-1</f>
        <v>4.6933831922443492E-2</v>
      </c>
      <c r="G366" s="213">
        <f>SUM(G16,G80,)</f>
        <v>804.84500000000003</v>
      </c>
      <c r="H366" s="213">
        <f>SUM(H16,H80,)</f>
        <v>810.80000000000018</v>
      </c>
      <c r="I366" s="442">
        <f t="shared" si="267"/>
        <v>0.13232979773063636</v>
      </c>
      <c r="J366" s="216">
        <f>SUM(J16,J80,)</f>
        <v>755.05000000000007</v>
      </c>
      <c r="K366" s="213">
        <f>SUM(K16,K17,K80,K202,K232,)</f>
        <v>918.09300000000007</v>
      </c>
      <c r="L366" s="617">
        <f>SUM(L16,L17,L80,L202,L232,)</f>
        <v>835.50600000000009</v>
      </c>
      <c r="M366" s="1962">
        <f>SUM(M16,M17,M80,M202,M232,)</f>
        <v>796.67000000000007</v>
      </c>
      <c r="N366" s="2079">
        <f t="shared" si="240"/>
        <v>-8.9954939205505305E-2</v>
      </c>
      <c r="O366" s="617">
        <f>SUM(O16,O17,O80,O202,O232,)</f>
        <v>811.77</v>
      </c>
      <c r="P366" s="1527">
        <f>SUM(P16,P17,P80,P202,P232,)</f>
        <v>811.77</v>
      </c>
      <c r="Q366" s="617">
        <f>SUM(Q16,Q17,Q80,Q202,Q232,)</f>
        <v>833.77</v>
      </c>
      <c r="R366" s="1527">
        <f>SUM(R16,R17,R80,R202,R232,)</f>
        <v>833.77</v>
      </c>
      <c r="S366" s="168"/>
      <c r="T366" s="219"/>
      <c r="U366" s="219"/>
      <c r="V366" s="219"/>
      <c r="W366" s="219"/>
      <c r="X366" s="219"/>
      <c r="Y366" s="219"/>
      <c r="Z366" s="219"/>
      <c r="AA366" s="219"/>
      <c r="AB366" s="219"/>
      <c r="AC366" s="219"/>
    </row>
    <row r="367" spans="1:30" ht="36" customHeight="1">
      <c r="A367" s="221"/>
      <c r="B367" s="2828" t="s">
        <v>3461</v>
      </c>
      <c r="C367" s="2828"/>
      <c r="D367" s="2828"/>
      <c r="E367" s="213">
        <f>SUM(E212,E263,)</f>
        <v>66.822000000000003</v>
      </c>
      <c r="F367" s="291">
        <f>H367/E367-1</f>
        <v>50.041513274071413</v>
      </c>
      <c r="G367" s="213">
        <f>SUM(G212,G263,)</f>
        <v>982.476</v>
      </c>
      <c r="H367" s="213">
        <f>SUM(H213,H214,H263,H265,H304,H324,H345,H347,H294)</f>
        <v>3410.6959999999999</v>
      </c>
      <c r="I367" s="442">
        <f t="shared" si="267"/>
        <v>-8.5594259939906769E-2</v>
      </c>
      <c r="J367" s="213">
        <f>SUM(J213,J214,J263,J265,J304,J324,J345,J347,)</f>
        <v>2993.2069999999994</v>
      </c>
      <c r="K367" s="213">
        <f>SUM(K213,K214,K263,K265,K304,K324,K345,K347,K290,K294,)</f>
        <v>3118.7599999999998</v>
      </c>
      <c r="L367" s="213">
        <f>SUM(L213,L214,L263,L265,L304,L324,L345,L347,L290,L294,)</f>
        <v>1328.739</v>
      </c>
      <c r="M367" s="1527">
        <f>SUM(M213,M214,M263,M265,M304,M324,M345,M347,M290,M294,)</f>
        <v>1328.739</v>
      </c>
      <c r="N367" s="2079">
        <f>SUM(L367-K367)/K367</f>
        <v>-0.5739527889289332</v>
      </c>
      <c r="O367" s="213">
        <f>SUM(O213,O214,O263,O265,O304,O324,O345,O347,O290,O294,O251,O249)</f>
        <v>559.57899999999995</v>
      </c>
      <c r="P367" s="1527">
        <f>SUM(P213,P214,P263,P265,P304,P324,P345,P347,P290,P294,)</f>
        <v>402.06099999999998</v>
      </c>
      <c r="Q367" s="213">
        <f>SUM(Q213,Q214,Q263,Q265,Q304,Q324,Q345,Q347,Q290,Q294,)</f>
        <v>22.015000000000001</v>
      </c>
      <c r="R367" s="1527">
        <f>SUM(R213,R214,R263,R265,R304,R324,R345,R347,R290,R294,)</f>
        <v>22.015000000000001</v>
      </c>
      <c r="S367" s="882"/>
      <c r="T367" s="219"/>
      <c r="U367" s="219"/>
      <c r="V367" s="219"/>
      <c r="W367" s="219"/>
      <c r="X367" s="219"/>
      <c r="Y367" s="219"/>
      <c r="Z367" s="219"/>
      <c r="AA367" s="219"/>
      <c r="AB367" s="219"/>
      <c r="AC367" s="219"/>
    </row>
    <row r="368" spans="1:30" ht="27.75" customHeight="1">
      <c r="A368" s="221"/>
      <c r="B368" s="2828" t="s">
        <v>724</v>
      </c>
      <c r="C368" s="2828"/>
      <c r="D368" s="2828"/>
      <c r="E368" s="213">
        <v>0</v>
      </c>
      <c r="F368" s="291"/>
      <c r="G368" s="213">
        <v>0</v>
      </c>
      <c r="H368" s="213">
        <v>0</v>
      </c>
      <c r="I368" s="442"/>
      <c r="J368" s="216">
        <v>0</v>
      </c>
      <c r="K368" s="213">
        <f>SUM(K295,K327,)</f>
        <v>0</v>
      </c>
      <c r="L368" s="213">
        <f>SUM(L295,L327,)</f>
        <v>454.81</v>
      </c>
      <c r="M368" s="1527">
        <f t="shared" ref="M368" si="273">SUM(M295,M327,)</f>
        <v>0</v>
      </c>
      <c r="N368" s="2079"/>
      <c r="O368" s="213">
        <f t="shared" ref="O368" si="274">SUM(O295,O327,)</f>
        <v>200</v>
      </c>
      <c r="P368" s="1527">
        <f t="shared" ref="P368:Q368" si="275">SUM(P295,P327,)</f>
        <v>0</v>
      </c>
      <c r="Q368" s="213">
        <f t="shared" si="275"/>
        <v>0</v>
      </c>
      <c r="R368" s="1527">
        <f t="shared" ref="R368" si="276">SUM(R295,R327,)</f>
        <v>0</v>
      </c>
      <c r="S368" s="168"/>
      <c r="T368" s="219"/>
      <c r="U368" s="219"/>
      <c r="V368" s="219"/>
      <c r="W368" s="219"/>
      <c r="X368" s="219"/>
      <c r="Y368" s="219"/>
      <c r="Z368" s="219"/>
      <c r="AA368" s="219"/>
      <c r="AB368" s="219"/>
      <c r="AC368" s="219"/>
    </row>
    <row r="369" spans="1:29" ht="31.5" customHeight="1">
      <c r="A369" s="221"/>
      <c r="B369" s="2828" t="s">
        <v>725</v>
      </c>
      <c r="C369" s="2828"/>
      <c r="D369" s="2828"/>
      <c r="E369" s="213">
        <v>0</v>
      </c>
      <c r="F369" s="291"/>
      <c r="G369" s="213">
        <v>0</v>
      </c>
      <c r="H369" s="213">
        <f>SUM(H28,H38,H48,H57,H62,H68,H209,H264,H288,H292,H302,H326,)</f>
        <v>974.15699999999993</v>
      </c>
      <c r="I369" s="442">
        <f t="shared" si="267"/>
        <v>0.53204154977072493</v>
      </c>
      <c r="J369" s="216">
        <f>SUM(J28,J38,J48,J57,J62,J68,J209,J264,J288,J292,J302,J326,)</f>
        <v>248.09800000000001</v>
      </c>
      <c r="K369" s="213">
        <f>SUM(K209,K264,K288,K292,K302,K326,)</f>
        <v>1492.4490000000001</v>
      </c>
      <c r="L369" s="213">
        <f>SUM(L209,L264,L288,L292,L302,L326,L250,)</f>
        <v>758.00300000000004</v>
      </c>
      <c r="M369" s="1527">
        <f>SUM(M209,M264,M288,M292,M302,M326,)</f>
        <v>0</v>
      </c>
      <c r="N369" s="2079">
        <f t="shared" si="240"/>
        <v>-0.49210793802669306</v>
      </c>
      <c r="O369" s="213">
        <f>SUM(O209,O264,O288,O292,O302,O326,)</f>
        <v>0</v>
      </c>
      <c r="P369" s="1527">
        <f>SUM(P209,P264,P288,P292,P302,P326,)</f>
        <v>0</v>
      </c>
      <c r="Q369" s="213">
        <f>SUM(Q209,Q264,Q288,Q292,Q302,Q326,)</f>
        <v>0</v>
      </c>
      <c r="R369" s="1527">
        <f>SUM(R209,R264,R288,R292,R302,R326,)</f>
        <v>0</v>
      </c>
      <c r="S369" s="882"/>
      <c r="T369" s="219"/>
      <c r="U369" s="219"/>
      <c r="V369" s="219"/>
      <c r="W369" s="219"/>
      <c r="X369" s="219"/>
      <c r="Y369" s="219"/>
      <c r="Z369" s="219"/>
      <c r="AA369" s="219"/>
      <c r="AB369" s="219"/>
      <c r="AC369" s="219"/>
    </row>
    <row r="370" spans="1:29" ht="39" customHeight="1">
      <c r="A370" s="222"/>
      <c r="B370" s="2829" t="s">
        <v>726</v>
      </c>
      <c r="C370" s="2829"/>
      <c r="D370" s="2829"/>
      <c r="E370" s="314">
        <v>0</v>
      </c>
      <c r="F370" s="291"/>
      <c r="G370" s="314">
        <v>0</v>
      </c>
      <c r="H370" s="314">
        <f>H19</f>
        <v>0.33300000000000002</v>
      </c>
      <c r="I370" s="621">
        <f t="shared" si="267"/>
        <v>10.984984984984985</v>
      </c>
      <c r="J370" s="324">
        <f>J19</f>
        <v>3.9910000000000001</v>
      </c>
      <c r="K370" s="314">
        <f>K19</f>
        <v>3.9910000000000001</v>
      </c>
      <c r="L370" s="645">
        <f>L19</f>
        <v>4.07</v>
      </c>
      <c r="M370" s="1527">
        <f>M19</f>
        <v>2.2319999999999998</v>
      </c>
      <c r="N370" s="2079">
        <f t="shared" si="240"/>
        <v>1.9794537709847199E-2</v>
      </c>
      <c r="O370" s="213">
        <f>O19</f>
        <v>4.07</v>
      </c>
      <c r="P370" s="1527">
        <f>P19</f>
        <v>1.7</v>
      </c>
      <c r="Q370" s="213">
        <f>Q19</f>
        <v>4.07</v>
      </c>
      <c r="R370" s="1527">
        <f>R19</f>
        <v>1.61</v>
      </c>
      <c r="S370" s="882"/>
      <c r="T370" s="219"/>
      <c r="U370" s="219"/>
      <c r="V370" s="219"/>
      <c r="W370" s="219"/>
      <c r="X370" s="219"/>
      <c r="Y370" s="219"/>
      <c r="Z370" s="219"/>
      <c r="AA370" s="219"/>
      <c r="AB370" s="219"/>
      <c r="AC370" s="219"/>
    </row>
    <row r="371" spans="1:29" ht="39" customHeight="1">
      <c r="A371" s="221"/>
      <c r="B371" s="2838" t="s">
        <v>1082</v>
      </c>
      <c r="C371" s="2838"/>
      <c r="D371" s="2838"/>
      <c r="E371" s="225" t="e">
        <f>E360+E370</f>
        <v>#REF!</v>
      </c>
      <c r="F371" s="291" t="e">
        <f>H371/E371-1</f>
        <v>#REF!</v>
      </c>
      <c r="G371" s="225" t="e">
        <f>G360+G370</f>
        <v>#REF!</v>
      </c>
      <c r="H371" s="225">
        <f>H360+H370</f>
        <v>21438.918999999998</v>
      </c>
      <c r="I371" s="315">
        <f t="shared" si="267"/>
        <v>0.12931323636233727</v>
      </c>
      <c r="J371" s="261">
        <f t="shared" ref="J371" si="277">J360+J370</f>
        <v>11458.420999999998</v>
      </c>
      <c r="K371" s="225">
        <f>K360+K370</f>
        <v>24211.255000000001</v>
      </c>
      <c r="L371" s="225">
        <f>L360+L370</f>
        <v>23592.529000000002</v>
      </c>
      <c r="M371" s="1539">
        <f>M360+M370</f>
        <v>21998.871999999999</v>
      </c>
      <c r="N371" s="2088">
        <f t="shared" si="240"/>
        <v>-2.5555304753925343E-2</v>
      </c>
      <c r="O371" s="225">
        <f>O360+O370</f>
        <v>22234.657749999998</v>
      </c>
      <c r="P371" s="1539">
        <f t="shared" ref="P371" si="278">P360+P370</f>
        <v>13625.101999999999</v>
      </c>
      <c r="Q371" s="225">
        <f t="shared" ref="Q371:R371" si="279">Q360+Q370</f>
        <v>21967.733237499997</v>
      </c>
      <c r="R371" s="1539">
        <f t="shared" si="279"/>
        <v>20525.09</v>
      </c>
      <c r="S371" s="882"/>
      <c r="T371" s="219"/>
      <c r="U371" s="219"/>
      <c r="V371" s="219"/>
      <c r="W371" s="219"/>
      <c r="X371" s="219"/>
      <c r="Y371" s="219"/>
      <c r="Z371" s="219"/>
      <c r="AA371" s="219"/>
      <c r="AB371" s="219"/>
      <c r="AC371" s="219"/>
    </row>
    <row r="372" spans="1:29" ht="30.75" customHeight="1">
      <c r="A372" s="221"/>
      <c r="B372" s="2829" t="s">
        <v>1914</v>
      </c>
      <c r="C372" s="2829"/>
      <c r="D372" s="2829"/>
      <c r="E372" s="226" t="e">
        <f>SUM(E328,E305,#REF!)</f>
        <v>#REF!</v>
      </c>
      <c r="F372" s="291" t="e">
        <f>H372/E372-1</f>
        <v>#REF!</v>
      </c>
      <c r="G372" s="226" t="e">
        <f>SUM(G328,G305,#REF!)</f>
        <v>#REF!</v>
      </c>
      <c r="H372" s="226">
        <f>SUM(H296,H305,H328,)</f>
        <v>2231.2910000000002</v>
      </c>
      <c r="I372" s="224">
        <f t="shared" si="267"/>
        <v>8.1844994669005411E-2</v>
      </c>
      <c r="J372" s="262">
        <f t="shared" ref="J372:R372" si="280">SUM(J291,J305,J328,)</f>
        <v>2576.989</v>
      </c>
      <c r="K372" s="226">
        <f t="shared" si="280"/>
        <v>2413.9110000000001</v>
      </c>
      <c r="L372" s="646">
        <f t="shared" si="280"/>
        <v>1300.94</v>
      </c>
      <c r="M372" s="1538">
        <f t="shared" si="280"/>
        <v>1300.94</v>
      </c>
      <c r="N372" s="2087">
        <f t="shared" si="240"/>
        <v>-0.46106546595959835</v>
      </c>
      <c r="O372" s="225">
        <f t="shared" si="280"/>
        <v>0</v>
      </c>
      <c r="P372" s="1539">
        <f t="shared" si="280"/>
        <v>0</v>
      </c>
      <c r="Q372" s="225">
        <f t="shared" si="280"/>
        <v>0</v>
      </c>
      <c r="R372" s="1539">
        <f t="shared" si="280"/>
        <v>0</v>
      </c>
      <c r="S372" s="882"/>
      <c r="T372" s="219"/>
      <c r="U372" s="219"/>
      <c r="V372" s="219"/>
      <c r="W372" s="219"/>
      <c r="X372" s="219"/>
      <c r="Y372" s="219"/>
      <c r="Z372" s="219"/>
      <c r="AA372" s="219"/>
      <c r="AB372" s="219"/>
      <c r="AC372" s="219"/>
    </row>
    <row r="373" spans="1:29" ht="39" customHeight="1">
      <c r="A373" s="221"/>
      <c r="B373" s="2827" t="s">
        <v>727</v>
      </c>
      <c r="C373" s="2827"/>
      <c r="D373" s="2827"/>
      <c r="E373" s="2119">
        <v>0</v>
      </c>
      <c r="F373" s="313">
        <v>0</v>
      </c>
      <c r="G373" s="2119">
        <v>0</v>
      </c>
      <c r="H373" s="2120">
        <v>0.36</v>
      </c>
      <c r="I373" s="2120">
        <f>K373/H373-1</f>
        <v>-0.63888888888888884</v>
      </c>
      <c r="J373" s="2116"/>
      <c r="K373" s="2120">
        <v>0.13</v>
      </c>
      <c r="L373" s="2121">
        <f>(L371-K371)/K371</f>
        <v>-2.5555304753925343E-2</v>
      </c>
      <c r="M373" s="2122"/>
      <c r="N373" s="2123"/>
      <c r="O373" s="313">
        <f>SUM(O371-L371)/L371</f>
        <v>-5.7555137475935866E-2</v>
      </c>
      <c r="P373" s="2118"/>
      <c r="Q373" s="2124">
        <f>SUM(Q371-O371)/O371</f>
        <v>-1.2004885143779719E-2</v>
      </c>
      <c r="R373" s="1544"/>
      <c r="S373" s="168"/>
      <c r="U373" s="219"/>
      <c r="V373" s="219"/>
      <c r="W373" s="219"/>
      <c r="X373" s="219"/>
      <c r="Y373" s="219"/>
      <c r="Z373" s="219"/>
      <c r="AA373" s="219"/>
      <c r="AB373" s="219"/>
      <c r="AC373" s="219"/>
    </row>
    <row r="374" spans="1:29" ht="39" hidden="1" customHeight="1">
      <c r="E374" s="274"/>
      <c r="F374" s="274"/>
      <c r="T374" s="219"/>
    </row>
    <row r="375" spans="1:29" ht="39" hidden="1" customHeight="1">
      <c r="E375" s="274"/>
      <c r="F375" s="274"/>
      <c r="I375" s="274" t="s">
        <v>3557</v>
      </c>
      <c r="J375" s="450">
        <v>9991.7119999999995</v>
      </c>
      <c r="K375" s="280">
        <f>K361+K366+K369</f>
        <v>10038.712</v>
      </c>
    </row>
    <row r="376" spans="1:29" ht="39" hidden="1" customHeight="1">
      <c r="B376" s="2823"/>
      <c r="C376" s="2823"/>
      <c r="D376" s="2823"/>
      <c r="E376" s="274"/>
      <c r="F376" s="274"/>
      <c r="G376" s="316"/>
      <c r="H376" s="533"/>
      <c r="I376" s="533"/>
      <c r="J376" s="534">
        <f>J375-K361-K366-K368-K369</f>
        <v>-46.999999999998863</v>
      </c>
      <c r="K376" s="316"/>
      <c r="L376" s="316"/>
      <c r="M376" s="1541"/>
      <c r="N376" s="2089"/>
      <c r="O376" s="316"/>
      <c r="P376" s="1541"/>
      <c r="Q376" s="316"/>
      <c r="R376" s="1541"/>
      <c r="T376" s="316"/>
      <c r="U376" s="316"/>
      <c r="V376" s="2823"/>
      <c r="W376" s="2823"/>
    </row>
    <row r="377" spans="1:29" ht="39" hidden="1" customHeight="1">
      <c r="E377" s="274"/>
      <c r="F377" s="274"/>
      <c r="H377" s="280"/>
      <c r="I377" s="280"/>
      <c r="J377" s="451"/>
      <c r="K377" s="798">
        <v>23561.475999999999</v>
      </c>
      <c r="L377" s="450">
        <v>21467.851999999999</v>
      </c>
      <c r="M377" s="1540">
        <v>21467.851999999999</v>
      </c>
      <c r="O377" s="798">
        <v>21556.797999999999</v>
      </c>
      <c r="P377" s="1545">
        <v>21556.797999999999</v>
      </c>
      <c r="Q377" s="798">
        <v>21556.797999999999</v>
      </c>
      <c r="R377" s="1545">
        <v>21556.797999999999</v>
      </c>
    </row>
    <row r="378" spans="1:29" ht="69" hidden="1" customHeight="1">
      <c r="E378" s="274"/>
      <c r="F378" s="274"/>
      <c r="J378" s="797" t="s">
        <v>3584</v>
      </c>
      <c r="K378" s="799">
        <f>K371-K377</f>
        <v>649.77900000000227</v>
      </c>
      <c r="L378" s="451">
        <f t="shared" ref="L378:R378" si="281">L377-L371</f>
        <v>-2124.6770000000033</v>
      </c>
      <c r="M378" s="1542">
        <f t="shared" si="281"/>
        <v>-531.02000000000044</v>
      </c>
      <c r="N378" s="280"/>
      <c r="O378" s="799">
        <f t="shared" si="281"/>
        <v>-677.85974999999962</v>
      </c>
      <c r="P378" s="1546">
        <f t="shared" si="281"/>
        <v>7931.6959999999999</v>
      </c>
      <c r="Q378" s="799">
        <f t="shared" si="281"/>
        <v>-410.93523749999804</v>
      </c>
      <c r="R378" s="1546">
        <f t="shared" si="281"/>
        <v>1031.7079999999987</v>
      </c>
    </row>
    <row r="379" spans="1:29" ht="39" customHeight="1">
      <c r="E379" s="274"/>
      <c r="F379" s="274"/>
    </row>
    <row r="380" spans="1:29" ht="26.4" hidden="1" customHeight="1">
      <c r="E380" s="274"/>
      <c r="F380" s="274"/>
      <c r="M380" s="669"/>
      <c r="N380" s="710"/>
      <c r="O380" s="1923" t="s">
        <v>4157</v>
      </c>
      <c r="P380" s="1923" t="s">
        <v>4159</v>
      </c>
      <c r="Q380" s="1923" t="s">
        <v>4158</v>
      </c>
      <c r="R380" s="669"/>
    </row>
    <row r="381" spans="1:29" ht="21" hidden="1" customHeight="1">
      <c r="B381" s="792">
        <f>SUM(K15,K81,K235,K246,)</f>
        <v>7201.7699999999986</v>
      </c>
      <c r="E381" s="274"/>
      <c r="F381" s="274"/>
      <c r="M381" s="2748" t="s">
        <v>4160</v>
      </c>
      <c r="N381" s="710" t="s">
        <v>4156</v>
      </c>
      <c r="O381" s="1935">
        <f>SUM(K15,K235,)</f>
        <v>6666.8199999999988</v>
      </c>
      <c r="P381" s="2035">
        <f>SUM(L15,L235,L246,L81)</f>
        <v>8324.9649999999983</v>
      </c>
      <c r="Q381" s="1935">
        <f>SUM(M15,M235,M246,M81)</f>
        <v>7454.5930000000008</v>
      </c>
      <c r="R381" s="1938">
        <f>(P381-O381)/O381</f>
        <v>0.24871602953132074</v>
      </c>
      <c r="S381" s="1937" t="s">
        <v>4206</v>
      </c>
      <c r="T381" s="274" t="s">
        <v>4210</v>
      </c>
    </row>
    <row r="382" spans="1:29" ht="19.2" hidden="1" customHeight="1">
      <c r="E382" s="274"/>
      <c r="F382" s="274"/>
      <c r="H382" s="280"/>
      <c r="I382" s="280"/>
      <c r="J382" s="451"/>
      <c r="M382" s="2749"/>
      <c r="N382" s="710" t="s">
        <v>3508</v>
      </c>
      <c r="O382" s="1935">
        <f>SUM(K81,K168,K183,K200,K240,K244,K246,K258,K260,K351,)</f>
        <v>961.34999999999991</v>
      </c>
      <c r="P382" s="1935">
        <f>SUM(L168,L183,L200,L240,L244,L258,L260,L351,L254,L82)</f>
        <v>420.63</v>
      </c>
      <c r="Q382" s="1935">
        <f>SUM(M168,M183,M200,M240,M244,M258,M260,M351,M254,M82)</f>
        <v>443.5</v>
      </c>
      <c r="R382" s="1938">
        <f>(P382-O382)/O382</f>
        <v>-0.56245904197222651</v>
      </c>
      <c r="S382" s="1997">
        <f>SUM(O82,O168,O183,O200,O240,O244,O254,O258,O260,O351,)</f>
        <v>450.03649999999999</v>
      </c>
      <c r="T382" s="274">
        <f>SUM(P82,P168,P183,P200,P240,P244,P254,P258,P260,P351,)</f>
        <v>489.82499999999999</v>
      </c>
    </row>
    <row r="383" spans="1:29" ht="29.4" hidden="1" customHeight="1">
      <c r="E383" s="274"/>
      <c r="F383" s="274"/>
      <c r="M383" s="2749"/>
      <c r="N383" s="710" t="s">
        <v>4155</v>
      </c>
      <c r="O383" s="1935">
        <f>SUM(K209,K264,K292,K302,K326,)</f>
        <v>1492.4490000000001</v>
      </c>
      <c r="P383" s="1935">
        <f>SUM(L252,L266,L289,L293,L303,L325,L326,L302,L292,L288,L264,L250,L210,L209,)</f>
        <v>758.00300000000004</v>
      </c>
      <c r="Q383" s="1935">
        <f>SUM(M252,M266,M289,M293,M303,M325,M326,M302,M292,M288,M264,M250,M210,M209,)</f>
        <v>1212.8129999999999</v>
      </c>
      <c r="R383" s="1938">
        <f t="shared" ref="R383" si="282">(P383-O383)/O383</f>
        <v>-0.49210793802669306</v>
      </c>
    </row>
    <row r="384" spans="1:29" ht="39" hidden="1" customHeight="1">
      <c r="E384" s="274"/>
      <c r="F384" s="274"/>
      <c r="M384" s="669"/>
      <c r="N384" s="1898"/>
      <c r="O384" s="792">
        <f>SUM(O381,O382,O383,)</f>
        <v>9120.6189999999988</v>
      </c>
      <c r="P384" s="792">
        <f t="shared" ref="P384:Q384" si="283">SUM(P381,P382,P383,)</f>
        <v>9503.5979999999981</v>
      </c>
      <c r="Q384" s="792">
        <f t="shared" si="283"/>
        <v>9110.9060000000009</v>
      </c>
      <c r="R384" s="792"/>
      <c r="S384" s="884" t="s">
        <v>4208</v>
      </c>
      <c r="T384" s="274" t="s">
        <v>4209</v>
      </c>
    </row>
    <row r="385" spans="2:20" ht="39" hidden="1" customHeight="1">
      <c r="E385" s="274"/>
      <c r="F385" s="274"/>
      <c r="M385" s="669"/>
      <c r="N385" s="669"/>
      <c r="O385" s="792">
        <f>SUM(O384-K361-K369)</f>
        <v>4.5474735088646412E-13</v>
      </c>
      <c r="P385" s="792">
        <f t="shared" ref="P385" si="284">SUM(P384-L361-L369)</f>
        <v>-1.2505552149377763E-12</v>
      </c>
      <c r="Q385" s="792">
        <f>SUM(Q384-M361-M369)</f>
        <v>0</v>
      </c>
      <c r="R385" s="669"/>
      <c r="S385" s="1997">
        <f>SUM(O15,O81,O235,O246,)</f>
        <v>8741.2132499999989</v>
      </c>
      <c r="T385" s="280">
        <f>SUM(Q15,Q81,Q235,Q246,)</f>
        <v>9095.5033724540554</v>
      </c>
    </row>
    <row r="386" spans="2:20" ht="52.8" hidden="1" customHeight="1">
      <c r="E386" s="274"/>
      <c r="F386" s="274"/>
      <c r="L386" s="1921" t="s">
        <v>4171</v>
      </c>
      <c r="M386" s="1934">
        <f>SUM(P382-O382)</f>
        <v>-540.71999999999991</v>
      </c>
      <c r="N386" s="669"/>
      <c r="O386" s="713"/>
      <c r="P386" s="669"/>
      <c r="Q386" s="1493"/>
      <c r="R386" s="669"/>
    </row>
    <row r="387" spans="2:20" ht="62.4" hidden="1" customHeight="1">
      <c r="E387" s="274"/>
      <c r="F387" s="274"/>
      <c r="L387" s="1921" t="s">
        <v>4172</v>
      </c>
      <c r="M387" s="1919">
        <f>SUM(P383-O383)</f>
        <v>-734.44600000000003</v>
      </c>
      <c r="N387" s="669"/>
      <c r="O387" s="713"/>
      <c r="P387" s="669"/>
      <c r="Q387" s="1493"/>
      <c r="R387" s="669"/>
    </row>
    <row r="388" spans="2:20" ht="39" hidden="1" customHeight="1">
      <c r="E388" s="274"/>
      <c r="F388" s="274"/>
      <c r="M388" s="669"/>
      <c r="N388" s="669"/>
      <c r="O388" s="713"/>
      <c r="P388" s="669"/>
      <c r="Q388" s="1899"/>
      <c r="R388" s="669"/>
    </row>
    <row r="389" spans="2:20" ht="39" hidden="1" customHeight="1">
      <c r="E389" s="274"/>
      <c r="F389" s="274"/>
      <c r="M389" s="1948">
        <f>SUM(M386,M387)</f>
        <v>-1275.1659999999999</v>
      </c>
      <c r="N389" s="669"/>
      <c r="O389" s="713"/>
      <c r="P389" s="669"/>
      <c r="Q389" s="1493"/>
      <c r="R389" s="669"/>
    </row>
    <row r="390" spans="2:20" ht="39" hidden="1" customHeight="1">
      <c r="E390" s="274"/>
      <c r="F390" s="274"/>
      <c r="M390" s="713"/>
      <c r="N390" s="669"/>
      <c r="O390" s="713"/>
      <c r="P390" s="713"/>
      <c r="Q390" s="1493"/>
      <c r="R390" s="713"/>
    </row>
    <row r="391" spans="2:20" ht="39" hidden="1" customHeight="1">
      <c r="B391" s="1963" t="s">
        <v>4186</v>
      </c>
      <c r="E391" s="274"/>
      <c r="F391" s="274"/>
      <c r="K391" s="1964">
        <f>SUM(L21,L26,L31,L36,L88,L95,L102,L109,)</f>
        <v>2698.67</v>
      </c>
      <c r="L391" s="280"/>
    </row>
    <row r="392" spans="2:20" ht="39" hidden="1" customHeight="1">
      <c r="B392" s="1963" t="s">
        <v>4187</v>
      </c>
      <c r="E392" s="274"/>
      <c r="F392" s="274"/>
      <c r="K392" s="1964">
        <f>SUM(L46,L51,L55,L60,L66,)</f>
        <v>2621.39</v>
      </c>
    </row>
    <row r="393" spans="2:20" ht="39" hidden="1" customHeight="1">
      <c r="B393" s="1963" t="s">
        <v>4188</v>
      </c>
      <c r="E393" s="274"/>
      <c r="F393" s="274"/>
      <c r="K393" s="1964">
        <f>SUM(L71,L235,)</f>
        <v>1821.8600000000001</v>
      </c>
      <c r="M393" s="1542"/>
      <c r="N393" s="280"/>
    </row>
    <row r="394" spans="2:20" ht="39" hidden="1" customHeight="1">
      <c r="B394" s="1963" t="s">
        <v>4189</v>
      </c>
      <c r="E394" s="274"/>
      <c r="F394" s="274"/>
      <c r="K394" s="1964">
        <f>SUM(L75,L158,L246)</f>
        <v>246.98999999999998</v>
      </c>
      <c r="O394" s="280">
        <f>K395-P381</f>
        <v>-936.05499999999847</v>
      </c>
    </row>
    <row r="395" spans="2:20" ht="39" hidden="1" customHeight="1">
      <c r="B395" s="1963" t="s">
        <v>2646</v>
      </c>
      <c r="E395" s="274"/>
      <c r="F395" s="274"/>
      <c r="K395" s="1965">
        <f>SUM(K391,K392,K393,K394)</f>
        <v>7388.91</v>
      </c>
    </row>
    <row r="396" spans="2:20" ht="39" hidden="1" customHeight="1">
      <c r="E396" s="274"/>
      <c r="F396" s="274"/>
    </row>
    <row r="397" spans="2:20" ht="39" hidden="1" customHeight="1">
      <c r="E397" s="274"/>
      <c r="F397" s="274"/>
    </row>
    <row r="398" spans="2:20" ht="39" hidden="1" customHeight="1">
      <c r="E398" s="274"/>
      <c r="F398" s="274"/>
    </row>
    <row r="399" spans="2:20" ht="39" hidden="1" customHeight="1">
      <c r="E399" s="274"/>
      <c r="F399" s="274"/>
    </row>
    <row r="400" spans="2:20" ht="39" hidden="1" customHeight="1">
      <c r="E400" s="274"/>
      <c r="F400" s="274"/>
    </row>
    <row r="401" spans="5:6" ht="39" hidden="1" customHeight="1">
      <c r="E401" s="274"/>
      <c r="F401" s="274"/>
    </row>
    <row r="402" spans="5:6" ht="39" hidden="1" customHeight="1">
      <c r="E402" s="274"/>
      <c r="F402" s="274"/>
    </row>
    <row r="403" spans="5:6" ht="39" hidden="1" customHeight="1">
      <c r="E403" s="274"/>
      <c r="F403" s="274"/>
    </row>
    <row r="404" spans="5:6" ht="39" hidden="1" customHeight="1">
      <c r="E404" s="274"/>
      <c r="F404" s="274"/>
    </row>
    <row r="405" spans="5:6" ht="39" hidden="1" customHeight="1">
      <c r="E405" s="274"/>
      <c r="F405" s="274"/>
    </row>
    <row r="406" spans="5:6" ht="39" hidden="1" customHeight="1">
      <c r="E406" s="274"/>
      <c r="F406" s="274"/>
    </row>
    <row r="407" spans="5:6" ht="39" hidden="1" customHeight="1">
      <c r="E407" s="274"/>
      <c r="F407" s="274"/>
    </row>
    <row r="408" spans="5:6" ht="39" hidden="1" customHeight="1">
      <c r="E408" s="274"/>
      <c r="F408" s="274"/>
    </row>
    <row r="409" spans="5:6" ht="39" hidden="1" customHeight="1">
      <c r="E409" s="274"/>
      <c r="F409" s="274"/>
    </row>
    <row r="410" spans="5:6" ht="39" hidden="1" customHeight="1">
      <c r="E410" s="274"/>
      <c r="F410" s="274"/>
    </row>
    <row r="411" spans="5:6" ht="39" hidden="1" customHeight="1">
      <c r="E411" s="274"/>
      <c r="F411" s="274"/>
    </row>
    <row r="412" spans="5:6" ht="39" hidden="1" customHeight="1">
      <c r="E412" s="274"/>
      <c r="F412" s="274"/>
    </row>
    <row r="413" spans="5:6" ht="39" hidden="1" customHeight="1">
      <c r="E413" s="274"/>
      <c r="F413" s="274"/>
    </row>
    <row r="414" spans="5:6" ht="39" hidden="1" customHeight="1">
      <c r="E414" s="274"/>
      <c r="F414" s="274"/>
    </row>
    <row r="415" spans="5:6" ht="39" hidden="1" customHeight="1">
      <c r="E415" s="274"/>
      <c r="F415" s="274"/>
    </row>
    <row r="416" spans="5:6" ht="39" hidden="1" customHeight="1">
      <c r="E416" s="274"/>
      <c r="F416" s="274"/>
    </row>
    <row r="417" spans="5:6" ht="39" hidden="1" customHeight="1">
      <c r="E417" s="274"/>
      <c r="F417" s="274"/>
    </row>
    <row r="418" spans="5:6" ht="39" hidden="1" customHeight="1">
      <c r="E418" s="274"/>
      <c r="F418" s="274"/>
    </row>
    <row r="419" spans="5:6" ht="39" hidden="1" customHeight="1">
      <c r="E419" s="274"/>
      <c r="F419" s="274"/>
    </row>
    <row r="420" spans="5:6" ht="39" hidden="1" customHeight="1">
      <c r="E420" s="274"/>
      <c r="F420" s="274"/>
    </row>
    <row r="421" spans="5:6" ht="39" hidden="1" customHeight="1">
      <c r="E421" s="274"/>
      <c r="F421" s="274"/>
    </row>
    <row r="422" spans="5:6" ht="39" hidden="1" customHeight="1">
      <c r="E422" s="274"/>
      <c r="F422" s="274"/>
    </row>
    <row r="423" spans="5:6" ht="39" hidden="1" customHeight="1">
      <c r="E423" s="274"/>
      <c r="F423" s="274"/>
    </row>
    <row r="424" spans="5:6" ht="39" hidden="1" customHeight="1">
      <c r="E424" s="274"/>
      <c r="F424" s="274"/>
    </row>
    <row r="425" spans="5:6" ht="39" hidden="1" customHeight="1">
      <c r="E425" s="274"/>
      <c r="F425" s="274"/>
    </row>
    <row r="426" spans="5:6" ht="39" hidden="1" customHeight="1">
      <c r="E426" s="274"/>
      <c r="F426" s="274"/>
    </row>
    <row r="427" spans="5:6" ht="39" hidden="1" customHeight="1">
      <c r="E427" s="274"/>
      <c r="F427" s="274"/>
    </row>
    <row r="428" spans="5:6" ht="39" hidden="1" customHeight="1">
      <c r="E428" s="274"/>
      <c r="F428" s="274"/>
    </row>
    <row r="429" spans="5:6" ht="39" hidden="1" customHeight="1">
      <c r="E429" s="274"/>
      <c r="F429" s="274"/>
    </row>
    <row r="430" spans="5:6" ht="39" hidden="1" customHeight="1">
      <c r="E430" s="274"/>
      <c r="F430" s="274"/>
    </row>
    <row r="431" spans="5:6" ht="39" hidden="1" customHeight="1">
      <c r="E431" s="274"/>
      <c r="F431" s="274"/>
    </row>
    <row r="432" spans="5:6" ht="39" hidden="1" customHeight="1">
      <c r="E432" s="274"/>
      <c r="F432" s="274"/>
    </row>
    <row r="433" spans="5:17" ht="39" hidden="1" customHeight="1">
      <c r="E433" s="274"/>
      <c r="F433" s="274"/>
      <c r="L433" s="280">
        <f>SUM(L14,L167,L262,L350,)</f>
        <v>23592.528999999999</v>
      </c>
      <c r="M433" s="280">
        <f t="shared" ref="M433:Q433" si="285">SUM(M14,M167,M262,M350,)</f>
        <v>21998.871999999999</v>
      </c>
      <c r="N433" s="280">
        <f t="shared" si="285"/>
        <v>-1.0227286500281756</v>
      </c>
      <c r="O433" s="280">
        <f t="shared" si="285"/>
        <v>22234.657749999998</v>
      </c>
      <c r="P433" s="280">
        <f t="shared" si="285"/>
        <v>13442.573999999997</v>
      </c>
      <c r="Q433" s="280">
        <f t="shared" si="285"/>
        <v>21967.733237499997</v>
      </c>
    </row>
    <row r="434" spans="5:17" ht="39" hidden="1" customHeight="1">
      <c r="E434" s="274"/>
      <c r="F434" s="274"/>
      <c r="L434" s="280">
        <f>L371-L433</f>
        <v>0</v>
      </c>
      <c r="M434" s="280">
        <f t="shared" ref="M434:Q434" si="286">M371-M433</f>
        <v>0</v>
      </c>
      <c r="N434" s="280">
        <f t="shared" si="286"/>
        <v>0.99717334527425028</v>
      </c>
      <c r="O434" s="280">
        <f t="shared" si="286"/>
        <v>0</v>
      </c>
      <c r="P434" s="280">
        <f t="shared" si="286"/>
        <v>182.52800000000207</v>
      </c>
      <c r="Q434" s="280">
        <f t="shared" si="286"/>
        <v>0</v>
      </c>
    </row>
    <row r="435" spans="5:17" ht="39" hidden="1" customHeight="1">
      <c r="E435" s="274"/>
      <c r="F435" s="274"/>
    </row>
    <row r="436" spans="5:17" ht="39" customHeight="1">
      <c r="E436" s="274"/>
      <c r="F436" s="274"/>
    </row>
    <row r="437" spans="5:17" ht="39" customHeight="1">
      <c r="E437" s="274"/>
      <c r="F437" s="274"/>
    </row>
    <row r="438" spans="5:17" ht="39" customHeight="1">
      <c r="E438" s="274"/>
      <c r="F438" s="274"/>
    </row>
    <row r="439" spans="5:17" ht="39" customHeight="1">
      <c r="E439" s="274"/>
      <c r="F439" s="274"/>
    </row>
    <row r="440" spans="5:17" ht="39" customHeight="1">
      <c r="E440" s="274"/>
      <c r="F440" s="274"/>
    </row>
    <row r="441" spans="5:17" ht="39" customHeight="1">
      <c r="E441" s="274"/>
      <c r="F441" s="274"/>
    </row>
    <row r="442" spans="5:17" ht="39" customHeight="1">
      <c r="E442" s="274"/>
      <c r="F442" s="274"/>
    </row>
    <row r="443" spans="5:17" ht="39" customHeight="1">
      <c r="E443" s="274"/>
      <c r="F443" s="274"/>
    </row>
    <row r="444" spans="5:17" ht="39" customHeight="1">
      <c r="E444" s="274"/>
      <c r="F444" s="274"/>
    </row>
    <row r="445" spans="5:17" ht="39" customHeight="1">
      <c r="E445" s="274"/>
      <c r="F445" s="274"/>
    </row>
    <row r="446" spans="5:17" ht="39" customHeight="1">
      <c r="E446" s="274"/>
      <c r="F446" s="274"/>
    </row>
    <row r="447" spans="5:17" ht="39" customHeight="1">
      <c r="E447" s="274"/>
      <c r="F447" s="274"/>
    </row>
    <row r="448" spans="5:17" ht="39" customHeight="1">
      <c r="E448" s="274"/>
      <c r="F448" s="274"/>
    </row>
    <row r="449" spans="5:6" ht="39" customHeight="1">
      <c r="E449" s="274"/>
      <c r="F449" s="274"/>
    </row>
    <row r="450" spans="5:6" ht="39" customHeight="1">
      <c r="E450" s="274"/>
      <c r="F450" s="274"/>
    </row>
    <row r="451" spans="5:6" ht="39" customHeight="1">
      <c r="E451" s="274"/>
      <c r="F451" s="274"/>
    </row>
    <row r="452" spans="5:6" ht="39" customHeight="1">
      <c r="E452" s="274"/>
      <c r="F452" s="274"/>
    </row>
    <row r="453" spans="5:6" ht="39" customHeight="1">
      <c r="E453" s="274"/>
      <c r="F453" s="274"/>
    </row>
    <row r="454" spans="5:6" ht="39" customHeight="1">
      <c r="E454" s="274"/>
      <c r="F454" s="274"/>
    </row>
    <row r="455" spans="5:6" ht="39" customHeight="1">
      <c r="E455" s="274"/>
      <c r="F455" s="274"/>
    </row>
    <row r="456" spans="5:6" ht="39" customHeight="1">
      <c r="E456" s="274"/>
      <c r="F456" s="274"/>
    </row>
    <row r="457" spans="5:6" ht="39" customHeight="1">
      <c r="E457" s="274"/>
      <c r="F457" s="274"/>
    </row>
    <row r="458" spans="5:6" ht="39" customHeight="1">
      <c r="E458" s="274"/>
      <c r="F458" s="274"/>
    </row>
    <row r="459" spans="5:6" ht="39" customHeight="1">
      <c r="E459" s="274"/>
      <c r="F459" s="274"/>
    </row>
    <row r="460" spans="5:6" ht="39" customHeight="1">
      <c r="E460" s="274"/>
      <c r="F460" s="274"/>
    </row>
    <row r="461" spans="5:6" ht="39" customHeight="1">
      <c r="E461" s="274"/>
      <c r="F461" s="274"/>
    </row>
    <row r="462" spans="5:6" ht="39" customHeight="1">
      <c r="E462" s="274"/>
      <c r="F462" s="274"/>
    </row>
    <row r="463" spans="5:6" ht="39" customHeight="1">
      <c r="E463" s="274"/>
      <c r="F463" s="274"/>
    </row>
    <row r="464" spans="5:6" ht="39" customHeight="1">
      <c r="E464" s="274"/>
      <c r="F464" s="274"/>
    </row>
    <row r="465" spans="5:6" ht="39" customHeight="1">
      <c r="E465" s="274"/>
      <c r="F465" s="274"/>
    </row>
    <row r="466" spans="5:6" ht="39" customHeight="1">
      <c r="E466" s="274"/>
      <c r="F466" s="274"/>
    </row>
    <row r="467" spans="5:6" ht="39" customHeight="1">
      <c r="E467" s="274"/>
      <c r="F467" s="274"/>
    </row>
    <row r="468" spans="5:6" ht="39" customHeight="1">
      <c r="E468" s="274"/>
      <c r="F468" s="274"/>
    </row>
    <row r="469" spans="5:6" ht="39" customHeight="1">
      <c r="E469" s="274"/>
      <c r="F469" s="274"/>
    </row>
    <row r="470" spans="5:6" ht="39" customHeight="1">
      <c r="E470" s="274"/>
      <c r="F470" s="274"/>
    </row>
    <row r="471" spans="5:6" ht="39" customHeight="1">
      <c r="E471" s="274"/>
      <c r="F471" s="274"/>
    </row>
    <row r="472" spans="5:6" ht="39" customHeight="1">
      <c r="E472" s="274"/>
      <c r="F472" s="274"/>
    </row>
    <row r="473" spans="5:6" ht="39" customHeight="1">
      <c r="E473" s="274"/>
      <c r="F473" s="274"/>
    </row>
    <row r="474" spans="5:6" ht="39" customHeight="1">
      <c r="E474" s="274"/>
      <c r="F474" s="274"/>
    </row>
    <row r="475" spans="5:6" ht="39" customHeight="1">
      <c r="E475" s="274"/>
      <c r="F475" s="274"/>
    </row>
    <row r="476" spans="5:6" ht="39" customHeight="1">
      <c r="E476" s="274"/>
      <c r="F476" s="274"/>
    </row>
    <row r="477" spans="5:6" ht="39" customHeight="1">
      <c r="E477" s="274"/>
      <c r="F477" s="274"/>
    </row>
    <row r="478" spans="5:6" ht="39" customHeight="1">
      <c r="E478" s="274"/>
      <c r="F478" s="274"/>
    </row>
    <row r="479" spans="5:6" ht="39" customHeight="1">
      <c r="E479" s="274"/>
      <c r="F479" s="274"/>
    </row>
    <row r="480" spans="5:6" ht="39" customHeight="1">
      <c r="E480" s="274"/>
      <c r="F480" s="274"/>
    </row>
    <row r="481" spans="5:6" ht="39" customHeight="1">
      <c r="E481" s="274"/>
      <c r="F481" s="274"/>
    </row>
    <row r="482" spans="5:6" ht="39" customHeight="1">
      <c r="E482" s="274"/>
      <c r="F482" s="274"/>
    </row>
    <row r="483" spans="5:6" ht="39" customHeight="1">
      <c r="E483" s="274"/>
      <c r="F483" s="274"/>
    </row>
    <row r="484" spans="5:6" ht="39" customHeight="1">
      <c r="E484" s="274"/>
      <c r="F484" s="274"/>
    </row>
    <row r="485" spans="5:6" ht="39" customHeight="1">
      <c r="E485" s="274"/>
      <c r="F485" s="274"/>
    </row>
    <row r="486" spans="5:6" ht="39" customHeight="1">
      <c r="E486" s="274"/>
      <c r="F486" s="274"/>
    </row>
    <row r="487" spans="5:6" ht="39" customHeight="1">
      <c r="E487" s="274"/>
      <c r="F487" s="274"/>
    </row>
    <row r="488" spans="5:6" ht="39" customHeight="1">
      <c r="E488" s="274"/>
      <c r="F488" s="274"/>
    </row>
    <row r="489" spans="5:6" ht="39" customHeight="1">
      <c r="E489" s="274"/>
      <c r="F489" s="274"/>
    </row>
    <row r="490" spans="5:6" ht="39" customHeight="1">
      <c r="E490" s="274"/>
      <c r="F490" s="274"/>
    </row>
    <row r="491" spans="5:6" ht="39" customHeight="1">
      <c r="E491" s="274"/>
      <c r="F491" s="274"/>
    </row>
    <row r="492" spans="5:6" ht="39" customHeight="1">
      <c r="E492" s="274"/>
      <c r="F492" s="274"/>
    </row>
    <row r="493" spans="5:6" ht="39" customHeight="1">
      <c r="E493" s="274"/>
      <c r="F493" s="274"/>
    </row>
    <row r="494" spans="5:6" ht="39" customHeight="1">
      <c r="E494" s="274"/>
      <c r="F494" s="274"/>
    </row>
    <row r="495" spans="5:6" ht="39" customHeight="1">
      <c r="E495" s="274"/>
      <c r="F495" s="274"/>
    </row>
    <row r="496" spans="5:6" ht="39" customHeight="1">
      <c r="E496" s="274"/>
      <c r="F496" s="274"/>
    </row>
    <row r="497" spans="5:6" ht="39" customHeight="1">
      <c r="E497" s="274"/>
      <c r="F497" s="274"/>
    </row>
    <row r="498" spans="5:6" ht="39" customHeight="1">
      <c r="E498" s="274"/>
      <c r="F498" s="274"/>
    </row>
    <row r="499" spans="5:6" ht="39" customHeight="1">
      <c r="E499" s="274"/>
      <c r="F499" s="274"/>
    </row>
    <row r="500" spans="5:6" ht="39" customHeight="1">
      <c r="E500" s="274"/>
      <c r="F500" s="274"/>
    </row>
    <row r="501" spans="5:6" ht="39" customHeight="1">
      <c r="E501" s="274"/>
      <c r="F501" s="274"/>
    </row>
    <row r="502" spans="5:6" ht="39" customHeight="1">
      <c r="E502" s="274"/>
      <c r="F502" s="274"/>
    </row>
    <row r="503" spans="5:6" ht="39" customHeight="1">
      <c r="E503" s="274"/>
      <c r="F503" s="274"/>
    </row>
    <row r="504" spans="5:6" ht="39" customHeight="1">
      <c r="E504" s="274"/>
      <c r="F504" s="274"/>
    </row>
    <row r="505" spans="5:6" ht="39" customHeight="1">
      <c r="E505" s="274"/>
      <c r="F505" s="274"/>
    </row>
    <row r="506" spans="5:6" ht="39" customHeight="1">
      <c r="E506" s="274"/>
      <c r="F506" s="274"/>
    </row>
    <row r="507" spans="5:6" ht="39" customHeight="1">
      <c r="E507" s="274"/>
      <c r="F507" s="274"/>
    </row>
    <row r="508" spans="5:6" ht="39" customHeight="1">
      <c r="E508" s="274"/>
      <c r="F508" s="274"/>
    </row>
    <row r="509" spans="5:6" ht="39" customHeight="1">
      <c r="E509" s="274"/>
      <c r="F509" s="274"/>
    </row>
    <row r="510" spans="5:6" ht="39" customHeight="1">
      <c r="E510" s="274"/>
      <c r="F510" s="274"/>
    </row>
    <row r="511" spans="5:6" ht="39" customHeight="1">
      <c r="E511" s="274"/>
      <c r="F511" s="274"/>
    </row>
    <row r="512" spans="5:6" ht="39" customHeight="1">
      <c r="E512" s="274"/>
      <c r="F512" s="274"/>
    </row>
    <row r="513" spans="5:6" ht="39" customHeight="1">
      <c r="E513" s="274"/>
      <c r="F513" s="274"/>
    </row>
    <row r="514" spans="5:6" ht="39" customHeight="1">
      <c r="E514" s="274"/>
      <c r="F514" s="274"/>
    </row>
    <row r="515" spans="5:6" ht="39" customHeight="1">
      <c r="E515" s="274"/>
      <c r="F515" s="274"/>
    </row>
    <row r="516" spans="5:6" ht="39" customHeight="1">
      <c r="E516" s="274"/>
      <c r="F516" s="274"/>
    </row>
    <row r="517" spans="5:6" ht="39" customHeight="1">
      <c r="E517" s="274"/>
      <c r="F517" s="274"/>
    </row>
    <row r="518" spans="5:6" ht="39" customHeight="1">
      <c r="E518" s="274"/>
      <c r="F518" s="274"/>
    </row>
    <row r="519" spans="5:6" ht="39" customHeight="1">
      <c r="E519" s="274"/>
      <c r="F519" s="274"/>
    </row>
    <row r="520" spans="5:6" ht="39" customHeight="1">
      <c r="E520" s="274"/>
      <c r="F520" s="274"/>
    </row>
    <row r="521" spans="5:6" ht="39" customHeight="1">
      <c r="E521" s="274"/>
      <c r="F521" s="274"/>
    </row>
    <row r="522" spans="5:6" ht="39" customHeight="1">
      <c r="E522" s="274"/>
      <c r="F522" s="274"/>
    </row>
    <row r="523" spans="5:6" ht="39" customHeight="1">
      <c r="E523" s="274"/>
      <c r="F523" s="274"/>
    </row>
    <row r="524" spans="5:6" ht="39" customHeight="1">
      <c r="E524" s="274"/>
      <c r="F524" s="274"/>
    </row>
    <row r="525" spans="5:6" ht="39" customHeight="1">
      <c r="E525" s="274"/>
      <c r="F525" s="274"/>
    </row>
    <row r="526" spans="5:6" ht="39" customHeight="1">
      <c r="E526" s="274"/>
      <c r="F526" s="274"/>
    </row>
    <row r="527" spans="5:6" ht="39" customHeight="1">
      <c r="E527" s="274"/>
      <c r="F527" s="274"/>
    </row>
    <row r="528" spans="5:6" ht="39" customHeight="1">
      <c r="E528" s="274"/>
      <c r="F528" s="274"/>
    </row>
    <row r="529" spans="5:6" ht="39" customHeight="1">
      <c r="E529" s="274"/>
      <c r="F529" s="274"/>
    </row>
    <row r="530" spans="5:6" ht="39" customHeight="1">
      <c r="E530" s="274"/>
      <c r="F530" s="274"/>
    </row>
    <row r="531" spans="5:6" ht="39" customHeight="1">
      <c r="E531" s="274"/>
      <c r="F531" s="274"/>
    </row>
    <row r="532" spans="5:6" ht="39" customHeight="1">
      <c r="E532" s="274"/>
      <c r="F532" s="274"/>
    </row>
    <row r="533" spans="5:6" ht="39" customHeight="1">
      <c r="E533" s="274"/>
      <c r="F533" s="274"/>
    </row>
    <row r="534" spans="5:6" ht="39" customHeight="1">
      <c r="E534" s="274"/>
      <c r="F534" s="274"/>
    </row>
    <row r="535" spans="5:6" ht="39" customHeight="1">
      <c r="E535" s="274"/>
      <c r="F535" s="274"/>
    </row>
    <row r="536" spans="5:6" ht="39" customHeight="1">
      <c r="E536" s="274"/>
      <c r="F536" s="274"/>
    </row>
    <row r="537" spans="5:6" ht="39" customHeight="1">
      <c r="E537" s="274"/>
      <c r="F537" s="274"/>
    </row>
    <row r="538" spans="5:6" ht="39" customHeight="1">
      <c r="E538" s="274"/>
      <c r="F538" s="274"/>
    </row>
    <row r="539" spans="5:6" ht="39" customHeight="1">
      <c r="E539" s="274"/>
      <c r="F539" s="274"/>
    </row>
    <row r="540" spans="5:6" ht="39" customHeight="1">
      <c r="E540" s="274"/>
      <c r="F540" s="274"/>
    </row>
    <row r="541" spans="5:6" ht="39" customHeight="1">
      <c r="E541" s="274"/>
      <c r="F541" s="274"/>
    </row>
    <row r="542" spans="5:6" ht="39" customHeight="1">
      <c r="E542" s="274"/>
      <c r="F542" s="274"/>
    </row>
    <row r="543" spans="5:6" ht="39" customHeight="1">
      <c r="E543" s="274"/>
      <c r="F543" s="274"/>
    </row>
    <row r="544" spans="5:6" ht="39" customHeight="1">
      <c r="E544" s="274"/>
      <c r="F544" s="274"/>
    </row>
    <row r="545" spans="5:6" ht="39" customHeight="1">
      <c r="E545" s="274"/>
      <c r="F545" s="274"/>
    </row>
    <row r="546" spans="5:6" ht="39" customHeight="1">
      <c r="E546" s="274"/>
      <c r="F546" s="274"/>
    </row>
    <row r="547" spans="5:6" ht="39" customHeight="1">
      <c r="E547" s="274"/>
      <c r="F547" s="274"/>
    </row>
    <row r="548" spans="5:6" ht="39" customHeight="1">
      <c r="E548" s="274"/>
      <c r="F548" s="274"/>
    </row>
    <row r="549" spans="5:6" ht="39" customHeight="1">
      <c r="E549" s="274"/>
      <c r="F549" s="274"/>
    </row>
    <row r="550" spans="5:6" ht="39" customHeight="1">
      <c r="E550" s="274"/>
      <c r="F550" s="274"/>
    </row>
    <row r="551" spans="5:6" ht="39" customHeight="1">
      <c r="E551" s="274"/>
      <c r="F551" s="274"/>
    </row>
    <row r="552" spans="5:6" ht="39" customHeight="1">
      <c r="E552" s="274"/>
      <c r="F552" s="274"/>
    </row>
    <row r="553" spans="5:6" ht="39" customHeight="1">
      <c r="E553" s="274"/>
      <c r="F553" s="274"/>
    </row>
    <row r="554" spans="5:6" ht="39" customHeight="1">
      <c r="E554" s="274"/>
      <c r="F554" s="274"/>
    </row>
    <row r="555" spans="5:6" ht="39" customHeight="1">
      <c r="E555" s="274"/>
      <c r="F555" s="274"/>
    </row>
    <row r="556" spans="5:6" ht="39" customHeight="1">
      <c r="E556" s="274"/>
      <c r="F556" s="274"/>
    </row>
    <row r="557" spans="5:6" ht="39" customHeight="1">
      <c r="E557" s="274"/>
      <c r="F557" s="274"/>
    </row>
    <row r="558" spans="5:6" ht="39" customHeight="1">
      <c r="E558" s="274"/>
      <c r="F558" s="274"/>
    </row>
    <row r="559" spans="5:6" ht="39" customHeight="1">
      <c r="E559" s="274"/>
      <c r="F559" s="274"/>
    </row>
    <row r="560" spans="5:6" ht="39" customHeight="1">
      <c r="E560" s="274"/>
      <c r="F560" s="274"/>
    </row>
    <row r="561" spans="5:6" ht="39" customHeight="1">
      <c r="E561" s="274"/>
      <c r="F561" s="274"/>
    </row>
    <row r="562" spans="5:6" ht="39" customHeight="1">
      <c r="E562" s="274"/>
      <c r="F562" s="274"/>
    </row>
    <row r="563" spans="5:6" ht="39" customHeight="1">
      <c r="E563" s="274"/>
      <c r="F563" s="274"/>
    </row>
    <row r="564" spans="5:6" ht="39" customHeight="1">
      <c r="E564" s="274"/>
      <c r="F564" s="274"/>
    </row>
    <row r="565" spans="5:6" ht="39" customHeight="1">
      <c r="E565" s="274"/>
      <c r="F565" s="274"/>
    </row>
    <row r="566" spans="5:6" ht="39" customHeight="1">
      <c r="E566" s="274"/>
      <c r="F566" s="274"/>
    </row>
    <row r="567" spans="5:6" ht="39" customHeight="1">
      <c r="E567" s="274"/>
      <c r="F567" s="274"/>
    </row>
    <row r="568" spans="5:6" ht="39" customHeight="1">
      <c r="E568" s="274"/>
      <c r="F568" s="274"/>
    </row>
    <row r="569" spans="5:6" ht="39" customHeight="1">
      <c r="E569" s="274"/>
      <c r="F569" s="274"/>
    </row>
    <row r="570" spans="5:6" ht="39" customHeight="1">
      <c r="E570" s="274"/>
      <c r="F570" s="274"/>
    </row>
    <row r="571" spans="5:6" ht="39" customHeight="1">
      <c r="E571" s="274"/>
      <c r="F571" s="274"/>
    </row>
    <row r="572" spans="5:6" ht="39" customHeight="1">
      <c r="E572" s="274"/>
      <c r="F572" s="274"/>
    </row>
    <row r="573" spans="5:6" ht="39" customHeight="1">
      <c r="E573" s="274"/>
      <c r="F573" s="274"/>
    </row>
    <row r="574" spans="5:6" ht="39" customHeight="1">
      <c r="E574" s="274"/>
      <c r="F574" s="274"/>
    </row>
    <row r="575" spans="5:6" ht="39" customHeight="1">
      <c r="E575" s="274"/>
      <c r="F575" s="274"/>
    </row>
    <row r="576" spans="5:6" ht="39" customHeight="1">
      <c r="E576" s="274"/>
      <c r="F576" s="274"/>
    </row>
    <row r="577" spans="5:6" ht="39" customHeight="1">
      <c r="E577" s="274"/>
      <c r="F577" s="274"/>
    </row>
    <row r="578" spans="5:6" ht="39" customHeight="1">
      <c r="E578" s="274"/>
      <c r="F578" s="274"/>
    </row>
    <row r="579" spans="5:6" ht="39" customHeight="1">
      <c r="E579" s="274"/>
      <c r="F579" s="274"/>
    </row>
    <row r="580" spans="5:6" ht="39" customHeight="1">
      <c r="E580" s="274"/>
      <c r="F580" s="274"/>
    </row>
    <row r="581" spans="5:6" ht="39" customHeight="1">
      <c r="E581" s="274"/>
      <c r="F581" s="274"/>
    </row>
    <row r="582" spans="5:6" ht="39" customHeight="1">
      <c r="E582" s="274"/>
      <c r="F582" s="274"/>
    </row>
    <row r="583" spans="5:6" ht="39" customHeight="1">
      <c r="E583" s="274"/>
      <c r="F583" s="274"/>
    </row>
    <row r="584" spans="5:6" ht="39" customHeight="1">
      <c r="E584" s="274"/>
      <c r="F584" s="274"/>
    </row>
    <row r="585" spans="5:6" ht="39" customHeight="1">
      <c r="E585" s="274"/>
      <c r="F585" s="274"/>
    </row>
    <row r="586" spans="5:6" ht="39" customHeight="1">
      <c r="E586" s="274"/>
      <c r="F586" s="274"/>
    </row>
    <row r="587" spans="5:6" ht="39" customHeight="1">
      <c r="E587" s="274"/>
      <c r="F587" s="274"/>
    </row>
    <row r="588" spans="5:6" ht="39" customHeight="1">
      <c r="E588" s="274"/>
      <c r="F588" s="274"/>
    </row>
    <row r="589" spans="5:6" ht="39" customHeight="1">
      <c r="E589" s="274"/>
      <c r="F589" s="274"/>
    </row>
    <row r="590" spans="5:6" ht="39" customHeight="1">
      <c r="E590" s="274"/>
      <c r="F590" s="274"/>
    </row>
    <row r="591" spans="5:6" ht="39" customHeight="1">
      <c r="E591" s="274"/>
      <c r="F591" s="274"/>
    </row>
    <row r="592" spans="5:6" ht="39" customHeight="1">
      <c r="E592" s="274"/>
      <c r="F592" s="274"/>
    </row>
    <row r="593" spans="5:6" ht="39" customHeight="1">
      <c r="E593" s="274"/>
      <c r="F593" s="274"/>
    </row>
    <row r="594" spans="5:6" ht="39" customHeight="1">
      <c r="E594" s="274"/>
      <c r="F594" s="274"/>
    </row>
    <row r="595" spans="5:6" ht="39" customHeight="1">
      <c r="E595" s="274"/>
      <c r="F595" s="274"/>
    </row>
    <row r="596" spans="5:6" ht="39" customHeight="1">
      <c r="E596" s="274"/>
      <c r="F596" s="274"/>
    </row>
    <row r="597" spans="5:6" ht="39" customHeight="1">
      <c r="E597" s="274"/>
      <c r="F597" s="274"/>
    </row>
    <row r="598" spans="5:6" ht="39" customHeight="1">
      <c r="E598" s="274"/>
      <c r="F598" s="274"/>
    </row>
    <row r="599" spans="5:6" ht="39" customHeight="1">
      <c r="E599" s="274"/>
      <c r="F599" s="274"/>
    </row>
    <row r="600" spans="5:6" ht="39" customHeight="1">
      <c r="E600" s="274"/>
      <c r="F600" s="274"/>
    </row>
    <row r="601" spans="5:6" ht="39" customHeight="1">
      <c r="E601" s="274"/>
      <c r="F601" s="274"/>
    </row>
    <row r="602" spans="5:6" ht="39" customHeight="1">
      <c r="E602" s="274"/>
      <c r="F602" s="274"/>
    </row>
    <row r="603" spans="5:6" ht="39" customHeight="1">
      <c r="E603" s="274"/>
      <c r="F603" s="274"/>
    </row>
    <row r="604" spans="5:6" ht="39" customHeight="1">
      <c r="E604" s="274"/>
      <c r="F604" s="274"/>
    </row>
    <row r="605" spans="5:6" ht="39" customHeight="1">
      <c r="E605" s="274"/>
      <c r="F605" s="274"/>
    </row>
    <row r="606" spans="5:6" ht="39" customHeight="1">
      <c r="E606" s="274"/>
      <c r="F606" s="274"/>
    </row>
    <row r="607" spans="5:6" ht="39" customHeight="1">
      <c r="E607" s="274"/>
      <c r="F607" s="274"/>
    </row>
    <row r="608" spans="5:6" ht="39" customHeight="1">
      <c r="E608" s="274"/>
      <c r="F608" s="274"/>
    </row>
    <row r="609" spans="5:6" ht="39" customHeight="1">
      <c r="E609" s="274"/>
      <c r="F609" s="274"/>
    </row>
    <row r="610" spans="5:6" ht="39" customHeight="1">
      <c r="E610" s="274"/>
      <c r="F610" s="274"/>
    </row>
    <row r="611" spans="5:6" ht="39" customHeight="1">
      <c r="E611" s="274"/>
      <c r="F611" s="274"/>
    </row>
    <row r="612" spans="5:6" ht="39" customHeight="1">
      <c r="E612" s="274"/>
      <c r="F612" s="274"/>
    </row>
    <row r="613" spans="5:6" ht="39" customHeight="1">
      <c r="E613" s="274"/>
      <c r="F613" s="274"/>
    </row>
    <row r="614" spans="5:6" ht="39" customHeight="1">
      <c r="E614" s="274"/>
      <c r="F614" s="274"/>
    </row>
    <row r="615" spans="5:6" ht="39" customHeight="1">
      <c r="E615" s="274"/>
      <c r="F615" s="274"/>
    </row>
    <row r="616" spans="5:6" ht="39" customHeight="1">
      <c r="E616" s="274"/>
      <c r="F616" s="274"/>
    </row>
    <row r="617" spans="5:6" ht="39" customHeight="1">
      <c r="E617" s="274"/>
      <c r="F617" s="274"/>
    </row>
    <row r="618" spans="5:6" ht="39" customHeight="1">
      <c r="E618" s="274"/>
      <c r="F618" s="274"/>
    </row>
    <row r="619" spans="5:6" ht="39" customHeight="1">
      <c r="E619" s="274"/>
      <c r="F619" s="274"/>
    </row>
    <row r="620" spans="5:6" ht="39" customHeight="1">
      <c r="E620" s="274"/>
      <c r="F620" s="274"/>
    </row>
    <row r="621" spans="5:6" ht="39" customHeight="1">
      <c r="E621" s="274"/>
      <c r="F621" s="274"/>
    </row>
    <row r="622" spans="5:6" ht="39" customHeight="1">
      <c r="E622" s="274"/>
      <c r="F622" s="274"/>
    </row>
    <row r="623" spans="5:6" ht="39" customHeight="1">
      <c r="E623" s="274"/>
      <c r="F623" s="274"/>
    </row>
    <row r="624" spans="5:6" ht="39" customHeight="1">
      <c r="E624" s="274"/>
      <c r="F624" s="274"/>
    </row>
    <row r="625" spans="5:6" ht="39" customHeight="1">
      <c r="E625" s="274"/>
      <c r="F625" s="274"/>
    </row>
    <row r="626" spans="5:6" ht="39" customHeight="1">
      <c r="E626" s="274"/>
      <c r="F626" s="274"/>
    </row>
    <row r="627" spans="5:6" ht="39" customHeight="1">
      <c r="E627" s="274"/>
      <c r="F627" s="274"/>
    </row>
    <row r="628" spans="5:6" ht="39" customHeight="1">
      <c r="E628" s="274"/>
      <c r="F628" s="274"/>
    </row>
    <row r="629" spans="5:6" ht="39" customHeight="1">
      <c r="E629" s="274"/>
      <c r="F629" s="274"/>
    </row>
    <row r="630" spans="5:6" ht="39" customHeight="1">
      <c r="E630" s="274"/>
      <c r="F630" s="274"/>
    </row>
    <row r="631" spans="5:6" ht="39" customHeight="1">
      <c r="E631" s="274"/>
      <c r="F631" s="274"/>
    </row>
    <row r="632" spans="5:6" ht="39" customHeight="1">
      <c r="E632" s="274"/>
      <c r="F632" s="274"/>
    </row>
    <row r="633" spans="5:6" ht="39" customHeight="1">
      <c r="E633" s="274"/>
      <c r="F633" s="274"/>
    </row>
    <row r="634" spans="5:6" ht="39" customHeight="1">
      <c r="E634" s="274"/>
      <c r="F634" s="274"/>
    </row>
    <row r="635" spans="5:6" ht="39" customHeight="1">
      <c r="E635" s="274"/>
      <c r="F635" s="274"/>
    </row>
    <row r="636" spans="5:6" ht="39" customHeight="1">
      <c r="E636" s="274"/>
      <c r="F636" s="274"/>
    </row>
    <row r="637" spans="5:6" ht="39" customHeight="1">
      <c r="E637" s="274"/>
      <c r="F637" s="274"/>
    </row>
    <row r="638" spans="5:6" ht="39" customHeight="1">
      <c r="E638" s="274"/>
      <c r="F638" s="274"/>
    </row>
    <row r="639" spans="5:6" ht="39" customHeight="1">
      <c r="E639" s="274"/>
      <c r="F639" s="274"/>
    </row>
    <row r="640" spans="5:6" ht="39" customHeight="1">
      <c r="E640" s="274"/>
      <c r="F640" s="274"/>
    </row>
    <row r="641" spans="5:6" ht="39" customHeight="1">
      <c r="E641" s="274"/>
      <c r="F641" s="274"/>
    </row>
    <row r="642" spans="5:6" ht="39" customHeight="1">
      <c r="E642" s="274"/>
      <c r="F642" s="274"/>
    </row>
    <row r="643" spans="5:6" ht="39" customHeight="1">
      <c r="E643" s="274"/>
      <c r="F643" s="274"/>
    </row>
    <row r="644" spans="5:6" ht="39" customHeight="1">
      <c r="E644" s="274"/>
      <c r="F644" s="274"/>
    </row>
    <row r="645" spans="5:6" ht="39" customHeight="1">
      <c r="E645" s="274"/>
      <c r="F645" s="274"/>
    </row>
    <row r="646" spans="5:6" ht="39" customHeight="1">
      <c r="E646" s="274"/>
      <c r="F646" s="274"/>
    </row>
    <row r="647" spans="5:6" ht="39" customHeight="1">
      <c r="E647" s="274"/>
      <c r="F647" s="274"/>
    </row>
    <row r="648" spans="5:6" ht="39" customHeight="1">
      <c r="E648" s="274"/>
      <c r="F648" s="274"/>
    </row>
    <row r="649" spans="5:6" ht="39" customHeight="1">
      <c r="E649" s="274"/>
      <c r="F649" s="274"/>
    </row>
    <row r="650" spans="5:6" ht="39" customHeight="1">
      <c r="E650" s="274"/>
      <c r="F650" s="274"/>
    </row>
    <row r="651" spans="5:6" ht="39" customHeight="1">
      <c r="E651" s="274"/>
      <c r="F651" s="274"/>
    </row>
    <row r="652" spans="5:6" ht="39" customHeight="1">
      <c r="E652" s="274"/>
      <c r="F652" s="274"/>
    </row>
    <row r="653" spans="5:6" ht="39" customHeight="1">
      <c r="E653" s="274"/>
      <c r="F653" s="274"/>
    </row>
    <row r="654" spans="5:6" ht="39" customHeight="1">
      <c r="E654" s="274"/>
      <c r="F654" s="274"/>
    </row>
    <row r="655" spans="5:6" ht="39" customHeight="1">
      <c r="E655" s="274"/>
      <c r="F655" s="274"/>
    </row>
    <row r="656" spans="5:6" ht="39" customHeight="1">
      <c r="E656" s="274"/>
      <c r="F656" s="274"/>
    </row>
    <row r="657" spans="5:6" ht="39" customHeight="1">
      <c r="E657" s="274"/>
      <c r="F657" s="274"/>
    </row>
    <row r="658" spans="5:6" ht="39" customHeight="1">
      <c r="E658" s="274"/>
      <c r="F658" s="274"/>
    </row>
    <row r="659" spans="5:6" ht="39" customHeight="1">
      <c r="E659" s="274"/>
      <c r="F659" s="274"/>
    </row>
    <row r="660" spans="5:6" ht="39" customHeight="1">
      <c r="E660" s="274"/>
      <c r="F660" s="274"/>
    </row>
    <row r="661" spans="5:6" ht="39" customHeight="1">
      <c r="E661" s="274"/>
      <c r="F661" s="274"/>
    </row>
    <row r="662" spans="5:6" ht="39" customHeight="1">
      <c r="E662" s="274"/>
      <c r="F662" s="274"/>
    </row>
    <row r="663" spans="5:6" ht="39" customHeight="1">
      <c r="E663" s="274"/>
      <c r="F663" s="274"/>
    </row>
    <row r="664" spans="5:6" ht="39" customHeight="1">
      <c r="E664" s="274"/>
      <c r="F664" s="274"/>
    </row>
    <row r="665" spans="5:6" ht="39" customHeight="1">
      <c r="E665" s="274"/>
      <c r="F665" s="274"/>
    </row>
    <row r="666" spans="5:6" ht="39" customHeight="1">
      <c r="E666" s="274"/>
      <c r="F666" s="274"/>
    </row>
    <row r="667" spans="5:6" ht="39" customHeight="1">
      <c r="E667" s="274"/>
      <c r="F667" s="274"/>
    </row>
    <row r="668" spans="5:6" ht="39" customHeight="1">
      <c r="E668" s="274"/>
      <c r="F668" s="274"/>
    </row>
    <row r="669" spans="5:6" ht="39" customHeight="1">
      <c r="E669" s="274"/>
      <c r="F669" s="274"/>
    </row>
    <row r="670" spans="5:6" ht="39" customHeight="1">
      <c r="E670" s="274"/>
      <c r="F670" s="274"/>
    </row>
    <row r="671" spans="5:6" ht="39" customHeight="1">
      <c r="E671" s="274"/>
      <c r="F671" s="274"/>
    </row>
    <row r="672" spans="5:6" ht="39" customHeight="1">
      <c r="E672" s="274"/>
      <c r="F672" s="274"/>
    </row>
    <row r="673" spans="5:6" ht="39" customHeight="1">
      <c r="E673" s="274"/>
      <c r="F673" s="274"/>
    </row>
    <row r="674" spans="5:6" ht="39" customHeight="1">
      <c r="E674" s="274"/>
      <c r="F674" s="274"/>
    </row>
    <row r="675" spans="5:6" ht="39" customHeight="1">
      <c r="E675" s="274"/>
      <c r="F675" s="274"/>
    </row>
    <row r="676" spans="5:6" ht="39" customHeight="1">
      <c r="E676" s="274"/>
      <c r="F676" s="274"/>
    </row>
    <row r="677" spans="5:6" ht="39" customHeight="1">
      <c r="E677" s="274"/>
      <c r="F677" s="274"/>
    </row>
    <row r="678" spans="5:6" ht="39" customHeight="1">
      <c r="E678" s="274"/>
      <c r="F678" s="274"/>
    </row>
    <row r="679" spans="5:6" ht="39" customHeight="1">
      <c r="E679" s="274"/>
      <c r="F679" s="274"/>
    </row>
    <row r="680" spans="5:6" ht="39" customHeight="1">
      <c r="E680" s="274"/>
      <c r="F680" s="274"/>
    </row>
    <row r="681" spans="5:6" ht="39" customHeight="1">
      <c r="E681" s="274"/>
      <c r="F681" s="274"/>
    </row>
    <row r="682" spans="5:6" ht="39" customHeight="1">
      <c r="E682" s="274"/>
      <c r="F682" s="274"/>
    </row>
    <row r="683" spans="5:6" ht="39" customHeight="1">
      <c r="E683" s="274"/>
      <c r="F683" s="274"/>
    </row>
    <row r="684" spans="5:6" ht="39" customHeight="1">
      <c r="E684" s="274"/>
      <c r="F684" s="274"/>
    </row>
    <row r="685" spans="5:6" ht="39" customHeight="1">
      <c r="E685" s="274"/>
      <c r="F685" s="274"/>
    </row>
    <row r="686" spans="5:6" ht="39" customHeight="1">
      <c r="E686" s="274"/>
      <c r="F686" s="274"/>
    </row>
    <row r="687" spans="5:6" ht="39" customHeight="1">
      <c r="E687" s="274"/>
      <c r="F687" s="274"/>
    </row>
    <row r="688" spans="5:6" ht="39" customHeight="1">
      <c r="E688" s="274"/>
      <c r="F688" s="274"/>
    </row>
    <row r="689" spans="5:6" ht="39" customHeight="1">
      <c r="E689" s="274"/>
      <c r="F689" s="274"/>
    </row>
    <row r="690" spans="5:6" ht="39" customHeight="1">
      <c r="E690" s="274"/>
      <c r="F690" s="274"/>
    </row>
    <row r="691" spans="5:6" ht="39" customHeight="1">
      <c r="E691" s="274"/>
      <c r="F691" s="274"/>
    </row>
    <row r="692" spans="5:6" ht="39" customHeight="1">
      <c r="E692" s="274"/>
      <c r="F692" s="274"/>
    </row>
    <row r="693" spans="5:6" ht="39" customHeight="1">
      <c r="E693" s="274"/>
      <c r="F693" s="274"/>
    </row>
    <row r="694" spans="5:6" ht="39" customHeight="1">
      <c r="E694" s="274"/>
      <c r="F694" s="274"/>
    </row>
    <row r="695" spans="5:6" ht="39" customHeight="1">
      <c r="E695" s="274"/>
      <c r="F695" s="274"/>
    </row>
    <row r="696" spans="5:6" ht="39" customHeight="1">
      <c r="E696" s="274"/>
      <c r="F696" s="274"/>
    </row>
    <row r="697" spans="5:6" ht="39" customHeight="1">
      <c r="E697" s="274"/>
      <c r="F697" s="274"/>
    </row>
    <row r="698" spans="5:6" ht="39" customHeight="1">
      <c r="E698" s="274"/>
      <c r="F698" s="274"/>
    </row>
    <row r="699" spans="5:6" ht="39" customHeight="1">
      <c r="E699" s="274"/>
      <c r="F699" s="274"/>
    </row>
    <row r="700" spans="5:6" ht="39" customHeight="1">
      <c r="E700" s="274"/>
      <c r="F700" s="274"/>
    </row>
    <row r="701" spans="5:6" ht="39" customHeight="1">
      <c r="E701" s="274"/>
      <c r="F701" s="274"/>
    </row>
    <row r="702" spans="5:6" ht="39" customHeight="1">
      <c r="E702" s="274"/>
      <c r="F702" s="274"/>
    </row>
    <row r="703" spans="5:6" ht="39" customHeight="1">
      <c r="E703" s="274"/>
      <c r="F703" s="274"/>
    </row>
    <row r="704" spans="5:6" ht="39" customHeight="1">
      <c r="E704" s="274"/>
      <c r="F704" s="274"/>
    </row>
    <row r="705" spans="5:6" ht="39" customHeight="1">
      <c r="E705" s="274"/>
      <c r="F705" s="274"/>
    </row>
    <row r="706" spans="5:6" ht="39" customHeight="1">
      <c r="E706" s="274"/>
      <c r="F706" s="274"/>
    </row>
    <row r="707" spans="5:6" ht="39" customHeight="1">
      <c r="E707" s="274"/>
      <c r="F707" s="274"/>
    </row>
    <row r="708" spans="5:6" ht="39" customHeight="1">
      <c r="E708" s="274"/>
      <c r="F708" s="274"/>
    </row>
    <row r="709" spans="5:6" ht="39" customHeight="1">
      <c r="E709" s="274"/>
      <c r="F709" s="274"/>
    </row>
    <row r="710" spans="5:6" ht="39" customHeight="1">
      <c r="E710" s="274"/>
      <c r="F710" s="274"/>
    </row>
    <row r="711" spans="5:6" ht="39" customHeight="1">
      <c r="E711" s="274"/>
      <c r="F711" s="274"/>
    </row>
    <row r="712" spans="5:6" ht="39" customHeight="1">
      <c r="E712" s="274"/>
      <c r="F712" s="274"/>
    </row>
    <row r="713" spans="5:6" ht="39" customHeight="1">
      <c r="E713" s="274"/>
      <c r="F713" s="274"/>
    </row>
    <row r="714" spans="5:6" ht="39" customHeight="1">
      <c r="E714" s="274"/>
      <c r="F714" s="274"/>
    </row>
    <row r="715" spans="5:6" ht="39" customHeight="1">
      <c r="E715" s="274"/>
      <c r="F715" s="274"/>
    </row>
    <row r="716" spans="5:6" ht="39" customHeight="1">
      <c r="E716" s="274"/>
      <c r="F716" s="274"/>
    </row>
    <row r="717" spans="5:6" ht="39" customHeight="1">
      <c r="E717" s="274"/>
      <c r="F717" s="274"/>
    </row>
    <row r="718" spans="5:6" ht="39" customHeight="1">
      <c r="E718" s="274"/>
      <c r="F718" s="274"/>
    </row>
    <row r="719" spans="5:6" ht="39" customHeight="1">
      <c r="E719" s="274"/>
      <c r="F719" s="274"/>
    </row>
    <row r="720" spans="5:6" ht="39" customHeight="1">
      <c r="E720" s="274"/>
      <c r="F720" s="274"/>
    </row>
    <row r="721" spans="5:6" ht="39" customHeight="1">
      <c r="E721" s="274"/>
      <c r="F721" s="274"/>
    </row>
    <row r="722" spans="5:6" ht="39" customHeight="1">
      <c r="E722" s="274"/>
      <c r="F722" s="274"/>
    </row>
    <row r="723" spans="5:6" ht="39" customHeight="1">
      <c r="E723" s="274"/>
      <c r="F723" s="274"/>
    </row>
    <row r="724" spans="5:6" ht="39" customHeight="1">
      <c r="E724" s="274"/>
      <c r="F724" s="274"/>
    </row>
    <row r="725" spans="5:6" ht="39" customHeight="1">
      <c r="E725" s="274"/>
      <c r="F725" s="274"/>
    </row>
    <row r="726" spans="5:6" ht="39" customHeight="1">
      <c r="E726" s="274"/>
      <c r="F726" s="274"/>
    </row>
    <row r="727" spans="5:6" ht="39" customHeight="1">
      <c r="E727" s="274"/>
      <c r="F727" s="274"/>
    </row>
    <row r="728" spans="5:6" ht="39" customHeight="1">
      <c r="E728" s="274"/>
      <c r="F728" s="274"/>
    </row>
    <row r="729" spans="5:6" ht="39" customHeight="1">
      <c r="E729" s="274"/>
      <c r="F729" s="274"/>
    </row>
    <row r="730" spans="5:6" ht="39" customHeight="1">
      <c r="E730" s="274"/>
      <c r="F730" s="274"/>
    </row>
    <row r="731" spans="5:6" ht="39" customHeight="1">
      <c r="E731" s="274"/>
      <c r="F731" s="274"/>
    </row>
    <row r="732" spans="5:6" ht="39" customHeight="1">
      <c r="E732" s="274"/>
      <c r="F732" s="274"/>
    </row>
    <row r="733" spans="5:6" ht="39" customHeight="1">
      <c r="E733" s="274"/>
      <c r="F733" s="274"/>
    </row>
    <row r="734" spans="5:6" ht="39" customHeight="1">
      <c r="E734" s="274"/>
      <c r="F734" s="274"/>
    </row>
    <row r="735" spans="5:6" ht="39" customHeight="1">
      <c r="E735" s="274"/>
      <c r="F735" s="274"/>
    </row>
    <row r="736" spans="5:6" ht="39" customHeight="1">
      <c r="E736" s="274"/>
      <c r="F736" s="274"/>
    </row>
    <row r="737" spans="5:6" ht="39" customHeight="1">
      <c r="E737" s="274"/>
      <c r="F737" s="274"/>
    </row>
    <row r="738" spans="5:6" ht="39" customHeight="1">
      <c r="E738" s="274"/>
      <c r="F738" s="274"/>
    </row>
    <row r="739" spans="5:6" ht="39" customHeight="1">
      <c r="E739" s="274"/>
      <c r="F739" s="274"/>
    </row>
    <row r="740" spans="5:6" ht="39" customHeight="1">
      <c r="E740" s="274"/>
      <c r="F740" s="274"/>
    </row>
    <row r="741" spans="5:6" ht="39" customHeight="1">
      <c r="E741" s="274"/>
      <c r="F741" s="274"/>
    </row>
    <row r="742" spans="5:6" ht="39" customHeight="1">
      <c r="E742" s="274"/>
      <c r="F742" s="274"/>
    </row>
    <row r="743" spans="5:6" ht="39" customHeight="1">
      <c r="E743" s="274"/>
      <c r="F743" s="274"/>
    </row>
    <row r="744" spans="5:6" ht="39" customHeight="1">
      <c r="E744" s="274"/>
      <c r="F744" s="274"/>
    </row>
    <row r="745" spans="5:6" ht="39" customHeight="1">
      <c r="E745" s="274"/>
      <c r="F745" s="274"/>
    </row>
    <row r="746" spans="5:6" ht="39" customHeight="1">
      <c r="E746" s="274"/>
      <c r="F746" s="274"/>
    </row>
    <row r="747" spans="5:6" ht="39" customHeight="1">
      <c r="E747" s="274"/>
      <c r="F747" s="274"/>
    </row>
    <row r="748" spans="5:6" ht="39" customHeight="1">
      <c r="E748" s="274"/>
      <c r="F748" s="274"/>
    </row>
    <row r="749" spans="5:6" ht="39" customHeight="1">
      <c r="E749" s="274"/>
      <c r="F749" s="274"/>
    </row>
    <row r="750" spans="5:6" ht="39" customHeight="1">
      <c r="E750" s="274"/>
      <c r="F750" s="274"/>
    </row>
    <row r="751" spans="5:6" ht="39" customHeight="1">
      <c r="E751" s="274"/>
      <c r="F751" s="274"/>
    </row>
    <row r="752" spans="5:6" ht="39" customHeight="1">
      <c r="E752" s="274"/>
      <c r="F752" s="274"/>
    </row>
    <row r="753" spans="5:6" ht="39" customHeight="1">
      <c r="E753" s="274"/>
      <c r="F753" s="274"/>
    </row>
    <row r="754" spans="5:6" ht="39" customHeight="1">
      <c r="E754" s="274"/>
      <c r="F754" s="274"/>
    </row>
    <row r="755" spans="5:6" ht="39" customHeight="1">
      <c r="E755" s="274"/>
      <c r="F755" s="274"/>
    </row>
    <row r="756" spans="5:6" ht="39" customHeight="1">
      <c r="E756" s="274"/>
      <c r="F756" s="274"/>
    </row>
    <row r="757" spans="5:6" ht="39" customHeight="1">
      <c r="E757" s="274"/>
      <c r="F757" s="274"/>
    </row>
    <row r="758" spans="5:6" ht="39" customHeight="1">
      <c r="E758" s="274"/>
      <c r="F758" s="274"/>
    </row>
    <row r="759" spans="5:6" ht="39" customHeight="1">
      <c r="E759" s="274"/>
      <c r="F759" s="274"/>
    </row>
    <row r="760" spans="5:6" ht="39" customHeight="1">
      <c r="E760" s="274"/>
      <c r="F760" s="274"/>
    </row>
    <row r="761" spans="5:6" ht="39" customHeight="1">
      <c r="E761" s="274"/>
      <c r="F761" s="274"/>
    </row>
    <row r="762" spans="5:6" ht="39" customHeight="1">
      <c r="E762" s="274"/>
      <c r="F762" s="274"/>
    </row>
    <row r="763" spans="5:6" ht="39" customHeight="1">
      <c r="E763" s="274"/>
      <c r="F763" s="274"/>
    </row>
    <row r="764" spans="5:6" ht="39" customHeight="1">
      <c r="E764" s="274"/>
      <c r="F764" s="274"/>
    </row>
    <row r="765" spans="5:6" ht="39" customHeight="1">
      <c r="E765" s="274"/>
      <c r="F765" s="274"/>
    </row>
    <row r="766" spans="5:6" ht="39" customHeight="1">
      <c r="E766" s="274"/>
      <c r="F766" s="274"/>
    </row>
    <row r="767" spans="5:6" ht="39" customHeight="1">
      <c r="E767" s="274"/>
      <c r="F767" s="274"/>
    </row>
    <row r="768" spans="5:6" ht="39" customHeight="1">
      <c r="E768" s="274"/>
      <c r="F768" s="274"/>
    </row>
    <row r="769" spans="5:6" ht="39" customHeight="1">
      <c r="E769" s="274"/>
      <c r="F769" s="274"/>
    </row>
    <row r="770" spans="5:6" ht="39" customHeight="1">
      <c r="E770" s="274"/>
      <c r="F770" s="274"/>
    </row>
    <row r="771" spans="5:6" ht="39" customHeight="1">
      <c r="E771" s="274"/>
      <c r="F771" s="274"/>
    </row>
    <row r="772" spans="5:6" ht="39" customHeight="1">
      <c r="E772" s="274"/>
      <c r="F772" s="274"/>
    </row>
    <row r="773" spans="5:6" ht="39" customHeight="1">
      <c r="E773" s="274"/>
      <c r="F773" s="274"/>
    </row>
    <row r="774" spans="5:6" ht="39" customHeight="1">
      <c r="E774" s="274"/>
      <c r="F774" s="274"/>
    </row>
    <row r="775" spans="5:6" ht="39" customHeight="1">
      <c r="E775" s="274"/>
      <c r="F775" s="274"/>
    </row>
    <row r="776" spans="5:6" ht="39" customHeight="1">
      <c r="E776" s="274"/>
      <c r="F776" s="274"/>
    </row>
    <row r="777" spans="5:6" ht="39" customHeight="1">
      <c r="E777" s="274"/>
      <c r="F777" s="274"/>
    </row>
    <row r="778" spans="5:6" ht="39" customHeight="1">
      <c r="E778" s="274"/>
      <c r="F778" s="274"/>
    </row>
    <row r="779" spans="5:6" ht="39" customHeight="1">
      <c r="E779" s="274"/>
      <c r="F779" s="274"/>
    </row>
    <row r="780" spans="5:6" ht="39" customHeight="1">
      <c r="E780" s="274"/>
      <c r="F780" s="274"/>
    </row>
    <row r="781" spans="5:6" ht="39" customHeight="1">
      <c r="E781" s="274"/>
      <c r="F781" s="274"/>
    </row>
    <row r="782" spans="5:6" ht="39" customHeight="1">
      <c r="E782" s="274"/>
      <c r="F782" s="274"/>
    </row>
    <row r="783" spans="5:6" ht="39" customHeight="1">
      <c r="E783" s="274"/>
      <c r="F783" s="274"/>
    </row>
    <row r="784" spans="5:6" ht="39" customHeight="1">
      <c r="E784" s="274"/>
      <c r="F784" s="274"/>
    </row>
    <row r="785" spans="5:6" ht="39" customHeight="1">
      <c r="E785" s="274"/>
      <c r="F785" s="274"/>
    </row>
    <row r="786" spans="5:6" ht="39" customHeight="1">
      <c r="E786" s="274"/>
      <c r="F786" s="274"/>
    </row>
    <row r="787" spans="5:6" ht="39" customHeight="1">
      <c r="E787" s="274"/>
      <c r="F787" s="274"/>
    </row>
    <row r="788" spans="5:6" ht="39" customHeight="1">
      <c r="E788" s="274"/>
      <c r="F788" s="274"/>
    </row>
    <row r="789" spans="5:6" ht="39" customHeight="1">
      <c r="E789" s="274"/>
      <c r="F789" s="274"/>
    </row>
    <row r="790" spans="5:6" ht="39" customHeight="1">
      <c r="E790" s="274"/>
      <c r="F790" s="274"/>
    </row>
    <row r="791" spans="5:6" ht="39" customHeight="1">
      <c r="E791" s="274"/>
      <c r="F791" s="274"/>
    </row>
    <row r="792" spans="5:6" ht="39" customHeight="1">
      <c r="E792" s="274"/>
      <c r="F792" s="274"/>
    </row>
    <row r="793" spans="5:6" ht="39" customHeight="1">
      <c r="E793" s="274"/>
      <c r="F793" s="274"/>
    </row>
    <row r="794" spans="5:6" ht="39" customHeight="1">
      <c r="E794" s="274"/>
      <c r="F794" s="274"/>
    </row>
    <row r="795" spans="5:6" ht="39" customHeight="1">
      <c r="E795" s="274"/>
      <c r="F795" s="274"/>
    </row>
    <row r="796" spans="5:6" ht="39" customHeight="1">
      <c r="E796" s="274"/>
      <c r="F796" s="274"/>
    </row>
    <row r="797" spans="5:6" ht="39" customHeight="1">
      <c r="E797" s="274"/>
      <c r="F797" s="274"/>
    </row>
    <row r="798" spans="5:6" ht="39" customHeight="1">
      <c r="E798" s="274"/>
      <c r="F798" s="274"/>
    </row>
    <row r="799" spans="5:6" ht="39" customHeight="1">
      <c r="E799" s="274"/>
      <c r="F799" s="274"/>
    </row>
    <row r="800" spans="5:6" ht="39" customHeight="1">
      <c r="E800" s="274"/>
      <c r="F800" s="274"/>
    </row>
    <row r="801" spans="5:6" ht="39" customHeight="1">
      <c r="E801" s="274"/>
      <c r="F801" s="274"/>
    </row>
    <row r="802" spans="5:6" ht="39" customHeight="1">
      <c r="E802" s="274"/>
      <c r="F802" s="274"/>
    </row>
    <row r="803" spans="5:6" ht="39" customHeight="1">
      <c r="E803" s="274"/>
      <c r="F803" s="274"/>
    </row>
    <row r="804" spans="5:6" ht="39" customHeight="1">
      <c r="E804" s="274"/>
      <c r="F804" s="274"/>
    </row>
    <row r="805" spans="5:6" ht="39" customHeight="1">
      <c r="E805" s="274"/>
      <c r="F805" s="274"/>
    </row>
    <row r="806" spans="5:6" ht="39" customHeight="1">
      <c r="E806" s="274"/>
      <c r="F806" s="274"/>
    </row>
    <row r="807" spans="5:6" ht="39" customHeight="1">
      <c r="E807" s="274"/>
      <c r="F807" s="274"/>
    </row>
    <row r="808" spans="5:6" ht="39" customHeight="1">
      <c r="E808" s="274"/>
      <c r="F808" s="274"/>
    </row>
    <row r="809" spans="5:6" ht="39" customHeight="1">
      <c r="E809" s="274"/>
      <c r="F809" s="274"/>
    </row>
    <row r="810" spans="5:6" ht="39" customHeight="1">
      <c r="E810" s="274"/>
      <c r="F810" s="274"/>
    </row>
    <row r="811" spans="5:6" ht="39" customHeight="1">
      <c r="E811" s="274"/>
      <c r="F811" s="274"/>
    </row>
    <row r="812" spans="5:6" ht="39" customHeight="1">
      <c r="E812" s="274"/>
      <c r="F812" s="274"/>
    </row>
    <row r="813" spans="5:6" ht="39" customHeight="1">
      <c r="E813" s="274"/>
      <c r="F813" s="274"/>
    </row>
    <row r="814" spans="5:6" ht="39" customHeight="1">
      <c r="E814" s="274"/>
      <c r="F814" s="274"/>
    </row>
    <row r="815" spans="5:6" ht="39" customHeight="1">
      <c r="E815" s="274"/>
      <c r="F815" s="274"/>
    </row>
    <row r="816" spans="5:6" ht="39" customHeight="1">
      <c r="E816" s="274"/>
      <c r="F816" s="274"/>
    </row>
    <row r="817" spans="5:6" ht="39" customHeight="1">
      <c r="E817" s="274"/>
      <c r="F817" s="274"/>
    </row>
    <row r="818" spans="5:6" ht="39" customHeight="1">
      <c r="E818" s="274"/>
      <c r="F818" s="274"/>
    </row>
    <row r="819" spans="5:6" ht="39" customHeight="1">
      <c r="E819" s="274"/>
      <c r="F819" s="274"/>
    </row>
    <row r="820" spans="5:6" ht="39" customHeight="1">
      <c r="E820" s="274"/>
      <c r="F820" s="274"/>
    </row>
    <row r="821" spans="5:6" ht="39" customHeight="1">
      <c r="E821" s="274"/>
      <c r="F821" s="274"/>
    </row>
    <row r="822" spans="5:6" ht="39" customHeight="1">
      <c r="E822" s="274"/>
      <c r="F822" s="274"/>
    </row>
    <row r="823" spans="5:6" ht="39" customHeight="1">
      <c r="E823" s="274"/>
      <c r="F823" s="274"/>
    </row>
    <row r="824" spans="5:6" ht="39" customHeight="1">
      <c r="E824" s="274"/>
      <c r="F824" s="274"/>
    </row>
    <row r="825" spans="5:6" ht="39" customHeight="1">
      <c r="E825" s="274"/>
      <c r="F825" s="274"/>
    </row>
    <row r="826" spans="5:6" ht="39" customHeight="1">
      <c r="E826" s="274"/>
      <c r="F826" s="274"/>
    </row>
    <row r="827" spans="5:6" ht="39" customHeight="1">
      <c r="E827" s="274"/>
      <c r="F827" s="274"/>
    </row>
    <row r="828" spans="5:6" ht="39" customHeight="1">
      <c r="E828" s="274"/>
      <c r="F828" s="274"/>
    </row>
    <row r="829" spans="5:6" ht="39" customHeight="1">
      <c r="E829" s="274"/>
      <c r="F829" s="274"/>
    </row>
    <row r="830" spans="5:6" ht="39" customHeight="1">
      <c r="E830" s="274"/>
      <c r="F830" s="274"/>
    </row>
    <row r="831" spans="5:6" ht="39" customHeight="1">
      <c r="E831" s="274"/>
      <c r="F831" s="274"/>
    </row>
    <row r="832" spans="5:6" ht="39" customHeight="1">
      <c r="E832" s="274"/>
      <c r="F832" s="274"/>
    </row>
    <row r="833" spans="5:6" ht="39" customHeight="1">
      <c r="E833" s="274"/>
      <c r="F833" s="274"/>
    </row>
    <row r="834" spans="5:6" ht="39" customHeight="1">
      <c r="E834" s="274"/>
      <c r="F834" s="274"/>
    </row>
    <row r="835" spans="5:6" ht="39" customHeight="1">
      <c r="E835" s="274"/>
      <c r="F835" s="274"/>
    </row>
    <row r="836" spans="5:6" ht="39" customHeight="1">
      <c r="E836" s="274"/>
      <c r="F836" s="274"/>
    </row>
    <row r="837" spans="5:6" ht="39" customHeight="1">
      <c r="E837" s="274"/>
      <c r="F837" s="274"/>
    </row>
    <row r="838" spans="5:6" ht="39" customHeight="1">
      <c r="E838" s="274"/>
      <c r="F838" s="274"/>
    </row>
    <row r="839" spans="5:6" ht="39" customHeight="1">
      <c r="E839" s="274"/>
      <c r="F839" s="274"/>
    </row>
    <row r="840" spans="5:6" ht="39" customHeight="1">
      <c r="E840" s="274"/>
      <c r="F840" s="274"/>
    </row>
    <row r="841" spans="5:6" ht="39" customHeight="1">
      <c r="E841" s="274"/>
      <c r="F841" s="274"/>
    </row>
    <row r="842" spans="5:6" ht="39" customHeight="1">
      <c r="E842" s="274"/>
      <c r="F842" s="274"/>
    </row>
    <row r="843" spans="5:6" ht="39" customHeight="1">
      <c r="E843" s="274"/>
      <c r="F843" s="274"/>
    </row>
    <row r="844" spans="5:6" ht="39" customHeight="1">
      <c r="E844" s="274"/>
      <c r="F844" s="274"/>
    </row>
    <row r="845" spans="5:6" ht="39" customHeight="1">
      <c r="E845" s="274"/>
      <c r="F845" s="274"/>
    </row>
    <row r="846" spans="5:6" ht="39" customHeight="1">
      <c r="E846" s="274"/>
      <c r="F846" s="274"/>
    </row>
    <row r="847" spans="5:6" ht="39" customHeight="1">
      <c r="E847" s="274"/>
      <c r="F847" s="274"/>
    </row>
    <row r="848" spans="5:6" ht="39" customHeight="1">
      <c r="E848" s="274"/>
      <c r="F848" s="274"/>
    </row>
    <row r="849" spans="5:6" ht="39" customHeight="1">
      <c r="E849" s="274"/>
      <c r="F849" s="274"/>
    </row>
    <row r="850" spans="5:6" ht="39" customHeight="1">
      <c r="E850" s="274"/>
      <c r="F850" s="274"/>
    </row>
    <row r="851" spans="5:6" ht="39" customHeight="1">
      <c r="E851" s="274"/>
      <c r="F851" s="274"/>
    </row>
    <row r="852" spans="5:6" ht="39" customHeight="1">
      <c r="E852" s="274"/>
      <c r="F852" s="274"/>
    </row>
    <row r="853" spans="5:6" ht="39" customHeight="1">
      <c r="E853" s="274"/>
      <c r="F853" s="274"/>
    </row>
    <row r="854" spans="5:6" ht="39" customHeight="1">
      <c r="E854" s="274"/>
      <c r="F854" s="274"/>
    </row>
    <row r="855" spans="5:6" ht="39" customHeight="1">
      <c r="E855" s="274"/>
      <c r="F855" s="274"/>
    </row>
    <row r="856" spans="5:6" ht="39" customHeight="1">
      <c r="E856" s="274"/>
      <c r="F856" s="274"/>
    </row>
    <row r="857" spans="5:6" ht="39" customHeight="1">
      <c r="E857" s="274"/>
      <c r="F857" s="274"/>
    </row>
    <row r="858" spans="5:6" ht="39" customHeight="1">
      <c r="E858" s="274"/>
      <c r="F858" s="274"/>
    </row>
    <row r="859" spans="5:6" ht="39" customHeight="1">
      <c r="E859" s="274"/>
      <c r="F859" s="274"/>
    </row>
    <row r="860" spans="5:6" ht="39" customHeight="1">
      <c r="E860" s="274"/>
      <c r="F860" s="274"/>
    </row>
    <row r="861" spans="5:6" ht="39" customHeight="1">
      <c r="E861" s="274"/>
      <c r="F861" s="274"/>
    </row>
    <row r="862" spans="5:6" ht="39" customHeight="1">
      <c r="E862" s="274"/>
      <c r="F862" s="274"/>
    </row>
    <row r="863" spans="5:6" ht="39" customHeight="1">
      <c r="E863" s="274"/>
      <c r="F863" s="274"/>
    </row>
    <row r="864" spans="5:6" ht="39" customHeight="1">
      <c r="E864" s="274"/>
      <c r="F864" s="274"/>
    </row>
    <row r="865" spans="5:6" ht="39" customHeight="1">
      <c r="E865" s="274"/>
      <c r="F865" s="274"/>
    </row>
    <row r="866" spans="5:6" ht="39" customHeight="1">
      <c r="E866" s="274"/>
      <c r="F866" s="274"/>
    </row>
    <row r="867" spans="5:6" ht="39" customHeight="1">
      <c r="E867" s="274"/>
      <c r="F867" s="274"/>
    </row>
    <row r="868" spans="5:6" ht="39" customHeight="1">
      <c r="E868" s="274"/>
      <c r="F868" s="274"/>
    </row>
    <row r="869" spans="5:6" ht="39" customHeight="1">
      <c r="E869" s="274"/>
      <c r="F869" s="274"/>
    </row>
    <row r="870" spans="5:6" ht="39" customHeight="1">
      <c r="E870" s="274"/>
      <c r="F870" s="274"/>
    </row>
    <row r="871" spans="5:6" ht="39" customHeight="1">
      <c r="E871" s="274"/>
      <c r="F871" s="274"/>
    </row>
    <row r="872" spans="5:6" ht="39" customHeight="1">
      <c r="E872" s="274"/>
      <c r="F872" s="274"/>
    </row>
    <row r="873" spans="5:6" ht="39" customHeight="1">
      <c r="E873" s="274"/>
      <c r="F873" s="274"/>
    </row>
    <row r="874" spans="5:6" ht="39" customHeight="1">
      <c r="E874" s="274"/>
      <c r="F874" s="274"/>
    </row>
    <row r="875" spans="5:6" ht="39" customHeight="1">
      <c r="E875" s="274"/>
      <c r="F875" s="274"/>
    </row>
    <row r="876" spans="5:6" ht="39" customHeight="1">
      <c r="E876" s="274"/>
      <c r="F876" s="274"/>
    </row>
    <row r="877" spans="5:6" ht="39" customHeight="1">
      <c r="E877" s="274"/>
      <c r="F877" s="274"/>
    </row>
    <row r="878" spans="5:6" ht="39" customHeight="1">
      <c r="E878" s="274"/>
      <c r="F878" s="274"/>
    </row>
    <row r="879" spans="5:6" ht="39" customHeight="1">
      <c r="E879" s="274"/>
      <c r="F879" s="274"/>
    </row>
    <row r="880" spans="5:6" ht="39" customHeight="1">
      <c r="E880" s="274"/>
      <c r="F880" s="274"/>
    </row>
    <row r="881" spans="5:6" ht="39" customHeight="1">
      <c r="E881" s="274"/>
      <c r="F881" s="274"/>
    </row>
    <row r="882" spans="5:6" ht="39" customHeight="1">
      <c r="E882" s="274"/>
      <c r="F882" s="274"/>
    </row>
    <row r="883" spans="5:6" ht="39" customHeight="1">
      <c r="E883" s="274"/>
      <c r="F883" s="274"/>
    </row>
    <row r="884" spans="5:6" ht="39" customHeight="1">
      <c r="E884" s="274"/>
      <c r="F884" s="274"/>
    </row>
    <row r="885" spans="5:6" ht="39" customHeight="1">
      <c r="E885" s="274"/>
      <c r="F885" s="274"/>
    </row>
    <row r="886" spans="5:6" ht="39" customHeight="1">
      <c r="E886" s="274"/>
      <c r="F886" s="274"/>
    </row>
    <row r="887" spans="5:6" ht="39" customHeight="1">
      <c r="E887" s="274"/>
      <c r="F887" s="274"/>
    </row>
    <row r="888" spans="5:6" ht="39" customHeight="1">
      <c r="E888" s="274"/>
      <c r="F888" s="274"/>
    </row>
    <row r="889" spans="5:6" ht="39" customHeight="1">
      <c r="E889" s="274"/>
      <c r="F889" s="274"/>
    </row>
    <row r="890" spans="5:6" ht="39" customHeight="1">
      <c r="E890" s="274"/>
      <c r="F890" s="274"/>
    </row>
    <row r="891" spans="5:6" ht="39" customHeight="1">
      <c r="E891" s="274"/>
      <c r="F891" s="274"/>
    </row>
    <row r="892" spans="5:6" ht="39" customHeight="1">
      <c r="E892" s="274"/>
      <c r="F892" s="274"/>
    </row>
    <row r="893" spans="5:6" ht="39" customHeight="1">
      <c r="E893" s="274"/>
      <c r="F893" s="274"/>
    </row>
    <row r="894" spans="5:6" ht="39" customHeight="1">
      <c r="E894" s="274"/>
      <c r="F894" s="274"/>
    </row>
    <row r="895" spans="5:6" ht="39" customHeight="1">
      <c r="E895" s="274"/>
      <c r="F895" s="274"/>
    </row>
    <row r="896" spans="5:6" ht="39" customHeight="1">
      <c r="E896" s="274"/>
      <c r="F896" s="274"/>
    </row>
    <row r="897" spans="5:6" ht="39" customHeight="1">
      <c r="E897" s="274"/>
      <c r="F897" s="274"/>
    </row>
    <row r="898" spans="5:6" ht="39" customHeight="1">
      <c r="E898" s="274"/>
      <c r="F898" s="274"/>
    </row>
    <row r="899" spans="5:6" ht="39" customHeight="1">
      <c r="E899" s="274"/>
      <c r="F899" s="274"/>
    </row>
    <row r="900" spans="5:6" ht="39" customHeight="1">
      <c r="E900" s="274"/>
      <c r="F900" s="274"/>
    </row>
    <row r="901" spans="5:6" ht="39" customHeight="1">
      <c r="E901" s="274"/>
      <c r="F901" s="274"/>
    </row>
    <row r="902" spans="5:6" ht="39" customHeight="1">
      <c r="E902" s="274"/>
      <c r="F902" s="274"/>
    </row>
    <row r="903" spans="5:6" ht="39" customHeight="1">
      <c r="E903" s="274"/>
      <c r="F903" s="274"/>
    </row>
    <row r="904" spans="5:6" ht="39" customHeight="1">
      <c r="E904" s="274"/>
      <c r="F904" s="274"/>
    </row>
    <row r="905" spans="5:6" ht="39" customHeight="1">
      <c r="E905" s="274"/>
      <c r="F905" s="274"/>
    </row>
    <row r="906" spans="5:6" ht="39" customHeight="1">
      <c r="E906" s="274"/>
      <c r="F906" s="274"/>
    </row>
    <row r="907" spans="5:6" ht="39" customHeight="1">
      <c r="E907" s="274"/>
      <c r="F907" s="274"/>
    </row>
    <row r="908" spans="5:6" ht="39" customHeight="1">
      <c r="E908" s="274"/>
      <c r="F908" s="274"/>
    </row>
    <row r="909" spans="5:6" ht="39" customHeight="1">
      <c r="E909" s="274"/>
      <c r="F909" s="274"/>
    </row>
    <row r="910" spans="5:6" ht="39" customHeight="1">
      <c r="E910" s="274"/>
      <c r="F910" s="274"/>
    </row>
    <row r="911" spans="5:6" ht="39" customHeight="1">
      <c r="E911" s="274"/>
      <c r="F911" s="274"/>
    </row>
    <row r="912" spans="5:6" ht="39" customHeight="1">
      <c r="E912" s="274"/>
      <c r="F912" s="274"/>
    </row>
    <row r="913" spans="5:6" ht="39" customHeight="1">
      <c r="E913" s="274"/>
      <c r="F913" s="274"/>
    </row>
    <row r="914" spans="5:6" ht="39" customHeight="1">
      <c r="E914" s="274"/>
      <c r="F914" s="274"/>
    </row>
    <row r="915" spans="5:6" ht="39" customHeight="1">
      <c r="E915" s="274"/>
      <c r="F915" s="274"/>
    </row>
    <row r="916" spans="5:6" ht="39" customHeight="1">
      <c r="E916" s="274"/>
      <c r="F916" s="274"/>
    </row>
    <row r="917" spans="5:6" ht="39" customHeight="1">
      <c r="E917" s="274"/>
      <c r="F917" s="274"/>
    </row>
    <row r="918" spans="5:6" ht="39" customHeight="1">
      <c r="E918" s="274"/>
      <c r="F918" s="274"/>
    </row>
    <row r="919" spans="5:6" ht="39" customHeight="1">
      <c r="E919" s="274"/>
      <c r="F919" s="274"/>
    </row>
    <row r="920" spans="5:6" ht="39" customHeight="1">
      <c r="E920" s="274"/>
      <c r="F920" s="274"/>
    </row>
    <row r="921" spans="5:6" ht="39" customHeight="1">
      <c r="E921" s="274"/>
      <c r="F921" s="274"/>
    </row>
    <row r="922" spans="5:6" ht="39" customHeight="1">
      <c r="E922" s="274"/>
      <c r="F922" s="274"/>
    </row>
    <row r="923" spans="5:6" ht="39" customHeight="1">
      <c r="E923" s="274"/>
      <c r="F923" s="274"/>
    </row>
    <row r="924" spans="5:6" ht="39" customHeight="1">
      <c r="E924" s="274"/>
      <c r="F924" s="274"/>
    </row>
    <row r="925" spans="5:6" ht="39" customHeight="1">
      <c r="E925" s="274"/>
      <c r="F925" s="274"/>
    </row>
    <row r="926" spans="5:6" ht="39" customHeight="1">
      <c r="E926" s="274"/>
      <c r="F926" s="274"/>
    </row>
    <row r="927" spans="5:6" ht="39" customHeight="1">
      <c r="E927" s="274"/>
      <c r="F927" s="274"/>
    </row>
    <row r="928" spans="5:6" ht="39" customHeight="1">
      <c r="E928" s="274"/>
      <c r="F928" s="274"/>
    </row>
    <row r="929" spans="5:6" ht="39" customHeight="1">
      <c r="E929" s="274"/>
      <c r="F929" s="274"/>
    </row>
    <row r="930" spans="5:6" ht="39" customHeight="1">
      <c r="E930" s="274"/>
      <c r="F930" s="274"/>
    </row>
    <row r="931" spans="5:6" ht="39" customHeight="1">
      <c r="E931" s="274"/>
      <c r="F931" s="274"/>
    </row>
    <row r="932" spans="5:6" ht="39" customHeight="1">
      <c r="E932" s="274"/>
      <c r="F932" s="274"/>
    </row>
    <row r="933" spans="5:6" ht="39" customHeight="1">
      <c r="E933" s="274"/>
      <c r="F933" s="274"/>
    </row>
    <row r="934" spans="5:6" ht="39" customHeight="1">
      <c r="E934" s="274"/>
      <c r="F934" s="274"/>
    </row>
    <row r="935" spans="5:6" ht="39" customHeight="1">
      <c r="E935" s="274"/>
      <c r="F935" s="274"/>
    </row>
    <row r="936" spans="5:6" ht="39" customHeight="1">
      <c r="E936" s="274"/>
      <c r="F936" s="274"/>
    </row>
    <row r="937" spans="5:6" ht="39" customHeight="1">
      <c r="E937" s="274"/>
      <c r="F937" s="274"/>
    </row>
    <row r="938" spans="5:6" ht="39" customHeight="1">
      <c r="E938" s="274"/>
      <c r="F938" s="274"/>
    </row>
    <row r="939" spans="5:6" ht="39" customHeight="1">
      <c r="E939" s="274"/>
      <c r="F939" s="274"/>
    </row>
    <row r="940" spans="5:6" ht="39" customHeight="1">
      <c r="E940" s="274"/>
      <c r="F940" s="274"/>
    </row>
    <row r="941" spans="5:6" ht="39" customHeight="1">
      <c r="E941" s="274"/>
      <c r="F941" s="274"/>
    </row>
    <row r="942" spans="5:6" ht="39" customHeight="1">
      <c r="E942" s="274"/>
      <c r="F942" s="274"/>
    </row>
    <row r="943" spans="5:6" ht="39" customHeight="1">
      <c r="E943" s="274"/>
      <c r="F943" s="274"/>
    </row>
    <row r="944" spans="5:6" ht="39" customHeight="1">
      <c r="E944" s="274"/>
      <c r="F944" s="274"/>
    </row>
    <row r="945" spans="5:6" ht="39" customHeight="1">
      <c r="E945" s="274"/>
      <c r="F945" s="274"/>
    </row>
    <row r="946" spans="5:6" ht="39" customHeight="1">
      <c r="E946" s="274"/>
      <c r="F946" s="274"/>
    </row>
    <row r="947" spans="5:6" ht="39" customHeight="1">
      <c r="E947" s="274"/>
      <c r="F947" s="274"/>
    </row>
    <row r="948" spans="5:6" ht="39" customHeight="1">
      <c r="E948" s="274"/>
      <c r="F948" s="274"/>
    </row>
    <row r="949" spans="5:6" ht="39" customHeight="1">
      <c r="E949" s="274"/>
      <c r="F949" s="274"/>
    </row>
    <row r="950" spans="5:6" ht="39" customHeight="1">
      <c r="E950" s="274"/>
      <c r="F950" s="274"/>
    </row>
    <row r="951" spans="5:6" ht="39" customHeight="1">
      <c r="E951" s="274"/>
      <c r="F951" s="274"/>
    </row>
    <row r="952" spans="5:6" ht="39" customHeight="1">
      <c r="E952" s="274"/>
      <c r="F952" s="274"/>
    </row>
    <row r="953" spans="5:6" ht="39" customHeight="1">
      <c r="E953" s="274"/>
      <c r="F953" s="274"/>
    </row>
    <row r="954" spans="5:6" ht="39" customHeight="1">
      <c r="E954" s="274"/>
      <c r="F954" s="274"/>
    </row>
    <row r="955" spans="5:6" ht="39" customHeight="1">
      <c r="E955" s="274"/>
      <c r="F955" s="274"/>
    </row>
    <row r="956" spans="5:6" ht="39" customHeight="1">
      <c r="E956" s="274"/>
      <c r="F956" s="274"/>
    </row>
    <row r="957" spans="5:6" ht="39" customHeight="1">
      <c r="E957" s="274"/>
      <c r="F957" s="274"/>
    </row>
    <row r="958" spans="5:6" ht="39" customHeight="1">
      <c r="E958" s="274"/>
      <c r="F958" s="274"/>
    </row>
    <row r="959" spans="5:6" ht="39" customHeight="1">
      <c r="E959" s="274"/>
      <c r="F959" s="274"/>
    </row>
    <row r="960" spans="5:6" ht="39" customHeight="1">
      <c r="E960" s="274"/>
      <c r="F960" s="274"/>
    </row>
    <row r="961" spans="5:6" ht="39" customHeight="1">
      <c r="E961" s="274"/>
      <c r="F961" s="274"/>
    </row>
    <row r="962" spans="5:6" ht="39" customHeight="1">
      <c r="E962" s="274"/>
      <c r="F962" s="274"/>
    </row>
    <row r="963" spans="5:6" ht="39" customHeight="1">
      <c r="E963" s="274"/>
      <c r="F963" s="274"/>
    </row>
    <row r="964" spans="5:6" ht="39" customHeight="1">
      <c r="E964" s="274"/>
      <c r="F964" s="274"/>
    </row>
    <row r="965" spans="5:6" ht="39" customHeight="1">
      <c r="E965" s="274"/>
      <c r="F965" s="274"/>
    </row>
    <row r="966" spans="5:6" ht="39" customHeight="1">
      <c r="E966" s="274"/>
      <c r="F966" s="274"/>
    </row>
    <row r="967" spans="5:6" ht="39" customHeight="1">
      <c r="E967" s="274"/>
      <c r="F967" s="274"/>
    </row>
    <row r="968" spans="5:6" ht="39" customHeight="1">
      <c r="E968" s="274"/>
      <c r="F968" s="274"/>
    </row>
    <row r="969" spans="5:6" ht="39" customHeight="1">
      <c r="E969" s="274"/>
      <c r="F969" s="274"/>
    </row>
    <row r="970" spans="5:6" ht="39" customHeight="1">
      <c r="E970" s="274"/>
      <c r="F970" s="274"/>
    </row>
    <row r="971" spans="5:6" ht="39" customHeight="1">
      <c r="E971" s="274"/>
      <c r="F971" s="274"/>
    </row>
    <row r="972" spans="5:6" ht="39" customHeight="1">
      <c r="E972" s="274"/>
      <c r="F972" s="274"/>
    </row>
    <row r="973" spans="5:6" ht="39" customHeight="1">
      <c r="E973" s="274"/>
      <c r="F973" s="274"/>
    </row>
    <row r="974" spans="5:6" ht="39" customHeight="1">
      <c r="E974" s="274"/>
      <c r="F974" s="274"/>
    </row>
    <row r="975" spans="5:6" ht="39" customHeight="1">
      <c r="E975" s="274"/>
      <c r="F975" s="274"/>
    </row>
    <row r="976" spans="5:6" ht="39" customHeight="1">
      <c r="E976" s="274"/>
      <c r="F976" s="274"/>
    </row>
    <row r="977" spans="5:6" ht="39" customHeight="1">
      <c r="E977" s="274"/>
      <c r="F977" s="274"/>
    </row>
    <row r="978" spans="5:6" ht="39" customHeight="1">
      <c r="E978" s="274"/>
      <c r="F978" s="274"/>
    </row>
    <row r="979" spans="5:6" ht="39" customHeight="1">
      <c r="E979" s="274"/>
      <c r="F979" s="274"/>
    </row>
    <row r="980" spans="5:6" ht="39" customHeight="1">
      <c r="E980" s="274"/>
      <c r="F980" s="274"/>
    </row>
    <row r="981" spans="5:6" ht="39" customHeight="1">
      <c r="E981" s="274"/>
      <c r="F981" s="274"/>
    </row>
    <row r="982" spans="5:6" ht="39" customHeight="1">
      <c r="E982" s="274"/>
      <c r="F982" s="274"/>
    </row>
    <row r="983" spans="5:6" ht="39" customHeight="1">
      <c r="E983" s="274"/>
      <c r="F983" s="274"/>
    </row>
    <row r="984" spans="5:6" ht="39" customHeight="1">
      <c r="E984" s="274"/>
      <c r="F984" s="274"/>
    </row>
    <row r="985" spans="5:6" ht="39" customHeight="1">
      <c r="E985" s="274"/>
      <c r="F985" s="274"/>
    </row>
    <row r="986" spans="5:6" ht="39" customHeight="1">
      <c r="E986" s="274"/>
      <c r="F986" s="274"/>
    </row>
    <row r="987" spans="5:6" ht="39" customHeight="1">
      <c r="E987" s="274"/>
      <c r="F987" s="274"/>
    </row>
    <row r="988" spans="5:6" ht="39" customHeight="1">
      <c r="E988" s="274"/>
      <c r="F988" s="274"/>
    </row>
    <row r="989" spans="5:6" ht="39" customHeight="1">
      <c r="E989" s="274"/>
      <c r="F989" s="274"/>
    </row>
    <row r="990" spans="5:6" ht="39" customHeight="1">
      <c r="E990" s="274"/>
      <c r="F990" s="274"/>
    </row>
    <row r="991" spans="5:6" ht="39" customHeight="1">
      <c r="E991" s="274"/>
      <c r="F991" s="274"/>
    </row>
    <row r="992" spans="5:6" ht="39" customHeight="1">
      <c r="E992" s="274"/>
      <c r="F992" s="274"/>
    </row>
    <row r="993" spans="5:6" ht="39" customHeight="1">
      <c r="E993" s="274"/>
      <c r="F993" s="274"/>
    </row>
    <row r="994" spans="5:6" ht="39" customHeight="1">
      <c r="E994" s="274"/>
      <c r="F994" s="274"/>
    </row>
    <row r="995" spans="5:6" ht="39" customHeight="1">
      <c r="E995" s="274"/>
      <c r="F995" s="274"/>
    </row>
    <row r="996" spans="5:6" ht="39" customHeight="1">
      <c r="E996" s="274"/>
      <c r="F996" s="274"/>
    </row>
    <row r="997" spans="5:6" ht="39" customHeight="1">
      <c r="E997" s="274"/>
      <c r="F997" s="274"/>
    </row>
    <row r="998" spans="5:6" ht="39" customHeight="1">
      <c r="E998" s="274"/>
      <c r="F998" s="274"/>
    </row>
    <row r="999" spans="5:6" ht="39" customHeight="1">
      <c r="E999" s="274"/>
      <c r="F999" s="274"/>
    </row>
    <row r="1000" spans="5:6" ht="39" customHeight="1">
      <c r="E1000" s="274"/>
      <c r="F1000" s="274"/>
    </row>
    <row r="1001" spans="5:6" ht="39" customHeight="1">
      <c r="E1001" s="274"/>
      <c r="F1001" s="274"/>
    </row>
    <row r="1002" spans="5:6" ht="39" customHeight="1">
      <c r="E1002" s="274"/>
      <c r="F1002" s="274"/>
    </row>
    <row r="1003" spans="5:6" ht="39" customHeight="1">
      <c r="E1003" s="274"/>
      <c r="F1003" s="274"/>
    </row>
    <row r="1004" spans="5:6" ht="39" customHeight="1">
      <c r="E1004" s="274"/>
      <c r="F1004" s="274"/>
    </row>
    <row r="1005" spans="5:6" ht="39" customHeight="1">
      <c r="E1005" s="274"/>
      <c r="F1005" s="274"/>
    </row>
    <row r="1006" spans="5:6" ht="39" customHeight="1">
      <c r="E1006" s="274"/>
      <c r="F1006" s="274"/>
    </row>
    <row r="1007" spans="5:6" ht="39" customHeight="1">
      <c r="E1007" s="274"/>
      <c r="F1007" s="274"/>
    </row>
    <row r="1008" spans="5:6" ht="39" customHeight="1">
      <c r="E1008" s="274"/>
      <c r="F1008" s="274"/>
    </row>
    <row r="1009" spans="5:6" ht="39" customHeight="1">
      <c r="E1009" s="274"/>
      <c r="F1009" s="274"/>
    </row>
    <row r="1010" spans="5:6" ht="39" customHeight="1">
      <c r="E1010" s="274"/>
      <c r="F1010" s="274"/>
    </row>
    <row r="1011" spans="5:6" ht="39" customHeight="1">
      <c r="E1011" s="274"/>
      <c r="F1011" s="274"/>
    </row>
    <row r="1012" spans="5:6" ht="39" customHeight="1">
      <c r="E1012" s="274"/>
      <c r="F1012" s="274"/>
    </row>
    <row r="1013" spans="5:6" ht="39" customHeight="1">
      <c r="E1013" s="274"/>
      <c r="F1013" s="274"/>
    </row>
    <row r="1014" spans="5:6" ht="39" customHeight="1">
      <c r="E1014" s="274"/>
      <c r="F1014" s="274"/>
    </row>
    <row r="1015" spans="5:6" ht="39" customHeight="1">
      <c r="E1015" s="274"/>
      <c r="F1015" s="274"/>
    </row>
    <row r="1016" spans="5:6" ht="39" customHeight="1">
      <c r="E1016" s="274"/>
      <c r="F1016" s="274"/>
    </row>
    <row r="1017" spans="5:6" ht="39" customHeight="1">
      <c r="E1017" s="274"/>
      <c r="F1017" s="274"/>
    </row>
    <row r="1018" spans="5:6" ht="39" customHeight="1">
      <c r="E1018" s="274"/>
      <c r="F1018" s="274"/>
    </row>
    <row r="1019" spans="5:6" ht="39" customHeight="1">
      <c r="E1019" s="274"/>
      <c r="F1019" s="274"/>
    </row>
    <row r="1020" spans="5:6" ht="39" customHeight="1">
      <c r="E1020" s="274"/>
      <c r="F1020" s="274"/>
    </row>
    <row r="1021" spans="5:6" ht="39" customHeight="1">
      <c r="E1021" s="274"/>
      <c r="F1021" s="274"/>
    </row>
    <row r="1022" spans="5:6" ht="39" customHeight="1">
      <c r="E1022" s="274"/>
      <c r="F1022" s="274"/>
    </row>
    <row r="1023" spans="5:6" ht="39" customHeight="1">
      <c r="E1023" s="274"/>
      <c r="F1023" s="274"/>
    </row>
    <row r="1024" spans="5:6" ht="39" customHeight="1">
      <c r="E1024" s="274"/>
      <c r="F1024" s="274"/>
    </row>
    <row r="1025" spans="5:6" ht="39" customHeight="1">
      <c r="E1025" s="274"/>
      <c r="F1025" s="274"/>
    </row>
    <row r="1026" spans="5:6" ht="39" customHeight="1">
      <c r="E1026" s="274"/>
      <c r="F1026" s="274"/>
    </row>
    <row r="1027" spans="5:6" ht="39" customHeight="1">
      <c r="E1027" s="274"/>
      <c r="F1027" s="274"/>
    </row>
    <row r="1028" spans="5:6" ht="39" customHeight="1">
      <c r="E1028" s="274"/>
      <c r="F1028" s="274"/>
    </row>
    <row r="1029" spans="5:6" ht="39" customHeight="1">
      <c r="E1029" s="274"/>
      <c r="F1029" s="274"/>
    </row>
    <row r="1030" spans="5:6" ht="39" customHeight="1">
      <c r="E1030" s="274"/>
      <c r="F1030" s="274"/>
    </row>
    <row r="1031" spans="5:6" ht="39" customHeight="1">
      <c r="E1031" s="274"/>
      <c r="F1031" s="274"/>
    </row>
    <row r="1032" spans="5:6" ht="39" customHeight="1">
      <c r="E1032" s="274"/>
      <c r="F1032" s="274"/>
    </row>
    <row r="1033" spans="5:6" ht="39" customHeight="1">
      <c r="E1033" s="274"/>
      <c r="F1033" s="274"/>
    </row>
    <row r="1034" spans="5:6" ht="39" customHeight="1">
      <c r="E1034" s="274"/>
      <c r="F1034" s="274"/>
    </row>
    <row r="1035" spans="5:6" ht="39" customHeight="1">
      <c r="E1035" s="274"/>
      <c r="F1035" s="274"/>
    </row>
    <row r="1036" spans="5:6" ht="39" customHeight="1">
      <c r="E1036" s="274"/>
      <c r="F1036" s="274"/>
    </row>
    <row r="1037" spans="5:6" ht="39" customHeight="1">
      <c r="E1037" s="274"/>
      <c r="F1037" s="274"/>
    </row>
    <row r="1038" spans="5:6" ht="39" customHeight="1">
      <c r="E1038" s="274"/>
      <c r="F1038" s="274"/>
    </row>
    <row r="1039" spans="5:6" ht="39" customHeight="1">
      <c r="E1039" s="274"/>
      <c r="F1039" s="274"/>
    </row>
    <row r="1040" spans="5:6" ht="39" customHeight="1">
      <c r="E1040" s="274"/>
      <c r="F1040" s="274"/>
    </row>
    <row r="1041" spans="5:6" ht="39" customHeight="1">
      <c r="E1041" s="274"/>
      <c r="F1041" s="274"/>
    </row>
    <row r="1042" spans="5:6" ht="39" customHeight="1">
      <c r="E1042" s="274"/>
      <c r="F1042" s="274"/>
    </row>
    <row r="1043" spans="5:6" ht="39" customHeight="1">
      <c r="E1043" s="274"/>
      <c r="F1043" s="274"/>
    </row>
    <row r="1044" spans="5:6" ht="39" customHeight="1">
      <c r="E1044" s="274"/>
      <c r="F1044" s="274"/>
    </row>
    <row r="1045" spans="5:6" ht="39" customHeight="1">
      <c r="E1045" s="274"/>
      <c r="F1045" s="274"/>
    </row>
    <row r="1046" spans="5:6" ht="39" customHeight="1">
      <c r="E1046" s="274"/>
      <c r="F1046" s="274"/>
    </row>
    <row r="1047" spans="5:6" ht="39" customHeight="1">
      <c r="E1047" s="274"/>
      <c r="F1047" s="274"/>
    </row>
    <row r="1048" spans="5:6" ht="39" customHeight="1">
      <c r="E1048" s="274"/>
      <c r="F1048" s="274"/>
    </row>
    <row r="1049" spans="5:6" ht="39" customHeight="1">
      <c r="E1049" s="274"/>
      <c r="F1049" s="274"/>
    </row>
    <row r="1050" spans="5:6" ht="39" customHeight="1">
      <c r="E1050" s="274"/>
      <c r="F1050" s="274"/>
    </row>
    <row r="1051" spans="5:6" ht="39" customHeight="1">
      <c r="E1051" s="274"/>
      <c r="F1051" s="274"/>
    </row>
    <row r="1052" spans="5:6" ht="39" customHeight="1">
      <c r="E1052" s="274"/>
      <c r="F1052" s="274"/>
    </row>
    <row r="1053" spans="5:6" ht="39" customHeight="1">
      <c r="E1053" s="274"/>
      <c r="F1053" s="274"/>
    </row>
    <row r="1054" spans="5:6" ht="39" customHeight="1">
      <c r="E1054" s="274"/>
      <c r="F1054" s="274"/>
    </row>
    <row r="1055" spans="5:6" ht="39" customHeight="1">
      <c r="E1055" s="274"/>
      <c r="F1055" s="274"/>
    </row>
    <row r="1056" spans="5:6" ht="39" customHeight="1">
      <c r="E1056" s="274"/>
      <c r="F1056" s="274"/>
    </row>
    <row r="1057" spans="5:6" ht="39" customHeight="1">
      <c r="E1057" s="274"/>
      <c r="F1057" s="274"/>
    </row>
    <row r="1058" spans="5:6" ht="39" customHeight="1">
      <c r="E1058" s="274"/>
      <c r="F1058" s="274"/>
    </row>
    <row r="1059" spans="5:6" ht="39" customHeight="1">
      <c r="E1059" s="274"/>
      <c r="F1059" s="274"/>
    </row>
    <row r="1060" spans="5:6" ht="39" customHeight="1">
      <c r="E1060" s="274"/>
      <c r="F1060" s="274"/>
    </row>
    <row r="1061" spans="5:6" ht="39" customHeight="1">
      <c r="E1061" s="274"/>
      <c r="F1061" s="274"/>
    </row>
    <row r="1062" spans="5:6" ht="39" customHeight="1">
      <c r="E1062" s="274"/>
      <c r="F1062" s="274"/>
    </row>
    <row r="1063" spans="5:6" ht="39" customHeight="1">
      <c r="E1063" s="274"/>
      <c r="F1063" s="274"/>
    </row>
    <row r="1064" spans="5:6" ht="39" customHeight="1">
      <c r="E1064" s="274"/>
      <c r="F1064" s="274"/>
    </row>
    <row r="1065" spans="5:6" ht="39" customHeight="1">
      <c r="E1065" s="274"/>
      <c r="F1065" s="274"/>
    </row>
    <row r="1066" spans="5:6" ht="39" customHeight="1">
      <c r="E1066" s="274"/>
      <c r="F1066" s="274"/>
    </row>
    <row r="1067" spans="5:6" ht="39" customHeight="1">
      <c r="E1067" s="274"/>
      <c r="F1067" s="274"/>
    </row>
    <row r="1068" spans="5:6" ht="39" customHeight="1">
      <c r="E1068" s="274"/>
      <c r="F1068" s="274"/>
    </row>
    <row r="1069" spans="5:6" ht="39" customHeight="1">
      <c r="E1069" s="274"/>
      <c r="F1069" s="274"/>
    </row>
    <row r="1070" spans="5:6" ht="39" customHeight="1">
      <c r="E1070" s="274"/>
      <c r="F1070" s="274"/>
    </row>
    <row r="1071" spans="5:6" ht="39" customHeight="1">
      <c r="E1071" s="274"/>
      <c r="F1071" s="274"/>
    </row>
    <row r="1072" spans="5:6" ht="39" customHeight="1">
      <c r="E1072" s="274"/>
      <c r="F1072" s="274"/>
    </row>
    <row r="1073" spans="5:6" ht="39" customHeight="1">
      <c r="E1073" s="274"/>
      <c r="F1073" s="274"/>
    </row>
    <row r="1074" spans="5:6" ht="39" customHeight="1">
      <c r="E1074" s="274"/>
      <c r="F1074" s="274"/>
    </row>
    <row r="1075" spans="5:6" ht="39" customHeight="1">
      <c r="E1075" s="274"/>
      <c r="F1075" s="274"/>
    </row>
    <row r="1076" spans="5:6" ht="39" customHeight="1">
      <c r="E1076" s="274"/>
      <c r="F1076" s="274"/>
    </row>
    <row r="1077" spans="5:6" ht="39" customHeight="1">
      <c r="E1077" s="274"/>
      <c r="F1077" s="274"/>
    </row>
    <row r="1078" spans="5:6" ht="39" customHeight="1">
      <c r="E1078" s="274"/>
      <c r="F1078" s="274"/>
    </row>
    <row r="1079" spans="5:6" ht="39" customHeight="1">
      <c r="E1079" s="274"/>
      <c r="F1079" s="274"/>
    </row>
    <row r="1080" spans="5:6" ht="39" customHeight="1">
      <c r="E1080" s="274"/>
      <c r="F1080" s="274"/>
    </row>
    <row r="1081" spans="5:6" ht="39" customHeight="1">
      <c r="E1081" s="274"/>
      <c r="F1081" s="274"/>
    </row>
    <row r="1082" spans="5:6" ht="39" customHeight="1">
      <c r="E1082" s="274"/>
      <c r="F1082" s="274"/>
    </row>
    <row r="1083" spans="5:6" ht="39" customHeight="1">
      <c r="E1083" s="274"/>
      <c r="F1083" s="274"/>
    </row>
    <row r="1084" spans="5:6" ht="39" customHeight="1">
      <c r="E1084" s="274"/>
      <c r="F1084" s="274"/>
    </row>
    <row r="1085" spans="5:6" ht="39" customHeight="1">
      <c r="E1085" s="274"/>
      <c r="F1085" s="274"/>
    </row>
    <row r="1086" spans="5:6" ht="39" customHeight="1">
      <c r="E1086" s="274"/>
      <c r="F1086" s="274"/>
    </row>
    <row r="1087" spans="5:6" ht="39" customHeight="1">
      <c r="E1087" s="274"/>
      <c r="F1087" s="274"/>
    </row>
    <row r="1088" spans="5:6" ht="39" customHeight="1">
      <c r="E1088" s="274"/>
      <c r="F1088" s="274"/>
    </row>
    <row r="1089" spans="5:6" ht="39" customHeight="1">
      <c r="E1089" s="274"/>
      <c r="F1089" s="274"/>
    </row>
    <row r="1090" spans="5:6" ht="39" customHeight="1">
      <c r="E1090" s="274"/>
      <c r="F1090" s="274"/>
    </row>
    <row r="1091" spans="5:6" ht="39" customHeight="1">
      <c r="E1091" s="274"/>
      <c r="F1091" s="274"/>
    </row>
    <row r="1092" spans="5:6" ht="39" customHeight="1">
      <c r="E1092" s="274"/>
      <c r="F1092" s="274"/>
    </row>
    <row r="1093" spans="5:6" ht="39" customHeight="1">
      <c r="E1093" s="274"/>
      <c r="F1093" s="274"/>
    </row>
    <row r="1094" spans="5:6" ht="39" customHeight="1">
      <c r="E1094" s="274"/>
      <c r="F1094" s="274"/>
    </row>
    <row r="1095" spans="5:6" ht="39" customHeight="1">
      <c r="E1095" s="274"/>
      <c r="F1095" s="274"/>
    </row>
    <row r="1096" spans="5:6" ht="39" customHeight="1">
      <c r="E1096" s="274"/>
      <c r="F1096" s="274"/>
    </row>
    <row r="1097" spans="5:6" ht="39" customHeight="1">
      <c r="E1097" s="274"/>
      <c r="F1097" s="274"/>
    </row>
    <row r="1098" spans="5:6" ht="39" customHeight="1">
      <c r="E1098" s="274"/>
      <c r="F1098" s="274"/>
    </row>
    <row r="1099" spans="5:6" ht="39" customHeight="1">
      <c r="E1099" s="274"/>
      <c r="F1099" s="274"/>
    </row>
    <row r="1100" spans="5:6" ht="39" customHeight="1">
      <c r="E1100" s="274"/>
      <c r="F1100" s="274"/>
    </row>
    <row r="1101" spans="5:6" ht="39" customHeight="1">
      <c r="E1101" s="274"/>
      <c r="F1101" s="274"/>
    </row>
    <row r="1102" spans="5:6" ht="39" customHeight="1">
      <c r="E1102" s="274"/>
      <c r="F1102" s="274"/>
    </row>
    <row r="1103" spans="5:6" ht="39" customHeight="1">
      <c r="E1103" s="274"/>
      <c r="F1103" s="274"/>
    </row>
    <row r="1104" spans="5:6" ht="39" customHeight="1">
      <c r="E1104" s="274"/>
      <c r="F1104" s="274"/>
    </row>
    <row r="1105" spans="5:6" ht="39" customHeight="1">
      <c r="E1105" s="274"/>
      <c r="F1105" s="274"/>
    </row>
    <row r="1106" spans="5:6" ht="39" customHeight="1">
      <c r="E1106" s="274"/>
      <c r="F1106" s="274"/>
    </row>
    <row r="1107" spans="5:6" ht="39" customHeight="1">
      <c r="E1107" s="274"/>
      <c r="F1107" s="274"/>
    </row>
    <row r="1108" spans="5:6" ht="39" customHeight="1">
      <c r="E1108" s="274"/>
      <c r="F1108" s="274"/>
    </row>
    <row r="1109" spans="5:6" ht="39" customHeight="1">
      <c r="E1109" s="274"/>
      <c r="F1109" s="274"/>
    </row>
    <row r="1110" spans="5:6" ht="39" customHeight="1">
      <c r="E1110" s="274"/>
      <c r="F1110" s="274"/>
    </row>
    <row r="1111" spans="5:6" ht="39" customHeight="1">
      <c r="E1111" s="274"/>
      <c r="F1111" s="274"/>
    </row>
    <row r="1112" spans="5:6" ht="39" customHeight="1">
      <c r="E1112" s="274"/>
      <c r="F1112" s="274"/>
    </row>
    <row r="1113" spans="5:6" ht="39" customHeight="1">
      <c r="E1113" s="274"/>
      <c r="F1113" s="274"/>
    </row>
    <row r="1114" spans="5:6" ht="39" customHeight="1">
      <c r="E1114" s="274"/>
      <c r="F1114" s="274"/>
    </row>
    <row r="1115" spans="5:6" ht="39" customHeight="1">
      <c r="E1115" s="274"/>
      <c r="F1115" s="274"/>
    </row>
    <row r="1116" spans="5:6" ht="39" customHeight="1">
      <c r="E1116" s="274"/>
      <c r="F1116" s="274"/>
    </row>
    <row r="1117" spans="5:6" ht="39" customHeight="1">
      <c r="E1117" s="274"/>
      <c r="F1117" s="274"/>
    </row>
    <row r="1118" spans="5:6" ht="39" customHeight="1">
      <c r="E1118" s="274"/>
      <c r="F1118" s="274"/>
    </row>
    <row r="1119" spans="5:6" ht="39" customHeight="1">
      <c r="E1119" s="274"/>
      <c r="F1119" s="274"/>
    </row>
    <row r="1120" spans="5:6" ht="39" customHeight="1">
      <c r="E1120" s="274"/>
      <c r="F1120" s="274"/>
    </row>
    <row r="1121" spans="5:6" ht="39" customHeight="1">
      <c r="E1121" s="274"/>
      <c r="F1121" s="274"/>
    </row>
    <row r="1122" spans="5:6" ht="39" customHeight="1">
      <c r="E1122" s="274"/>
      <c r="F1122" s="274"/>
    </row>
    <row r="1123" spans="5:6" ht="39" customHeight="1">
      <c r="E1123" s="274"/>
      <c r="F1123" s="274"/>
    </row>
    <row r="1124" spans="5:6" ht="39" customHeight="1">
      <c r="E1124" s="274"/>
      <c r="F1124" s="274"/>
    </row>
    <row r="1125" spans="5:6" ht="39" customHeight="1">
      <c r="E1125" s="274"/>
      <c r="F1125" s="274"/>
    </row>
    <row r="1126" spans="5:6" ht="39" customHeight="1">
      <c r="E1126" s="274"/>
      <c r="F1126" s="274"/>
    </row>
    <row r="1127" spans="5:6" ht="39" customHeight="1">
      <c r="E1127" s="274"/>
      <c r="F1127" s="274"/>
    </row>
    <row r="1128" spans="5:6" ht="39" customHeight="1">
      <c r="E1128" s="274"/>
      <c r="F1128" s="274"/>
    </row>
    <row r="1129" spans="5:6" ht="39" customHeight="1">
      <c r="E1129" s="274"/>
      <c r="F1129" s="274"/>
    </row>
    <row r="1130" spans="5:6" ht="39" customHeight="1">
      <c r="E1130" s="274"/>
      <c r="F1130" s="274"/>
    </row>
    <row r="1131" spans="5:6" ht="39" customHeight="1">
      <c r="E1131" s="274"/>
      <c r="F1131" s="274"/>
    </row>
    <row r="1132" spans="5:6" ht="39" customHeight="1">
      <c r="E1132" s="274"/>
      <c r="F1132" s="274"/>
    </row>
    <row r="1133" spans="5:6" ht="39" customHeight="1">
      <c r="E1133" s="274"/>
      <c r="F1133" s="274"/>
    </row>
    <row r="1134" spans="5:6" ht="39" customHeight="1">
      <c r="E1134" s="274"/>
      <c r="F1134" s="274"/>
    </row>
    <row r="1135" spans="5:6" ht="39" customHeight="1">
      <c r="E1135" s="274"/>
      <c r="F1135" s="274"/>
    </row>
    <row r="1136" spans="5:6" ht="39" customHeight="1">
      <c r="E1136" s="274"/>
      <c r="F1136" s="274"/>
    </row>
    <row r="1137" spans="5:6" ht="39" customHeight="1">
      <c r="E1137" s="274"/>
      <c r="F1137" s="274"/>
    </row>
    <row r="1138" spans="5:6" ht="39" customHeight="1">
      <c r="E1138" s="274"/>
      <c r="F1138" s="274"/>
    </row>
    <row r="1139" spans="5:6" ht="39" customHeight="1">
      <c r="E1139" s="274"/>
      <c r="F1139" s="274"/>
    </row>
    <row r="1140" spans="5:6" ht="39" customHeight="1">
      <c r="E1140" s="274"/>
      <c r="F1140" s="274"/>
    </row>
    <row r="1141" spans="5:6" ht="39" customHeight="1">
      <c r="E1141" s="274"/>
      <c r="F1141" s="274"/>
    </row>
    <row r="1142" spans="5:6" ht="39" customHeight="1">
      <c r="E1142" s="274"/>
      <c r="F1142" s="274"/>
    </row>
    <row r="1143" spans="5:6" ht="39" customHeight="1">
      <c r="E1143" s="274"/>
      <c r="F1143" s="274"/>
    </row>
    <row r="1144" spans="5:6" ht="39" customHeight="1">
      <c r="E1144" s="274"/>
      <c r="F1144" s="274"/>
    </row>
    <row r="1145" spans="5:6" ht="39" customHeight="1">
      <c r="E1145" s="274"/>
      <c r="F1145" s="274"/>
    </row>
    <row r="1146" spans="5:6" ht="39" customHeight="1">
      <c r="E1146" s="274"/>
      <c r="F1146" s="274"/>
    </row>
    <row r="1147" spans="5:6" ht="39" customHeight="1">
      <c r="E1147" s="274"/>
      <c r="F1147" s="274"/>
    </row>
    <row r="1148" spans="5:6" ht="39" customHeight="1">
      <c r="E1148" s="274"/>
      <c r="F1148" s="274"/>
    </row>
    <row r="1149" spans="5:6" ht="39" customHeight="1">
      <c r="E1149" s="274"/>
      <c r="F1149" s="274"/>
    </row>
    <row r="1150" spans="5:6" ht="39" customHeight="1">
      <c r="E1150" s="274"/>
      <c r="F1150" s="274"/>
    </row>
    <row r="1151" spans="5:6" ht="39" customHeight="1">
      <c r="E1151" s="274"/>
      <c r="F1151" s="274"/>
    </row>
    <row r="1152" spans="5:6" ht="39" customHeight="1">
      <c r="E1152" s="274"/>
      <c r="F1152" s="274"/>
    </row>
    <row r="1153" spans="5:6" ht="39" customHeight="1">
      <c r="E1153" s="274"/>
      <c r="F1153" s="274"/>
    </row>
    <row r="1154" spans="5:6" ht="39" customHeight="1">
      <c r="E1154" s="274"/>
      <c r="F1154" s="274"/>
    </row>
    <row r="1155" spans="5:6" ht="39" customHeight="1">
      <c r="E1155" s="274"/>
      <c r="F1155" s="274"/>
    </row>
    <row r="1156" spans="5:6" ht="39" customHeight="1">
      <c r="E1156" s="274"/>
      <c r="F1156" s="274"/>
    </row>
    <row r="1157" spans="5:6" ht="39" customHeight="1">
      <c r="E1157" s="274"/>
      <c r="F1157" s="274"/>
    </row>
    <row r="1158" spans="5:6" ht="39" customHeight="1">
      <c r="E1158" s="274"/>
      <c r="F1158" s="274"/>
    </row>
    <row r="1159" spans="5:6" ht="39" customHeight="1">
      <c r="E1159" s="274"/>
      <c r="F1159" s="274"/>
    </row>
    <row r="1160" spans="5:6" ht="39" customHeight="1">
      <c r="E1160" s="274"/>
      <c r="F1160" s="274"/>
    </row>
    <row r="1161" spans="5:6" ht="39" customHeight="1">
      <c r="E1161" s="274"/>
      <c r="F1161" s="274"/>
    </row>
    <row r="1162" spans="5:6" ht="39" customHeight="1">
      <c r="E1162" s="274"/>
      <c r="F1162" s="274"/>
    </row>
    <row r="1163" spans="5:6" ht="39" customHeight="1">
      <c r="E1163" s="274"/>
      <c r="F1163" s="274"/>
    </row>
    <row r="1164" spans="5:6" ht="39" customHeight="1">
      <c r="E1164" s="274"/>
      <c r="F1164" s="274"/>
    </row>
    <row r="1165" spans="5:6" ht="39" customHeight="1">
      <c r="E1165" s="274"/>
      <c r="F1165" s="274"/>
    </row>
    <row r="1166" spans="5:6" ht="39" customHeight="1">
      <c r="E1166" s="274"/>
      <c r="F1166" s="274"/>
    </row>
    <row r="1167" spans="5:6" ht="39" customHeight="1">
      <c r="E1167" s="274"/>
      <c r="F1167" s="274"/>
    </row>
    <row r="1168" spans="5:6" ht="39" customHeight="1">
      <c r="E1168" s="274"/>
      <c r="F1168" s="274"/>
    </row>
    <row r="1169" spans="5:6" ht="39" customHeight="1">
      <c r="E1169" s="274"/>
      <c r="F1169" s="274"/>
    </row>
    <row r="1170" spans="5:6" ht="39" customHeight="1">
      <c r="E1170" s="274"/>
      <c r="F1170" s="274"/>
    </row>
    <row r="1171" spans="5:6" ht="39" customHeight="1">
      <c r="E1171" s="274"/>
      <c r="F1171" s="274"/>
    </row>
    <row r="1172" spans="5:6" ht="39" customHeight="1">
      <c r="E1172" s="274"/>
      <c r="F1172" s="274"/>
    </row>
    <row r="1173" spans="5:6" ht="39" customHeight="1">
      <c r="E1173" s="274"/>
      <c r="F1173" s="274"/>
    </row>
    <row r="1174" spans="5:6" ht="39" customHeight="1">
      <c r="E1174" s="274"/>
      <c r="F1174" s="274"/>
    </row>
    <row r="1175" spans="5:6" ht="39" customHeight="1">
      <c r="E1175" s="274"/>
      <c r="F1175" s="274"/>
    </row>
    <row r="1176" spans="5:6" ht="39" customHeight="1">
      <c r="E1176" s="274"/>
      <c r="F1176" s="274"/>
    </row>
    <row r="1177" spans="5:6" ht="39" customHeight="1">
      <c r="E1177" s="274"/>
      <c r="F1177" s="274"/>
    </row>
    <row r="1178" spans="5:6" ht="39" customHeight="1">
      <c r="E1178" s="274"/>
      <c r="F1178" s="274"/>
    </row>
    <row r="1179" spans="5:6" ht="39" customHeight="1">
      <c r="E1179" s="274"/>
      <c r="F1179" s="274"/>
    </row>
    <row r="1180" spans="5:6" ht="39" customHeight="1">
      <c r="E1180" s="274"/>
      <c r="F1180" s="274"/>
    </row>
    <row r="1181" spans="5:6" ht="39" customHeight="1">
      <c r="E1181" s="274"/>
      <c r="F1181" s="274"/>
    </row>
    <row r="1182" spans="5:6" ht="39" customHeight="1">
      <c r="E1182" s="274"/>
      <c r="F1182" s="274"/>
    </row>
    <row r="1183" spans="5:6" ht="39" customHeight="1">
      <c r="E1183" s="274"/>
      <c r="F1183" s="274"/>
    </row>
    <row r="1184" spans="5:6" ht="39" customHeight="1">
      <c r="E1184" s="274"/>
      <c r="F1184" s="274"/>
    </row>
    <row r="1185" spans="5:6" ht="39" customHeight="1">
      <c r="E1185" s="274"/>
      <c r="F1185" s="274"/>
    </row>
    <row r="1186" spans="5:6" ht="39" customHeight="1">
      <c r="E1186" s="274"/>
      <c r="F1186" s="274"/>
    </row>
    <row r="1187" spans="5:6" ht="39" customHeight="1">
      <c r="E1187" s="274"/>
      <c r="F1187" s="274"/>
    </row>
    <row r="1188" spans="5:6" ht="39" customHeight="1">
      <c r="E1188" s="274"/>
      <c r="F1188" s="274"/>
    </row>
    <row r="1189" spans="5:6" ht="39" customHeight="1">
      <c r="E1189" s="274"/>
      <c r="F1189" s="274"/>
    </row>
    <row r="1190" spans="5:6" ht="39" customHeight="1">
      <c r="E1190" s="274"/>
      <c r="F1190" s="274"/>
    </row>
    <row r="1191" spans="5:6" ht="39" customHeight="1">
      <c r="E1191" s="274"/>
      <c r="F1191" s="274"/>
    </row>
    <row r="1192" spans="5:6" ht="39" customHeight="1">
      <c r="E1192" s="274"/>
      <c r="F1192" s="274"/>
    </row>
    <row r="1193" spans="5:6" ht="39" customHeight="1">
      <c r="E1193" s="274"/>
      <c r="F1193" s="274"/>
    </row>
    <row r="1194" spans="5:6" ht="39" customHeight="1">
      <c r="E1194" s="274"/>
      <c r="F1194" s="274"/>
    </row>
    <row r="1195" spans="5:6" ht="39" customHeight="1">
      <c r="E1195" s="274"/>
      <c r="F1195" s="274"/>
    </row>
    <row r="1196" spans="5:6" ht="39" customHeight="1">
      <c r="E1196" s="274"/>
      <c r="F1196" s="274"/>
    </row>
    <row r="1197" spans="5:6" ht="39" customHeight="1">
      <c r="E1197" s="274"/>
      <c r="F1197" s="274"/>
    </row>
    <row r="1198" spans="5:6" ht="39" customHeight="1">
      <c r="E1198" s="274"/>
      <c r="F1198" s="274"/>
    </row>
    <row r="1199" spans="5:6" ht="39" customHeight="1">
      <c r="E1199" s="274"/>
      <c r="F1199" s="274"/>
    </row>
    <row r="1200" spans="5:6" ht="39" customHeight="1">
      <c r="E1200" s="274"/>
      <c r="F1200" s="274"/>
    </row>
    <row r="1201" spans="5:6" ht="39" customHeight="1">
      <c r="E1201" s="274"/>
      <c r="F1201" s="274"/>
    </row>
    <row r="1202" spans="5:6" ht="39" customHeight="1">
      <c r="E1202" s="274"/>
      <c r="F1202" s="274"/>
    </row>
    <row r="1203" spans="5:6" ht="39" customHeight="1">
      <c r="E1203" s="274"/>
      <c r="F1203" s="274"/>
    </row>
    <row r="1204" spans="5:6" ht="39" customHeight="1">
      <c r="E1204" s="274"/>
      <c r="F1204" s="274"/>
    </row>
    <row r="1205" spans="5:6" ht="39" customHeight="1">
      <c r="E1205" s="274"/>
      <c r="F1205" s="274"/>
    </row>
    <row r="1206" spans="5:6" ht="39" customHeight="1">
      <c r="E1206" s="274"/>
      <c r="F1206" s="274"/>
    </row>
    <row r="1207" spans="5:6" ht="39" customHeight="1">
      <c r="E1207" s="274"/>
      <c r="F1207" s="274"/>
    </row>
    <row r="1208" spans="5:6" ht="39" customHeight="1">
      <c r="E1208" s="274"/>
      <c r="F1208" s="274"/>
    </row>
    <row r="1209" spans="5:6" ht="39" customHeight="1">
      <c r="E1209" s="274"/>
      <c r="F1209" s="274"/>
    </row>
    <row r="1210" spans="5:6" ht="39" customHeight="1">
      <c r="E1210" s="274"/>
      <c r="F1210" s="274"/>
    </row>
    <row r="1211" spans="5:6" ht="39" customHeight="1">
      <c r="E1211" s="274"/>
      <c r="F1211" s="274"/>
    </row>
    <row r="1212" spans="5:6" ht="39" customHeight="1">
      <c r="E1212" s="274"/>
      <c r="F1212" s="274"/>
    </row>
    <row r="1213" spans="5:6" ht="39" customHeight="1">
      <c r="E1213" s="274"/>
      <c r="F1213" s="274"/>
    </row>
    <row r="1214" spans="5:6" ht="39" customHeight="1">
      <c r="E1214" s="274"/>
      <c r="F1214" s="274"/>
    </row>
    <row r="1215" spans="5:6" ht="39" customHeight="1">
      <c r="E1215" s="274"/>
      <c r="F1215" s="274"/>
    </row>
    <row r="1216" spans="5:6" ht="39" customHeight="1">
      <c r="E1216" s="274"/>
      <c r="F1216" s="274"/>
    </row>
    <row r="1217" spans="5:6" ht="39" customHeight="1">
      <c r="E1217" s="274"/>
      <c r="F1217" s="274"/>
    </row>
    <row r="1218" spans="5:6" ht="39" customHeight="1">
      <c r="E1218" s="274"/>
      <c r="F1218" s="274"/>
    </row>
    <row r="1219" spans="5:6" ht="39" customHeight="1">
      <c r="E1219" s="274"/>
      <c r="F1219" s="274"/>
    </row>
    <row r="1220" spans="5:6" ht="39" customHeight="1">
      <c r="E1220" s="274"/>
      <c r="F1220" s="274"/>
    </row>
    <row r="1221" spans="5:6" ht="39" customHeight="1">
      <c r="E1221" s="274"/>
      <c r="F1221" s="274"/>
    </row>
    <row r="1222" spans="5:6" ht="39" customHeight="1">
      <c r="E1222" s="274"/>
      <c r="F1222" s="274"/>
    </row>
    <row r="1223" spans="5:6" ht="39" customHeight="1">
      <c r="E1223" s="274"/>
      <c r="F1223" s="274"/>
    </row>
    <row r="1224" spans="5:6" ht="39" customHeight="1">
      <c r="E1224" s="274"/>
      <c r="F1224" s="274"/>
    </row>
    <row r="1225" spans="5:6" ht="39" customHeight="1">
      <c r="E1225" s="274"/>
      <c r="F1225" s="274"/>
    </row>
    <row r="1226" spans="5:6" ht="39" customHeight="1">
      <c r="E1226" s="274"/>
      <c r="F1226" s="274"/>
    </row>
    <row r="1227" spans="5:6" ht="39" customHeight="1">
      <c r="E1227" s="274"/>
      <c r="F1227" s="274"/>
    </row>
    <row r="1228" spans="5:6" ht="39" customHeight="1">
      <c r="E1228" s="274"/>
      <c r="F1228" s="274"/>
    </row>
    <row r="1229" spans="5:6" ht="39" customHeight="1">
      <c r="E1229" s="274"/>
      <c r="F1229" s="274"/>
    </row>
    <row r="1230" spans="5:6" ht="39" customHeight="1">
      <c r="E1230" s="274"/>
      <c r="F1230" s="274"/>
    </row>
    <row r="1231" spans="5:6" ht="39" customHeight="1">
      <c r="E1231" s="274"/>
      <c r="F1231" s="274"/>
    </row>
    <row r="1232" spans="5:6" ht="39" customHeight="1">
      <c r="E1232" s="274"/>
      <c r="F1232" s="274"/>
    </row>
    <row r="1233" spans="5:6" ht="39" customHeight="1">
      <c r="E1233" s="274"/>
      <c r="F1233" s="274"/>
    </row>
    <row r="1234" spans="5:6" ht="39" customHeight="1">
      <c r="E1234" s="274"/>
      <c r="F1234" s="274"/>
    </row>
    <row r="1235" spans="5:6" ht="39" customHeight="1">
      <c r="E1235" s="274"/>
      <c r="F1235" s="274"/>
    </row>
    <row r="1236" spans="5:6" ht="39" customHeight="1">
      <c r="E1236" s="274"/>
      <c r="F1236" s="274"/>
    </row>
    <row r="1237" spans="5:6" ht="39" customHeight="1">
      <c r="E1237" s="274"/>
      <c r="F1237" s="274"/>
    </row>
    <row r="1238" spans="5:6" ht="39" customHeight="1">
      <c r="E1238" s="274"/>
      <c r="F1238" s="274"/>
    </row>
    <row r="1239" spans="5:6" ht="39" customHeight="1">
      <c r="E1239" s="274"/>
      <c r="F1239" s="274"/>
    </row>
    <row r="1240" spans="5:6" ht="39" customHeight="1">
      <c r="E1240" s="274"/>
      <c r="F1240" s="274"/>
    </row>
    <row r="1241" spans="5:6" ht="39" customHeight="1">
      <c r="E1241" s="274"/>
      <c r="F1241" s="274"/>
    </row>
    <row r="1242" spans="5:6" ht="39" customHeight="1">
      <c r="E1242" s="274"/>
      <c r="F1242" s="274"/>
    </row>
    <row r="1243" spans="5:6" ht="39" customHeight="1">
      <c r="E1243" s="274"/>
      <c r="F1243" s="274"/>
    </row>
    <row r="1244" spans="5:6" ht="39" customHeight="1">
      <c r="E1244" s="274"/>
      <c r="F1244" s="274"/>
    </row>
    <row r="1245" spans="5:6" ht="39" customHeight="1">
      <c r="E1245" s="274"/>
      <c r="F1245" s="274"/>
    </row>
    <row r="1246" spans="5:6" ht="39" customHeight="1">
      <c r="E1246" s="274"/>
      <c r="F1246" s="274"/>
    </row>
    <row r="1247" spans="5:6" ht="39" customHeight="1">
      <c r="E1247" s="274"/>
      <c r="F1247" s="274"/>
    </row>
    <row r="1248" spans="5:6" ht="39" customHeight="1">
      <c r="E1248" s="274"/>
      <c r="F1248" s="274"/>
    </row>
    <row r="1249" spans="5:6" ht="39" customHeight="1">
      <c r="E1249" s="274"/>
      <c r="F1249" s="274"/>
    </row>
    <row r="1250" spans="5:6" ht="39" customHeight="1">
      <c r="E1250" s="274"/>
      <c r="F1250" s="274"/>
    </row>
    <row r="1251" spans="5:6" ht="39" customHeight="1">
      <c r="E1251" s="274"/>
      <c r="F1251" s="274"/>
    </row>
    <row r="1252" spans="5:6" ht="39" customHeight="1">
      <c r="E1252" s="274"/>
      <c r="F1252" s="274"/>
    </row>
    <row r="1253" spans="5:6" ht="39" customHeight="1">
      <c r="E1253" s="274"/>
      <c r="F1253" s="274"/>
    </row>
    <row r="1254" spans="5:6" ht="39" customHeight="1">
      <c r="E1254" s="274"/>
      <c r="F1254" s="274"/>
    </row>
    <row r="1255" spans="5:6" ht="39" customHeight="1">
      <c r="E1255" s="274"/>
      <c r="F1255" s="274"/>
    </row>
    <row r="1256" spans="5:6" ht="39" customHeight="1">
      <c r="E1256" s="274"/>
      <c r="F1256" s="274"/>
    </row>
    <row r="1257" spans="5:6" ht="39" customHeight="1">
      <c r="E1257" s="274"/>
      <c r="F1257" s="274"/>
    </row>
    <row r="1258" spans="5:6" ht="39" customHeight="1">
      <c r="E1258" s="274"/>
      <c r="F1258" s="274"/>
    </row>
    <row r="1259" spans="5:6" ht="39" customHeight="1">
      <c r="E1259" s="274"/>
      <c r="F1259" s="274"/>
    </row>
    <row r="1260" spans="5:6" ht="39" customHeight="1">
      <c r="E1260" s="274"/>
      <c r="F1260" s="274"/>
    </row>
    <row r="1261" spans="5:6" ht="39" customHeight="1">
      <c r="E1261" s="274"/>
      <c r="F1261" s="274"/>
    </row>
    <row r="1262" spans="5:6" ht="39" customHeight="1">
      <c r="E1262" s="274"/>
      <c r="F1262" s="274"/>
    </row>
    <row r="1263" spans="5:6" ht="39" customHeight="1">
      <c r="E1263" s="274"/>
      <c r="F1263" s="274"/>
    </row>
    <row r="1264" spans="5:6" ht="39" customHeight="1">
      <c r="E1264" s="274"/>
      <c r="F1264" s="274"/>
    </row>
    <row r="1265" spans="5:6" ht="39" customHeight="1">
      <c r="E1265" s="274"/>
      <c r="F1265" s="274"/>
    </row>
    <row r="1266" spans="5:6" ht="39" customHeight="1">
      <c r="E1266" s="274"/>
      <c r="F1266" s="274"/>
    </row>
    <row r="1267" spans="5:6" ht="39" customHeight="1">
      <c r="E1267" s="274"/>
      <c r="F1267" s="274"/>
    </row>
    <row r="1268" spans="5:6" ht="39" customHeight="1">
      <c r="E1268" s="274"/>
      <c r="F1268" s="274"/>
    </row>
    <row r="1269" spans="5:6" ht="39" customHeight="1">
      <c r="E1269" s="274"/>
      <c r="F1269" s="274"/>
    </row>
    <row r="1270" spans="5:6" ht="39" customHeight="1">
      <c r="E1270" s="274"/>
      <c r="F1270" s="274"/>
    </row>
    <row r="1271" spans="5:6" ht="39" customHeight="1">
      <c r="E1271" s="274"/>
      <c r="F1271" s="274"/>
    </row>
    <row r="1272" spans="5:6" ht="39" customHeight="1">
      <c r="E1272" s="274"/>
      <c r="F1272" s="274"/>
    </row>
    <row r="1273" spans="5:6" ht="39" customHeight="1">
      <c r="E1273" s="274"/>
      <c r="F1273" s="274"/>
    </row>
    <row r="1274" spans="5:6" ht="39" customHeight="1">
      <c r="E1274" s="274"/>
      <c r="F1274" s="274"/>
    </row>
    <row r="1275" spans="5:6" ht="39" customHeight="1">
      <c r="E1275" s="274"/>
      <c r="F1275" s="274"/>
    </row>
    <row r="1276" spans="5:6" ht="39" customHeight="1">
      <c r="E1276" s="274"/>
      <c r="F1276" s="274"/>
    </row>
    <row r="1277" spans="5:6" ht="39" customHeight="1">
      <c r="E1277" s="274"/>
      <c r="F1277" s="274"/>
    </row>
    <row r="1278" spans="5:6" ht="39" customHeight="1">
      <c r="E1278" s="274"/>
      <c r="F1278" s="274"/>
    </row>
    <row r="1279" spans="5:6" ht="39" customHeight="1">
      <c r="E1279" s="274"/>
      <c r="F1279" s="274"/>
    </row>
    <row r="1280" spans="5:6" ht="39" customHeight="1">
      <c r="E1280" s="274"/>
      <c r="F1280" s="274"/>
    </row>
    <row r="1281" spans="5:6" ht="39" customHeight="1">
      <c r="E1281" s="274"/>
      <c r="F1281" s="274"/>
    </row>
    <row r="1282" spans="5:6" ht="39" customHeight="1">
      <c r="E1282" s="274"/>
      <c r="F1282" s="274"/>
    </row>
    <row r="1283" spans="5:6" ht="39" customHeight="1">
      <c r="E1283" s="274"/>
      <c r="F1283" s="274"/>
    </row>
    <row r="1284" spans="5:6" ht="39" customHeight="1">
      <c r="E1284" s="274"/>
      <c r="F1284" s="274"/>
    </row>
    <row r="1285" spans="5:6" ht="39" customHeight="1">
      <c r="E1285" s="274"/>
      <c r="F1285" s="274"/>
    </row>
    <row r="1286" spans="5:6" ht="39" customHeight="1">
      <c r="E1286" s="274"/>
      <c r="F1286" s="274"/>
    </row>
    <row r="1287" spans="5:6" ht="39" customHeight="1">
      <c r="E1287" s="274"/>
      <c r="F1287" s="274"/>
    </row>
    <row r="1288" spans="5:6" ht="39" customHeight="1">
      <c r="E1288" s="274"/>
      <c r="F1288" s="274"/>
    </row>
    <row r="1289" spans="5:6" ht="39" customHeight="1">
      <c r="E1289" s="274"/>
      <c r="F1289" s="274"/>
    </row>
    <row r="1290" spans="5:6" ht="39" customHeight="1">
      <c r="E1290" s="274"/>
      <c r="F1290" s="274"/>
    </row>
    <row r="1291" spans="5:6" ht="39" customHeight="1">
      <c r="E1291" s="274"/>
      <c r="F1291" s="274"/>
    </row>
    <row r="1292" spans="5:6" ht="39" customHeight="1">
      <c r="E1292" s="274"/>
      <c r="F1292" s="274"/>
    </row>
    <row r="1293" spans="5:6" ht="39" customHeight="1">
      <c r="E1293" s="274"/>
      <c r="F1293" s="274"/>
    </row>
    <row r="1294" spans="5:6" ht="39" customHeight="1">
      <c r="E1294" s="274"/>
      <c r="F1294" s="274"/>
    </row>
    <row r="1295" spans="5:6" ht="39" customHeight="1">
      <c r="E1295" s="274"/>
      <c r="F1295" s="274"/>
    </row>
    <row r="1296" spans="5:6" ht="39" customHeight="1">
      <c r="E1296" s="274"/>
      <c r="F1296" s="274"/>
    </row>
    <row r="1297" spans="5:6" ht="39" customHeight="1">
      <c r="E1297" s="274"/>
      <c r="F1297" s="274"/>
    </row>
    <row r="1298" spans="5:6" ht="39" customHeight="1">
      <c r="E1298" s="274"/>
      <c r="F1298" s="274"/>
    </row>
    <row r="1299" spans="5:6" ht="39" customHeight="1">
      <c r="E1299" s="274"/>
      <c r="F1299" s="274"/>
    </row>
    <row r="1300" spans="5:6" ht="39" customHeight="1">
      <c r="E1300" s="274"/>
      <c r="F1300" s="274"/>
    </row>
    <row r="1301" spans="5:6" ht="39" customHeight="1">
      <c r="E1301" s="274"/>
      <c r="F1301" s="274"/>
    </row>
    <row r="1302" spans="5:6" ht="39" customHeight="1">
      <c r="E1302" s="274"/>
      <c r="F1302" s="274"/>
    </row>
    <row r="1303" spans="5:6" ht="39" customHeight="1">
      <c r="E1303" s="274"/>
      <c r="F1303" s="274"/>
    </row>
    <row r="1304" spans="5:6" ht="39" customHeight="1">
      <c r="E1304" s="274"/>
      <c r="F1304" s="274"/>
    </row>
    <row r="1305" spans="5:6" ht="39" customHeight="1">
      <c r="E1305" s="274"/>
      <c r="F1305" s="274"/>
    </row>
    <row r="1306" spans="5:6" ht="39" customHeight="1">
      <c r="E1306" s="274"/>
      <c r="F1306" s="274"/>
    </row>
    <row r="1307" spans="5:6" ht="39" customHeight="1">
      <c r="E1307" s="274"/>
      <c r="F1307" s="274"/>
    </row>
    <row r="1308" spans="5:6" ht="39" customHeight="1">
      <c r="E1308" s="274"/>
      <c r="F1308" s="274"/>
    </row>
    <row r="1309" spans="5:6" ht="39" customHeight="1">
      <c r="E1309" s="274"/>
      <c r="F1309" s="274"/>
    </row>
    <row r="1310" spans="5:6" ht="39" customHeight="1">
      <c r="E1310" s="274"/>
      <c r="F1310" s="274"/>
    </row>
    <row r="1311" spans="5:6" ht="39" customHeight="1">
      <c r="E1311" s="274"/>
      <c r="F1311" s="274"/>
    </row>
    <row r="1312" spans="5:6" ht="39" customHeight="1">
      <c r="E1312" s="274"/>
      <c r="F1312" s="274"/>
    </row>
    <row r="1313" spans="5:6" ht="39" customHeight="1">
      <c r="E1313" s="274"/>
      <c r="F1313" s="274"/>
    </row>
    <row r="1314" spans="5:6" ht="39" customHeight="1">
      <c r="E1314" s="274"/>
      <c r="F1314" s="274"/>
    </row>
    <row r="1315" spans="5:6" ht="39" customHeight="1">
      <c r="E1315" s="274"/>
      <c r="F1315" s="274"/>
    </row>
    <row r="1316" spans="5:6" ht="39" customHeight="1">
      <c r="E1316" s="274"/>
      <c r="F1316" s="274"/>
    </row>
    <row r="1317" spans="5:6" ht="39" customHeight="1">
      <c r="E1317" s="274"/>
      <c r="F1317" s="274"/>
    </row>
    <row r="1318" spans="5:6" ht="39" customHeight="1">
      <c r="E1318" s="274"/>
      <c r="F1318" s="274"/>
    </row>
    <row r="1319" spans="5:6" ht="39" customHeight="1">
      <c r="E1319" s="274"/>
      <c r="F1319" s="274"/>
    </row>
    <row r="1320" spans="5:6" ht="39" customHeight="1">
      <c r="E1320" s="274"/>
      <c r="F1320" s="274"/>
    </row>
    <row r="1321" spans="5:6" ht="39" customHeight="1">
      <c r="E1321" s="274"/>
      <c r="F1321" s="274"/>
    </row>
    <row r="1322" spans="5:6" ht="39" customHeight="1">
      <c r="E1322" s="274"/>
      <c r="F1322" s="274"/>
    </row>
    <row r="1323" spans="5:6" ht="39" customHeight="1">
      <c r="E1323" s="274"/>
      <c r="F1323" s="274"/>
    </row>
    <row r="1324" spans="5:6" ht="39" customHeight="1">
      <c r="E1324" s="274"/>
      <c r="F1324" s="274"/>
    </row>
    <row r="1325" spans="5:6" ht="39" customHeight="1">
      <c r="E1325" s="274"/>
      <c r="F1325" s="274"/>
    </row>
    <row r="1326" spans="5:6" ht="39" customHeight="1">
      <c r="E1326" s="274"/>
      <c r="F1326" s="274"/>
    </row>
    <row r="1327" spans="5:6" ht="39" customHeight="1">
      <c r="E1327" s="274"/>
      <c r="F1327" s="274"/>
    </row>
    <row r="1328" spans="5:6" ht="39" customHeight="1">
      <c r="E1328" s="274"/>
      <c r="F1328" s="274"/>
    </row>
    <row r="1329" spans="5:6" ht="39" customHeight="1">
      <c r="E1329" s="274"/>
      <c r="F1329" s="274"/>
    </row>
    <row r="1330" spans="5:6" ht="39" customHeight="1">
      <c r="E1330" s="274"/>
      <c r="F1330" s="274"/>
    </row>
    <row r="1331" spans="5:6" ht="39" customHeight="1">
      <c r="E1331" s="274"/>
      <c r="F1331" s="274"/>
    </row>
    <row r="1332" spans="5:6" ht="39" customHeight="1">
      <c r="E1332" s="274"/>
      <c r="F1332" s="274"/>
    </row>
    <row r="1333" spans="5:6" ht="39" customHeight="1">
      <c r="E1333" s="274"/>
      <c r="F1333" s="274"/>
    </row>
    <row r="1334" spans="5:6" ht="39" customHeight="1">
      <c r="E1334" s="274"/>
      <c r="F1334" s="274"/>
    </row>
    <row r="1335" spans="5:6" ht="39" customHeight="1">
      <c r="E1335" s="274"/>
      <c r="F1335" s="274"/>
    </row>
    <row r="1336" spans="5:6" ht="39" customHeight="1">
      <c r="E1336" s="274"/>
      <c r="F1336" s="274"/>
    </row>
    <row r="1337" spans="5:6" ht="39" customHeight="1">
      <c r="E1337" s="274"/>
      <c r="F1337" s="274"/>
    </row>
    <row r="1338" spans="5:6" ht="39" customHeight="1">
      <c r="E1338" s="274"/>
      <c r="F1338" s="274"/>
    </row>
    <row r="1339" spans="5:6" ht="39" customHeight="1">
      <c r="E1339" s="274"/>
      <c r="F1339" s="274"/>
    </row>
    <row r="1340" spans="5:6" ht="39" customHeight="1">
      <c r="E1340" s="274"/>
      <c r="F1340" s="274"/>
    </row>
    <row r="1341" spans="5:6" ht="39" customHeight="1">
      <c r="E1341" s="274"/>
      <c r="F1341" s="274"/>
    </row>
    <row r="1342" spans="5:6" ht="39" customHeight="1">
      <c r="E1342" s="274"/>
      <c r="F1342" s="274"/>
    </row>
    <row r="1343" spans="5:6" ht="39" customHeight="1">
      <c r="E1343" s="274"/>
      <c r="F1343" s="274"/>
    </row>
    <row r="1344" spans="5:6" ht="39" customHeight="1">
      <c r="E1344" s="274"/>
      <c r="F1344" s="274"/>
    </row>
    <row r="1345" spans="5:6" ht="39" customHeight="1">
      <c r="E1345" s="274"/>
      <c r="F1345" s="274"/>
    </row>
    <row r="1346" spans="5:6" ht="39" customHeight="1">
      <c r="E1346" s="274"/>
      <c r="F1346" s="274"/>
    </row>
    <row r="1347" spans="5:6" ht="39" customHeight="1">
      <c r="E1347" s="274"/>
      <c r="F1347" s="274"/>
    </row>
    <row r="1348" spans="5:6" ht="39" customHeight="1">
      <c r="E1348" s="274"/>
      <c r="F1348" s="274"/>
    </row>
    <row r="1349" spans="5:6" ht="39" customHeight="1">
      <c r="E1349" s="274"/>
      <c r="F1349" s="274"/>
    </row>
    <row r="1350" spans="5:6" ht="39" customHeight="1">
      <c r="E1350" s="274"/>
      <c r="F1350" s="274"/>
    </row>
    <row r="1351" spans="5:6" ht="39" customHeight="1">
      <c r="E1351" s="274"/>
      <c r="F1351" s="274"/>
    </row>
    <row r="1352" spans="5:6" ht="39" customHeight="1">
      <c r="E1352" s="274"/>
      <c r="F1352" s="274"/>
    </row>
    <row r="1353" spans="5:6" ht="39" customHeight="1">
      <c r="E1353" s="274"/>
      <c r="F1353" s="274"/>
    </row>
    <row r="1354" spans="5:6" ht="39" customHeight="1">
      <c r="E1354" s="274"/>
      <c r="F1354" s="274"/>
    </row>
    <row r="1355" spans="5:6" ht="39" customHeight="1">
      <c r="E1355" s="274"/>
      <c r="F1355" s="274"/>
    </row>
    <row r="1356" spans="5:6" ht="39" customHeight="1">
      <c r="E1356" s="274"/>
      <c r="F1356" s="274"/>
    </row>
    <row r="1357" spans="5:6" ht="39" customHeight="1">
      <c r="E1357" s="274"/>
      <c r="F1357" s="274"/>
    </row>
    <row r="1358" spans="5:6" ht="39" customHeight="1">
      <c r="E1358" s="274"/>
      <c r="F1358" s="274"/>
    </row>
    <row r="1359" spans="5:6" ht="39" customHeight="1">
      <c r="E1359" s="274"/>
      <c r="F1359" s="274"/>
    </row>
    <row r="1360" spans="5:6" ht="39" customHeight="1">
      <c r="E1360" s="274"/>
      <c r="F1360" s="274"/>
    </row>
    <row r="1361" spans="5:6" ht="39" customHeight="1">
      <c r="E1361" s="274"/>
      <c r="F1361" s="274"/>
    </row>
    <row r="1362" spans="5:6" ht="39" customHeight="1">
      <c r="E1362" s="274"/>
      <c r="F1362" s="274"/>
    </row>
    <row r="1363" spans="5:6" ht="39" customHeight="1">
      <c r="E1363" s="274"/>
      <c r="F1363" s="274"/>
    </row>
    <row r="1364" spans="5:6" ht="39" customHeight="1">
      <c r="E1364" s="274"/>
      <c r="F1364" s="274"/>
    </row>
    <row r="1365" spans="5:6" ht="39" customHeight="1">
      <c r="E1365" s="274"/>
      <c r="F1365" s="274"/>
    </row>
    <row r="1366" spans="5:6" ht="39" customHeight="1">
      <c r="E1366" s="274"/>
      <c r="F1366" s="274"/>
    </row>
    <row r="1367" spans="5:6" ht="39" customHeight="1">
      <c r="E1367" s="274"/>
      <c r="F1367" s="274"/>
    </row>
    <row r="1368" spans="5:6" ht="39" customHeight="1">
      <c r="E1368" s="274"/>
      <c r="F1368" s="274"/>
    </row>
    <row r="1369" spans="5:6" ht="39" customHeight="1">
      <c r="E1369" s="274"/>
      <c r="F1369" s="274"/>
    </row>
    <row r="1370" spans="5:6" ht="39" customHeight="1">
      <c r="E1370" s="274"/>
      <c r="F1370" s="274"/>
    </row>
    <row r="1371" spans="5:6" ht="39" customHeight="1">
      <c r="E1371" s="274"/>
      <c r="F1371" s="274"/>
    </row>
    <row r="1372" spans="5:6" ht="39" customHeight="1">
      <c r="E1372" s="274"/>
      <c r="F1372" s="274"/>
    </row>
    <row r="1373" spans="5:6" ht="39" customHeight="1">
      <c r="E1373" s="274"/>
      <c r="F1373" s="274"/>
    </row>
    <row r="1374" spans="5:6" ht="39" customHeight="1">
      <c r="E1374" s="274"/>
      <c r="F1374" s="274"/>
    </row>
    <row r="1375" spans="5:6" ht="39" customHeight="1">
      <c r="E1375" s="274"/>
      <c r="F1375" s="274"/>
    </row>
    <row r="1376" spans="5:6" ht="39" customHeight="1">
      <c r="E1376" s="274"/>
      <c r="F1376" s="274"/>
    </row>
    <row r="1377" spans="5:6" ht="39" customHeight="1">
      <c r="E1377" s="274"/>
      <c r="F1377" s="274"/>
    </row>
    <row r="1378" spans="5:6" ht="39" customHeight="1">
      <c r="E1378" s="274"/>
      <c r="F1378" s="274"/>
    </row>
    <row r="1379" spans="5:6" ht="39" customHeight="1">
      <c r="E1379" s="274"/>
      <c r="F1379" s="274"/>
    </row>
    <row r="1380" spans="5:6" ht="39" customHeight="1">
      <c r="E1380" s="274"/>
      <c r="F1380" s="274"/>
    </row>
    <row r="1381" spans="5:6" ht="39" customHeight="1">
      <c r="E1381" s="274"/>
      <c r="F1381" s="274"/>
    </row>
    <row r="1382" spans="5:6" ht="39" customHeight="1">
      <c r="E1382" s="274"/>
      <c r="F1382" s="274"/>
    </row>
    <row r="1383" spans="5:6" ht="39" customHeight="1">
      <c r="E1383" s="274"/>
      <c r="F1383" s="274"/>
    </row>
    <row r="1384" spans="5:6" ht="39" customHeight="1">
      <c r="E1384" s="274"/>
      <c r="F1384" s="274"/>
    </row>
    <row r="1385" spans="5:6" ht="39" customHeight="1">
      <c r="E1385" s="274"/>
      <c r="F1385" s="274"/>
    </row>
    <row r="1386" spans="5:6" ht="39" customHeight="1">
      <c r="E1386" s="274"/>
      <c r="F1386" s="274"/>
    </row>
    <row r="1387" spans="5:6" ht="39" customHeight="1">
      <c r="E1387" s="274"/>
      <c r="F1387" s="274"/>
    </row>
    <row r="1388" spans="5:6" ht="39" customHeight="1">
      <c r="E1388" s="274"/>
      <c r="F1388" s="274"/>
    </row>
    <row r="1389" spans="5:6" ht="39" customHeight="1">
      <c r="E1389" s="274"/>
      <c r="F1389" s="274"/>
    </row>
    <row r="1390" spans="5:6" ht="39" customHeight="1">
      <c r="E1390" s="274"/>
      <c r="F1390" s="274"/>
    </row>
    <row r="1391" spans="5:6" ht="39" customHeight="1">
      <c r="E1391" s="274"/>
      <c r="F1391" s="274"/>
    </row>
    <row r="1392" spans="5:6" ht="39" customHeight="1">
      <c r="E1392" s="274"/>
      <c r="F1392" s="274"/>
    </row>
    <row r="1393" spans="5:6" ht="39" customHeight="1">
      <c r="E1393" s="274"/>
      <c r="F1393" s="274"/>
    </row>
    <row r="1394" spans="5:6" ht="39" customHeight="1">
      <c r="E1394" s="274"/>
      <c r="F1394" s="274"/>
    </row>
    <row r="1395" spans="5:6" ht="39" customHeight="1">
      <c r="E1395" s="274"/>
      <c r="F1395" s="274"/>
    </row>
    <row r="1396" spans="5:6" ht="39" customHeight="1">
      <c r="E1396" s="274"/>
      <c r="F1396" s="274"/>
    </row>
    <row r="1397" spans="5:6" ht="39" customHeight="1">
      <c r="E1397" s="274"/>
      <c r="F1397" s="274"/>
    </row>
    <row r="1398" spans="5:6" ht="39" customHeight="1">
      <c r="E1398" s="274"/>
      <c r="F1398" s="274"/>
    </row>
    <row r="1399" spans="5:6" ht="39" customHeight="1">
      <c r="E1399" s="274"/>
      <c r="F1399" s="274"/>
    </row>
    <row r="1400" spans="5:6" ht="39" customHeight="1">
      <c r="E1400" s="274"/>
      <c r="F1400" s="274"/>
    </row>
    <row r="1401" spans="5:6" ht="39" customHeight="1">
      <c r="E1401" s="274"/>
      <c r="F1401" s="274"/>
    </row>
    <row r="1402" spans="5:6" ht="39" customHeight="1">
      <c r="E1402" s="274"/>
      <c r="F1402" s="274"/>
    </row>
    <row r="1403" spans="5:6" ht="39" customHeight="1">
      <c r="E1403" s="274"/>
      <c r="F1403" s="274"/>
    </row>
    <row r="1404" spans="5:6" ht="39" customHeight="1">
      <c r="E1404" s="274"/>
      <c r="F1404" s="274"/>
    </row>
    <row r="1405" spans="5:6" ht="39" customHeight="1">
      <c r="E1405" s="274"/>
      <c r="F1405" s="274"/>
    </row>
    <row r="1406" spans="5:6" ht="39" customHeight="1">
      <c r="E1406" s="274"/>
      <c r="F1406" s="274"/>
    </row>
    <row r="1407" spans="5:6" ht="39" customHeight="1">
      <c r="E1407" s="274"/>
      <c r="F1407" s="274"/>
    </row>
    <row r="1408" spans="5:6" ht="39" customHeight="1">
      <c r="E1408" s="274"/>
      <c r="F1408" s="274"/>
    </row>
    <row r="1409" spans="5:6" ht="39" customHeight="1">
      <c r="E1409" s="274"/>
      <c r="F1409" s="274"/>
    </row>
    <row r="1410" spans="5:6" ht="39" customHeight="1">
      <c r="E1410" s="274"/>
      <c r="F1410" s="274"/>
    </row>
    <row r="1411" spans="5:6" ht="39" customHeight="1">
      <c r="E1411" s="274"/>
      <c r="F1411" s="274"/>
    </row>
    <row r="1412" spans="5:6" ht="39" customHeight="1">
      <c r="E1412" s="274"/>
      <c r="F1412" s="274"/>
    </row>
    <row r="1413" spans="5:6" ht="39" customHeight="1">
      <c r="E1413" s="274"/>
      <c r="F1413" s="274"/>
    </row>
  </sheetData>
  <sheetProtection algorithmName="SHA-512" hashValue="LQGrnbLjWQMy46/Wp7UeBm1bmIv9+e0A+cGY+Ut8+YdRy+2uyLy0+rM2l0heM+hj4l+VjZ5duv+3W5rkCpT/fA==" saltValue="55CNlKtmzblVqGki3146Ow==" spinCount="100000" sheet="1" objects="1" scenarios="1"/>
  <mergeCells count="484">
    <mergeCell ref="M381:M383"/>
    <mergeCell ref="C60:C65"/>
    <mergeCell ref="B60:B65"/>
    <mergeCell ref="C66:C70"/>
    <mergeCell ref="T79:T85"/>
    <mergeCell ref="B100:B106"/>
    <mergeCell ref="B114:B119"/>
    <mergeCell ref="B107:B113"/>
    <mergeCell ref="B150:B155"/>
    <mergeCell ref="B93:B99"/>
    <mergeCell ref="T249:T253"/>
    <mergeCell ref="C75:C78"/>
    <mergeCell ref="B372:D372"/>
    <mergeCell ref="B126:B131"/>
    <mergeCell ref="B361:D361"/>
    <mergeCell ref="B222:B224"/>
    <mergeCell ref="C200:C203"/>
    <mergeCell ref="C183:C184"/>
    <mergeCell ref="C283:C287"/>
    <mergeCell ref="C278:C282"/>
    <mergeCell ref="S86:T166"/>
    <mergeCell ref="B351:B352"/>
    <mergeCell ref="H328:H329"/>
    <mergeCell ref="K328:K329"/>
    <mergeCell ref="V263:V267"/>
    <mergeCell ref="A2:AC2"/>
    <mergeCell ref="A10:T10"/>
    <mergeCell ref="X258:X259"/>
    <mergeCell ref="S209:S215"/>
    <mergeCell ref="AC209:AC215"/>
    <mergeCell ref="V11:Y11"/>
    <mergeCell ref="A12:A13"/>
    <mergeCell ref="B12:B13"/>
    <mergeCell ref="S15:S85"/>
    <mergeCell ref="U12:U352"/>
    <mergeCell ref="S12:S13"/>
    <mergeCell ref="S263:S267"/>
    <mergeCell ref="S288:S291"/>
    <mergeCell ref="S302:S307"/>
    <mergeCell ref="X345:X346"/>
    <mergeCell ref="Y345:Y346"/>
    <mergeCell ref="O328:O329"/>
    <mergeCell ref="B175:B177"/>
    <mergeCell ref="J305:J307"/>
    <mergeCell ref="O305:O307"/>
    <mergeCell ref="N328:N329"/>
    <mergeCell ref="B4:T4"/>
    <mergeCell ref="B7:T7"/>
    <mergeCell ref="AC12:AC13"/>
    <mergeCell ref="Z168:Z169"/>
    <mergeCell ref="AC14:AC166"/>
    <mergeCell ref="AB209:AB215"/>
    <mergeCell ref="AB200:AB203"/>
    <mergeCell ref="AB183:AB184"/>
    <mergeCell ref="AC200:AC203"/>
    <mergeCell ref="Z183:Z184"/>
    <mergeCell ref="Z79:Z85"/>
    <mergeCell ref="Z209:Z215"/>
    <mergeCell ref="Z15:Z20"/>
    <mergeCell ref="Z200:Z203"/>
    <mergeCell ref="AC167:AC169"/>
    <mergeCell ref="AB168:AB169"/>
    <mergeCell ref="X12:AB12"/>
    <mergeCell ref="AB15:AB20"/>
    <mergeCell ref="X168:X169"/>
    <mergeCell ref="X200:X203"/>
    <mergeCell ref="Y200:Y203"/>
    <mergeCell ref="AB79:AB85"/>
    <mergeCell ref="V86:AB166"/>
    <mergeCell ref="V79:V85"/>
    <mergeCell ref="Y15:Y20"/>
    <mergeCell ref="W183:W184"/>
    <mergeCell ref="C55:C59"/>
    <mergeCell ref="Y249:Y253"/>
    <mergeCell ref="V254:V255"/>
    <mergeCell ref="Y168:Y169"/>
    <mergeCell ref="X79:X85"/>
    <mergeCell ref="Y79:Y85"/>
    <mergeCell ref="W79:W85"/>
    <mergeCell ref="X183:X184"/>
    <mergeCell ref="Y183:Y184"/>
    <mergeCell ref="W254:W255"/>
    <mergeCell ref="X254:X255"/>
    <mergeCell ref="T168:T169"/>
    <mergeCell ref="X209:X215"/>
    <mergeCell ref="Y209:Y215"/>
    <mergeCell ref="S216:T227"/>
    <mergeCell ref="V216:AC227"/>
    <mergeCell ref="W209:W215"/>
    <mergeCell ref="AC230:AC234"/>
    <mergeCell ref="C165:C166"/>
    <mergeCell ref="C156:C162"/>
    <mergeCell ref="S249:S253"/>
    <mergeCell ref="W249:W253"/>
    <mergeCell ref="W168:W169"/>
    <mergeCell ref="V200:V203"/>
    <mergeCell ref="W200:W203"/>
    <mergeCell ref="B209:B215"/>
    <mergeCell ref="C209:C215"/>
    <mergeCell ref="C220:C221"/>
    <mergeCell ref="V168:V169"/>
    <mergeCell ref="V249:V253"/>
    <mergeCell ref="A79:A85"/>
    <mergeCell ref="A21:A78"/>
    <mergeCell ref="C46:C50"/>
    <mergeCell ref="C41:C45"/>
    <mergeCell ref="B71:B74"/>
    <mergeCell ref="B26:B30"/>
    <mergeCell ref="B31:B35"/>
    <mergeCell ref="B41:B45"/>
    <mergeCell ref="B51:B54"/>
    <mergeCell ref="B55:B59"/>
    <mergeCell ref="B66:B70"/>
    <mergeCell ref="C71:C74"/>
    <mergeCell ref="C79:C85"/>
    <mergeCell ref="B79:B85"/>
    <mergeCell ref="B21:B25"/>
    <mergeCell ref="B36:B40"/>
    <mergeCell ref="B46:B50"/>
    <mergeCell ref="C36:C40"/>
    <mergeCell ref="C51:C54"/>
    <mergeCell ref="C21:C25"/>
    <mergeCell ref="C26:C30"/>
    <mergeCell ref="C31:C35"/>
    <mergeCell ref="B75:B78"/>
    <mergeCell ref="C351:C352"/>
    <mergeCell ref="A302:A307"/>
    <mergeCell ref="B360:D360"/>
    <mergeCell ref="A263:A267"/>
    <mergeCell ref="B263:B267"/>
    <mergeCell ref="C263:C267"/>
    <mergeCell ref="A230:A234"/>
    <mergeCell ref="C230:C234"/>
    <mergeCell ref="B246:B248"/>
    <mergeCell ref="A240:A242"/>
    <mergeCell ref="C244:C245"/>
    <mergeCell ref="A254:A255"/>
    <mergeCell ref="A249:A253"/>
    <mergeCell ref="B249:B253"/>
    <mergeCell ref="C249:C253"/>
    <mergeCell ref="B254:B255"/>
    <mergeCell ref="C254:C255"/>
    <mergeCell ref="A288:A291"/>
    <mergeCell ref="A278:A282"/>
    <mergeCell ref="B156:B162"/>
    <mergeCell ref="B324:B329"/>
    <mergeCell ref="B132:B137"/>
    <mergeCell ref="B144:B149"/>
    <mergeCell ref="B365:D365"/>
    <mergeCell ref="B363:D363"/>
    <mergeCell ref="A86:A166"/>
    <mergeCell ref="B240:B242"/>
    <mergeCell ref="A244:A245"/>
    <mergeCell ref="B86:B92"/>
    <mergeCell ref="A222:A225"/>
    <mergeCell ref="A226:A227"/>
    <mergeCell ref="B226:B227"/>
    <mergeCell ref="C226:C227"/>
    <mergeCell ref="B258:B259"/>
    <mergeCell ref="A235:A239"/>
    <mergeCell ref="C235:C239"/>
    <mergeCell ref="C246:C248"/>
    <mergeCell ref="A258:A259"/>
    <mergeCell ref="B230:B234"/>
    <mergeCell ref="B235:B239"/>
    <mergeCell ref="A228:A229"/>
    <mergeCell ref="A246:A248"/>
    <mergeCell ref="B120:B125"/>
    <mergeCell ref="B371:D371"/>
    <mergeCell ref="B345:B346"/>
    <mergeCell ref="A308:A313"/>
    <mergeCell ref="B364:D364"/>
    <mergeCell ref="A347:A348"/>
    <mergeCell ref="A220:A221"/>
    <mergeCell ref="B220:B221"/>
    <mergeCell ref="C222:C225"/>
    <mergeCell ref="B368:D368"/>
    <mergeCell ref="B362:D362"/>
    <mergeCell ref="A260:A261"/>
    <mergeCell ref="B260:B261"/>
    <mergeCell ref="C347:C348"/>
    <mergeCell ref="D305:D307"/>
    <mergeCell ref="A292:A296"/>
    <mergeCell ref="C260:C261"/>
    <mergeCell ref="C258:C259"/>
    <mergeCell ref="A273:A277"/>
    <mergeCell ref="B273:B277"/>
    <mergeCell ref="A268:A272"/>
    <mergeCell ref="B268:B272"/>
    <mergeCell ref="C273:C277"/>
    <mergeCell ref="C268:C272"/>
    <mergeCell ref="A283:A287"/>
    <mergeCell ref="V230:V234"/>
    <mergeCell ref="T258:T259"/>
    <mergeCell ref="T260:T261"/>
    <mergeCell ref="G328:G329"/>
    <mergeCell ref="S324:S329"/>
    <mergeCell ref="W260:W261"/>
    <mergeCell ref="V258:V259"/>
    <mergeCell ref="W258:W259"/>
    <mergeCell ref="V260:V261"/>
    <mergeCell ref="V324:V329"/>
    <mergeCell ref="W263:W267"/>
    <mergeCell ref="W231:W234"/>
    <mergeCell ref="V297:AC301"/>
    <mergeCell ref="AB302:AB303"/>
    <mergeCell ref="V292:V296"/>
    <mergeCell ref="W292:W296"/>
    <mergeCell ref="AC273:AC277"/>
    <mergeCell ref="AC268:AC272"/>
    <mergeCell ref="Z263:Z267"/>
    <mergeCell ref="AC263:AC267"/>
    <mergeCell ref="AB326:AB327"/>
    <mergeCell ref="AB328:AB329"/>
    <mergeCell ref="AB306:AB307"/>
    <mergeCell ref="W326:W327"/>
    <mergeCell ref="B163:B166"/>
    <mergeCell ref="T263:T267"/>
    <mergeCell ref="A168:A169"/>
    <mergeCell ref="B168:B169"/>
    <mergeCell ref="B228:B229"/>
    <mergeCell ref="C228:C229"/>
    <mergeCell ref="B244:B245"/>
    <mergeCell ref="C240:C242"/>
    <mergeCell ref="C216:C219"/>
    <mergeCell ref="A216:A219"/>
    <mergeCell ref="B216:B219"/>
    <mergeCell ref="A200:A203"/>
    <mergeCell ref="B200:B203"/>
    <mergeCell ref="A183:A184"/>
    <mergeCell ref="S168:S169"/>
    <mergeCell ref="T183:T184"/>
    <mergeCell ref="T200:T203"/>
    <mergeCell ref="S200:S203"/>
    <mergeCell ref="B183:B184"/>
    <mergeCell ref="C168:C169"/>
    <mergeCell ref="S260:S261"/>
    <mergeCell ref="S258:S259"/>
    <mergeCell ref="A209:A215"/>
    <mergeCell ref="T324:T329"/>
    <mergeCell ref="B347:B348"/>
    <mergeCell ref="B314:B318"/>
    <mergeCell ref="C314:C318"/>
    <mergeCell ref="A319:A323"/>
    <mergeCell ref="T345:T346"/>
    <mergeCell ref="S351:S355"/>
    <mergeCell ref="A345:A346"/>
    <mergeCell ref="A335:A339"/>
    <mergeCell ref="S330:T344"/>
    <mergeCell ref="T351:T352"/>
    <mergeCell ref="S347:S348"/>
    <mergeCell ref="S345:S346"/>
    <mergeCell ref="T347:T348"/>
    <mergeCell ref="T354:T355"/>
    <mergeCell ref="D328:D329"/>
    <mergeCell ref="E328:E329"/>
    <mergeCell ref="F328:F329"/>
    <mergeCell ref="I328:I329"/>
    <mergeCell ref="A340:A344"/>
    <mergeCell ref="C345:C346"/>
    <mergeCell ref="C340:C344"/>
    <mergeCell ref="A351:A352"/>
    <mergeCell ref="B376:D376"/>
    <mergeCell ref="V376:W376"/>
    <mergeCell ref="C86:C92"/>
    <mergeCell ref="C93:C99"/>
    <mergeCell ref="C100:C106"/>
    <mergeCell ref="C107:C113"/>
    <mergeCell ref="C114:C119"/>
    <mergeCell ref="C120:C125"/>
    <mergeCell ref="C126:C131"/>
    <mergeCell ref="C132:C137"/>
    <mergeCell ref="C138:C143"/>
    <mergeCell ref="C144:C149"/>
    <mergeCell ref="C150:C155"/>
    <mergeCell ref="A359:D359"/>
    <mergeCell ref="B138:B143"/>
    <mergeCell ref="B373:D373"/>
    <mergeCell ref="B369:D369"/>
    <mergeCell ref="B370:D370"/>
    <mergeCell ref="B366:D366"/>
    <mergeCell ref="B367:D367"/>
    <mergeCell ref="A354:A355"/>
    <mergeCell ref="B354:B355"/>
    <mergeCell ref="B288:B291"/>
    <mergeCell ref="C354:C355"/>
    <mergeCell ref="B5:W5"/>
    <mergeCell ref="B6:W6"/>
    <mergeCell ref="W15:W20"/>
    <mergeCell ref="T12:T13"/>
    <mergeCell ref="C12:C13"/>
    <mergeCell ref="D12:D13"/>
    <mergeCell ref="E12:E13"/>
    <mergeCell ref="F12:F13"/>
    <mergeCell ref="I12:I13"/>
    <mergeCell ref="J12:J13"/>
    <mergeCell ref="O12:O13"/>
    <mergeCell ref="V12:V13"/>
    <mergeCell ref="V15:V20"/>
    <mergeCell ref="W12:W13"/>
    <mergeCell ref="T15:T20"/>
    <mergeCell ref="C15:C20"/>
    <mergeCell ref="B15:B20"/>
    <mergeCell ref="N12:N13"/>
    <mergeCell ref="G12:G13"/>
    <mergeCell ref="K12:K13"/>
    <mergeCell ref="L12:L13"/>
    <mergeCell ref="H12:H13"/>
    <mergeCell ref="C9:T9"/>
    <mergeCell ref="M12:M13"/>
    <mergeCell ref="V354:V355"/>
    <mergeCell ref="W354:W355"/>
    <mergeCell ref="X354:X355"/>
    <mergeCell ref="Y354:Y355"/>
    <mergeCell ref="Z354:Z355"/>
    <mergeCell ref="W328:W329"/>
    <mergeCell ref="X328:X329"/>
    <mergeCell ref="Y328:Y329"/>
    <mergeCell ref="Z328:Z329"/>
    <mergeCell ref="Z351:Z352"/>
    <mergeCell ref="V330:Z344"/>
    <mergeCell ref="X351:X352"/>
    <mergeCell ref="Y351:Y352"/>
    <mergeCell ref="W351:W352"/>
    <mergeCell ref="W345:W346"/>
    <mergeCell ref="W347:W348"/>
    <mergeCell ref="X347:X348"/>
    <mergeCell ref="V347:V348"/>
    <mergeCell ref="V351:V352"/>
    <mergeCell ref="V345:V346"/>
    <mergeCell ref="AA351:AA352"/>
    <mergeCell ref="AB324:AB325"/>
    <mergeCell ref="W302:W303"/>
    <mergeCell ref="AC278:AC282"/>
    <mergeCell ref="AB354:AB355"/>
    <mergeCell ref="Z345:Z346"/>
    <mergeCell ref="Y302:Y303"/>
    <mergeCell ref="Z302:Z303"/>
    <mergeCell ref="Y326:Y327"/>
    <mergeCell ref="AC302:AC307"/>
    <mergeCell ref="AC324:AC329"/>
    <mergeCell ref="AB351:AB352"/>
    <mergeCell ref="AC350:AC355"/>
    <mergeCell ref="Y306:Y307"/>
    <mergeCell ref="W324:W325"/>
    <mergeCell ref="Y324:Y325"/>
    <mergeCell ref="W288:W291"/>
    <mergeCell ref="AC283:AC287"/>
    <mergeCell ref="AC288:AC291"/>
    <mergeCell ref="AB288:AB291"/>
    <mergeCell ref="Z288:Z291"/>
    <mergeCell ref="X288:X291"/>
    <mergeCell ref="Y288:Y291"/>
    <mergeCell ref="Z292:Z296"/>
    <mergeCell ref="AB263:AB267"/>
    <mergeCell ref="X263:X267"/>
    <mergeCell ref="Y263:Y267"/>
    <mergeCell ref="AB249:AB253"/>
    <mergeCell ref="AC249:AC253"/>
    <mergeCell ref="Y254:Y255"/>
    <mergeCell ref="Z254:Z255"/>
    <mergeCell ref="AC260:AC261"/>
    <mergeCell ref="Z260:Z261"/>
    <mergeCell ref="AC258:AC259"/>
    <mergeCell ref="G305:G307"/>
    <mergeCell ref="AC345:AC348"/>
    <mergeCell ref="AB345:AB346"/>
    <mergeCell ref="AB347:AB348"/>
    <mergeCell ref="Y347:Y348"/>
    <mergeCell ref="Z347:Z348"/>
    <mergeCell ref="B335:B339"/>
    <mergeCell ref="C335:C339"/>
    <mergeCell ref="Z306:Z307"/>
    <mergeCell ref="Q328:Q329"/>
    <mergeCell ref="AA345:AA346"/>
    <mergeCell ref="AA347:AA348"/>
    <mergeCell ref="C324:C329"/>
    <mergeCell ref="AA330:AC344"/>
    <mergeCell ref="J328:J329"/>
    <mergeCell ref="I305:I306"/>
    <mergeCell ref="Z326:Z327"/>
    <mergeCell ref="B319:B323"/>
    <mergeCell ref="C319:C323"/>
    <mergeCell ref="Z324:Z325"/>
    <mergeCell ref="B308:B313"/>
    <mergeCell ref="C308:C313"/>
    <mergeCell ref="B340:B344"/>
    <mergeCell ref="L328:L329"/>
    <mergeCell ref="C288:C291"/>
    <mergeCell ref="B292:B296"/>
    <mergeCell ref="C292:C296"/>
    <mergeCell ref="S297:T301"/>
    <mergeCell ref="C297:C301"/>
    <mergeCell ref="S292:S296"/>
    <mergeCell ref="T292:T296"/>
    <mergeCell ref="T288:T291"/>
    <mergeCell ref="A330:A334"/>
    <mergeCell ref="B330:B334"/>
    <mergeCell ref="C330:C334"/>
    <mergeCell ref="H305:H307"/>
    <mergeCell ref="K305:K307"/>
    <mergeCell ref="L305:L307"/>
    <mergeCell ref="T302:T307"/>
    <mergeCell ref="S308:T323"/>
    <mergeCell ref="C302:C307"/>
    <mergeCell ref="E305:E307"/>
    <mergeCell ref="B302:B307"/>
    <mergeCell ref="A324:A329"/>
    <mergeCell ref="A314:A318"/>
    <mergeCell ref="M305:M307"/>
    <mergeCell ref="M328:M329"/>
    <mergeCell ref="F305:F307"/>
    <mergeCell ref="A15:A20"/>
    <mergeCell ref="Q12:Q13"/>
    <mergeCell ref="Q305:Q307"/>
    <mergeCell ref="B283:B287"/>
    <mergeCell ref="Y292:Y296"/>
    <mergeCell ref="B278:B282"/>
    <mergeCell ref="V185:AC192"/>
    <mergeCell ref="V183:V184"/>
    <mergeCell ref="S183:S184"/>
    <mergeCell ref="Y258:Y259"/>
    <mergeCell ref="X260:X261"/>
    <mergeCell ref="Y260:Y261"/>
    <mergeCell ref="Y231:Y234"/>
    <mergeCell ref="X231:X234"/>
    <mergeCell ref="T209:T215"/>
    <mergeCell ref="T228:T229"/>
    <mergeCell ref="W228:AC229"/>
    <mergeCell ref="S228:S229"/>
    <mergeCell ref="V209:V215"/>
    <mergeCell ref="T230:T234"/>
    <mergeCell ref="S230:S234"/>
    <mergeCell ref="S268:T287"/>
    <mergeCell ref="V268:AB287"/>
    <mergeCell ref="N305:N307"/>
    <mergeCell ref="P12:P13"/>
    <mergeCell ref="P305:P307"/>
    <mergeCell ref="P328:P329"/>
    <mergeCell ref="AB292:AB296"/>
    <mergeCell ref="AB231:AB234"/>
    <mergeCell ref="X15:X20"/>
    <mergeCell ref="S254:S255"/>
    <mergeCell ref="T254:T255"/>
    <mergeCell ref="V288:V291"/>
    <mergeCell ref="W306:W307"/>
    <mergeCell ref="X306:X307"/>
    <mergeCell ref="V302:V307"/>
    <mergeCell ref="V308:AC323"/>
    <mergeCell ref="X249:X253"/>
    <mergeCell ref="Z258:Z259"/>
    <mergeCell ref="Z231:Z234"/>
    <mergeCell ref="AA254:AA255"/>
    <mergeCell ref="AB254:AB255"/>
    <mergeCell ref="AC254:AC255"/>
    <mergeCell ref="AC292:AC296"/>
    <mergeCell ref="Z249:Z253"/>
    <mergeCell ref="AA249:AA253"/>
    <mergeCell ref="AB260:AB261"/>
    <mergeCell ref="AB258:AB259"/>
    <mergeCell ref="S356:V358"/>
    <mergeCell ref="AA354:AA355"/>
    <mergeCell ref="R12:R13"/>
    <mergeCell ref="R305:R307"/>
    <mergeCell ref="R328:R329"/>
    <mergeCell ref="AA15:AA20"/>
    <mergeCell ref="AA79:AA85"/>
    <mergeCell ref="AA168:AA169"/>
    <mergeCell ref="AA183:AA184"/>
    <mergeCell ref="AA200:AA203"/>
    <mergeCell ref="AA209:AA215"/>
    <mergeCell ref="AA231:AA234"/>
    <mergeCell ref="AA258:AA259"/>
    <mergeCell ref="AA260:AA261"/>
    <mergeCell ref="AA263:AA267"/>
    <mergeCell ref="AA288:AA291"/>
    <mergeCell ref="AA292:AA296"/>
    <mergeCell ref="AA302:AA303"/>
    <mergeCell ref="AA306:AA307"/>
    <mergeCell ref="AA324:AA325"/>
    <mergeCell ref="AA326:AA327"/>
    <mergeCell ref="AA328:AA329"/>
    <mergeCell ref="T21:T78"/>
    <mergeCell ref="V21:AB78"/>
  </mergeCells>
  <phoneticPr fontId="18" type="noConversion"/>
  <conditionalFormatting sqref="I12:J12">
    <cfRule type="dataBar" priority="6">
      <dataBar>
        <cfvo type="min"/>
        <cfvo type="max"/>
        <color rgb="FF638EC6"/>
      </dataBar>
      <extLst>
        <ext xmlns:x14="http://schemas.microsoft.com/office/spreadsheetml/2009/9/main" uri="{B025F937-C7B1-47D3-B67F-A62EFF666E3E}">
          <x14:id>{9F902BFA-D04A-46AF-BA2C-B6E0C4DEBF18}</x14:id>
        </ext>
      </extLst>
    </cfRule>
  </conditionalFormatting>
  <conditionalFormatting sqref="J13">
    <cfRule type="dataBar" priority="5">
      <dataBar>
        <cfvo type="min"/>
        <cfvo type="max"/>
        <color rgb="FF638EC6"/>
      </dataBar>
      <extLst>
        <ext xmlns:x14="http://schemas.microsoft.com/office/spreadsheetml/2009/9/main" uri="{B025F937-C7B1-47D3-B67F-A62EFF666E3E}">
          <x14:id>{7CA4CB81-BE9E-4961-A9F8-EF21686C645F}</x14:id>
        </ext>
      </extLst>
    </cfRule>
  </conditionalFormatting>
  <conditionalFormatting sqref="K12">
    <cfRule type="dataBar" priority="22">
      <dataBar>
        <cfvo type="min"/>
        <cfvo type="max"/>
        <color rgb="FF638EC6"/>
      </dataBar>
      <extLst>
        <ext xmlns:x14="http://schemas.microsoft.com/office/spreadsheetml/2009/9/main" uri="{B025F937-C7B1-47D3-B67F-A62EFF666E3E}">
          <x14:id>{E92BB977-6C28-457E-9863-F2BDD86BDC4D}</x14:id>
        </ext>
      </extLst>
    </cfRule>
  </conditionalFormatting>
  <conditionalFormatting sqref="K13">
    <cfRule type="dataBar" priority="23">
      <dataBar>
        <cfvo type="min"/>
        <cfvo type="max"/>
        <color rgb="FF638EC6"/>
      </dataBar>
      <extLst>
        <ext xmlns:x14="http://schemas.microsoft.com/office/spreadsheetml/2009/9/main" uri="{B025F937-C7B1-47D3-B67F-A62EFF666E3E}">
          <x14:id>{C8F59F70-AC7A-41E3-A977-EA01C1B7A55E}</x14:id>
        </ext>
      </extLst>
    </cfRule>
  </conditionalFormatting>
  <conditionalFormatting sqref="L13:M13 O13:R13">
    <cfRule type="dataBar" priority="1">
      <dataBar>
        <cfvo type="min"/>
        <cfvo type="max"/>
        <color rgb="FF638EC6"/>
      </dataBar>
      <extLst>
        <ext xmlns:x14="http://schemas.microsoft.com/office/spreadsheetml/2009/9/main" uri="{B025F937-C7B1-47D3-B67F-A62EFF666E3E}">
          <x14:id>{269B32E8-F0A1-4AC0-AE12-7A97B20FBC46}</x14:id>
        </ext>
      </extLst>
    </cfRule>
  </conditionalFormatting>
  <conditionalFormatting sqref="L12:R12">
    <cfRule type="dataBar" priority="2">
      <dataBar>
        <cfvo type="min"/>
        <cfvo type="max"/>
        <color rgb="FF638EC6"/>
      </dataBar>
      <extLst>
        <ext xmlns:x14="http://schemas.microsoft.com/office/spreadsheetml/2009/9/main" uri="{B025F937-C7B1-47D3-B67F-A62EFF666E3E}">
          <x14:id>{A3AE179C-716C-4CB3-9164-F2DDAF7C84B0}</x14:id>
        </ext>
      </extLst>
    </cfRule>
  </conditionalFormatting>
  <conditionalFormatting sqref="T12:U12 E12:G12 G13 H12:H13">
    <cfRule type="dataBar" priority="17">
      <dataBar>
        <cfvo type="min"/>
        <cfvo type="max"/>
        <color rgb="FF638EC6"/>
      </dataBar>
      <extLst>
        <ext xmlns:x14="http://schemas.microsoft.com/office/spreadsheetml/2009/9/main" uri="{B025F937-C7B1-47D3-B67F-A62EFF666E3E}">
          <x14:id>{654189B1-5C4A-46ED-92D1-B4850105B7BD}</x14:id>
        </ext>
      </extLst>
    </cfRule>
  </conditionalFormatting>
  <pageMargins left="0.70866141732283472" right="0.70866141732283472" top="0.74803149606299213" bottom="0.74803149606299213" header="0.31496062992125984" footer="0.31496062992125984"/>
  <pageSetup paperSize="8" scale="48" fitToHeight="0" pageOrder="overThenDown" orientation="landscape" r:id="rId1"/>
  <extLst>
    <ext xmlns:x14="http://schemas.microsoft.com/office/spreadsheetml/2009/9/main" uri="{78C0D931-6437-407d-A8EE-F0AAD7539E65}">
      <x14:conditionalFormattings>
        <x14:conditionalFormatting xmlns:xm="http://schemas.microsoft.com/office/excel/2006/main">
          <x14:cfRule type="dataBar" id="{9F902BFA-D04A-46AF-BA2C-B6E0C4DEBF18}">
            <x14:dataBar minLength="0" maxLength="100" border="1" negativeBarBorderColorSameAsPositive="0">
              <x14:cfvo type="autoMin"/>
              <x14:cfvo type="autoMax"/>
              <x14:borderColor rgb="FF638EC6"/>
              <x14:negativeFillColor rgb="FFFF0000"/>
              <x14:negativeBorderColor rgb="FFFF0000"/>
              <x14:axisColor rgb="FF000000"/>
            </x14:dataBar>
          </x14:cfRule>
          <xm:sqref>I12:J12</xm:sqref>
        </x14:conditionalFormatting>
        <x14:conditionalFormatting xmlns:xm="http://schemas.microsoft.com/office/excel/2006/main">
          <x14:cfRule type="dataBar" id="{7CA4CB81-BE9E-4961-A9F8-EF21686C645F}">
            <x14:dataBar minLength="0" maxLength="100" border="1" negativeBarBorderColorSameAsPositive="0">
              <x14:cfvo type="autoMin"/>
              <x14:cfvo type="autoMax"/>
              <x14:borderColor rgb="FF638EC6"/>
              <x14:negativeFillColor rgb="FFFF0000"/>
              <x14:negativeBorderColor rgb="FFFF0000"/>
              <x14:axisColor rgb="FF000000"/>
            </x14:dataBar>
          </x14:cfRule>
          <xm:sqref>J13</xm:sqref>
        </x14:conditionalFormatting>
        <x14:conditionalFormatting xmlns:xm="http://schemas.microsoft.com/office/excel/2006/main">
          <x14:cfRule type="dataBar" id="{E92BB977-6C28-457E-9863-F2BDD86BDC4D}">
            <x14:dataBar minLength="0" maxLength="100" border="1" negativeBarBorderColorSameAsPositive="0">
              <x14:cfvo type="autoMin"/>
              <x14:cfvo type="autoMax"/>
              <x14:borderColor rgb="FF638EC6"/>
              <x14:negativeFillColor rgb="FFFF0000"/>
              <x14:negativeBorderColor rgb="FFFF0000"/>
              <x14:axisColor rgb="FF000000"/>
            </x14:dataBar>
          </x14:cfRule>
          <xm:sqref>K12</xm:sqref>
        </x14:conditionalFormatting>
        <x14:conditionalFormatting xmlns:xm="http://schemas.microsoft.com/office/excel/2006/main">
          <x14:cfRule type="dataBar" id="{C8F59F70-AC7A-41E3-A977-EA01C1B7A55E}">
            <x14:dataBar minLength="0" maxLength="100" border="1" negativeBarBorderColorSameAsPositive="0">
              <x14:cfvo type="autoMin"/>
              <x14:cfvo type="autoMax"/>
              <x14:borderColor rgb="FF638EC6"/>
              <x14:negativeFillColor rgb="FFFF0000"/>
              <x14:negativeBorderColor rgb="FFFF0000"/>
              <x14:axisColor rgb="FF000000"/>
            </x14:dataBar>
          </x14:cfRule>
          <xm:sqref>K13</xm:sqref>
        </x14:conditionalFormatting>
        <x14:conditionalFormatting xmlns:xm="http://schemas.microsoft.com/office/excel/2006/main">
          <x14:cfRule type="dataBar" id="{269B32E8-F0A1-4AC0-AE12-7A97B20FBC46}">
            <x14:dataBar minLength="0" maxLength="100" border="1" negativeBarBorderColorSameAsPositive="0">
              <x14:cfvo type="autoMin"/>
              <x14:cfvo type="autoMax"/>
              <x14:borderColor rgb="FF638EC6"/>
              <x14:negativeFillColor rgb="FFFF0000"/>
              <x14:negativeBorderColor rgb="FFFF0000"/>
              <x14:axisColor rgb="FF000000"/>
            </x14:dataBar>
          </x14:cfRule>
          <xm:sqref>L13:M13 O13:R13</xm:sqref>
        </x14:conditionalFormatting>
        <x14:conditionalFormatting xmlns:xm="http://schemas.microsoft.com/office/excel/2006/main">
          <x14:cfRule type="dataBar" id="{A3AE179C-716C-4CB3-9164-F2DDAF7C84B0}">
            <x14:dataBar minLength="0" maxLength="100" border="1" negativeBarBorderColorSameAsPositive="0">
              <x14:cfvo type="autoMin"/>
              <x14:cfvo type="autoMax"/>
              <x14:borderColor rgb="FF638EC6"/>
              <x14:negativeFillColor rgb="FFFF0000"/>
              <x14:negativeBorderColor rgb="FFFF0000"/>
              <x14:axisColor rgb="FF000000"/>
            </x14:dataBar>
          </x14:cfRule>
          <xm:sqref>L12:R12</xm:sqref>
        </x14:conditionalFormatting>
        <x14:conditionalFormatting xmlns:xm="http://schemas.microsoft.com/office/excel/2006/main">
          <x14:cfRule type="dataBar" id="{654189B1-5C4A-46ED-92D1-B4850105B7BD}">
            <x14:dataBar minLength="0" maxLength="100" border="1" negativeBarBorderColorSameAsPositive="0">
              <x14:cfvo type="autoMin"/>
              <x14:cfvo type="autoMax"/>
              <x14:borderColor rgb="FF638EC6"/>
              <x14:negativeFillColor rgb="FFFF0000"/>
              <x14:negativeBorderColor rgb="FFFF0000"/>
              <x14:axisColor rgb="FF000000"/>
            </x14:dataBar>
          </x14:cfRule>
          <xm:sqref>T12:U12 E12:G12 G13 H12:H13</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92783-4965-400D-A2EF-4B6BFF04E7DD}">
  <sheetPr>
    <pageSetUpPr fitToPage="1"/>
  </sheetPr>
  <dimension ref="A1:AC1127"/>
  <sheetViews>
    <sheetView zoomScale="102" zoomScaleNormal="102" zoomScaleSheetLayoutView="84" workbookViewId="0">
      <selection activeCell="A314" sqref="A314:XFD316"/>
    </sheetView>
  </sheetViews>
  <sheetFormatPr defaultColWidth="9.109375" defaultRowHeight="9.6"/>
  <cols>
    <col min="1" max="1" width="15.33203125" style="278" customWidth="1"/>
    <col min="2" max="2" width="31.88671875" style="278" customWidth="1"/>
    <col min="3" max="3" width="4.33203125" style="278" customWidth="1"/>
    <col min="4" max="4" width="7.5546875" style="278" customWidth="1"/>
    <col min="5" max="6" width="10.6640625" style="331" hidden="1" customWidth="1"/>
    <col min="7" max="7" width="11" style="278" hidden="1" customWidth="1"/>
    <col min="8" max="9" width="16.109375" style="278" hidden="1" customWidth="1"/>
    <col min="10" max="10" width="16.109375" style="441" hidden="1" customWidth="1"/>
    <col min="11" max="11" width="16" style="278" hidden="1" customWidth="1"/>
    <col min="12" max="12" width="14.5546875" style="278" customWidth="1"/>
    <col min="13" max="13" width="14.5546875" style="1525" hidden="1" customWidth="1"/>
    <col min="14" max="14" width="14.5546875" style="278" hidden="1" customWidth="1"/>
    <col min="15" max="15" width="14.5546875" style="278" customWidth="1"/>
    <col min="16" max="16" width="14.5546875" style="1525" hidden="1" customWidth="1"/>
    <col min="17" max="17" width="14.5546875" style="278" customWidth="1"/>
    <col min="18" max="18" width="14.5546875" style="1525" hidden="1" customWidth="1"/>
    <col min="19" max="19" width="11.5546875" style="886" customWidth="1"/>
    <col min="20" max="20" width="71.6640625" style="278" customWidth="1"/>
    <col min="21" max="21" width="12.5546875" style="278" customWidth="1"/>
    <col min="22" max="22" width="30.5546875" style="278" customWidth="1"/>
    <col min="23" max="24" width="6.33203125" style="278" hidden="1" customWidth="1"/>
    <col min="25" max="27" width="6.33203125" style="278" customWidth="1"/>
    <col min="28" max="28" width="29.44140625" style="278" customWidth="1"/>
    <col min="29" max="29" width="25.88671875" style="278" hidden="1" customWidth="1"/>
    <col min="30" max="30" width="9.109375" style="278"/>
    <col min="31" max="32" width="8.88671875" style="278" customWidth="1"/>
    <col min="33" max="16384" width="9.109375" style="278"/>
  </cols>
  <sheetData>
    <row r="1" spans="1:28" ht="18.600000000000001" customHeight="1">
      <c r="A1" s="2885" t="s">
        <v>2137</v>
      </c>
      <c r="B1" s="2885"/>
      <c r="C1" s="2885"/>
      <c r="D1" s="2885"/>
      <c r="E1" s="2885"/>
      <c r="F1" s="2885"/>
      <c r="G1" s="2885"/>
      <c r="H1" s="2885"/>
      <c r="I1" s="2885"/>
      <c r="J1" s="2885"/>
      <c r="K1" s="2885"/>
      <c r="L1" s="2885"/>
      <c r="M1" s="1683"/>
      <c r="N1" s="2099"/>
      <c r="O1" s="395"/>
      <c r="P1" s="1683"/>
      <c r="Q1" s="395"/>
      <c r="R1" s="1683"/>
      <c r="W1" s="2889"/>
      <c r="X1" s="2889"/>
      <c r="Y1" s="2889"/>
      <c r="Z1" s="2889"/>
      <c r="AA1" s="2889"/>
      <c r="AB1" s="2889"/>
    </row>
    <row r="2" spans="1:28" ht="38.4" customHeight="1">
      <c r="A2" s="2857" t="s">
        <v>2642</v>
      </c>
      <c r="B2" s="2857"/>
      <c r="C2" s="2857"/>
      <c r="D2" s="2857"/>
      <c r="E2" s="2857"/>
      <c r="F2" s="2857"/>
      <c r="G2" s="2857"/>
      <c r="H2" s="2857"/>
      <c r="I2" s="2857"/>
      <c r="J2" s="2857"/>
      <c r="K2" s="2857"/>
      <c r="L2" s="2857"/>
      <c r="M2" s="2857"/>
      <c r="N2" s="2857"/>
      <c r="O2" s="2857"/>
      <c r="P2" s="2857"/>
      <c r="Q2" s="2857"/>
      <c r="R2" s="2857"/>
      <c r="S2" s="2857"/>
      <c r="T2" s="2857"/>
      <c r="U2" s="2857"/>
      <c r="V2" s="2857"/>
      <c r="W2" s="2857"/>
      <c r="X2" s="2857"/>
      <c r="Y2" s="2857"/>
      <c r="Z2" s="2857"/>
      <c r="AA2" s="2857"/>
      <c r="AB2" s="2857"/>
    </row>
    <row r="3" spans="1:28" ht="11.4" customHeight="1">
      <c r="A3" s="162"/>
      <c r="B3" s="162"/>
      <c r="C3" s="162"/>
      <c r="D3" s="162"/>
      <c r="E3" s="162"/>
      <c r="F3" s="162"/>
      <c r="G3" s="318"/>
      <c r="H3" s="318"/>
      <c r="I3" s="318"/>
      <c r="J3" s="536"/>
      <c r="W3" s="318"/>
      <c r="X3" s="318"/>
      <c r="Y3" s="318"/>
      <c r="Z3" s="318"/>
      <c r="AA3" s="318"/>
      <c r="AB3" s="318"/>
    </row>
    <row r="4" spans="1:28" s="221" customFormat="1" ht="21" customHeight="1">
      <c r="A4" s="319" t="str">
        <f>A13</f>
        <v>03.01.01. (T)</v>
      </c>
      <c r="B4" s="2857" t="str">
        <f>B13</f>
        <v>Užtikrinti efektyvią  įstaigų, veikiančių sporto srityje, veiklą</v>
      </c>
      <c r="C4" s="2857"/>
      <c r="D4" s="2857"/>
      <c r="E4" s="2857"/>
      <c r="F4" s="2857"/>
      <c r="G4" s="2857"/>
      <c r="H4" s="2857"/>
      <c r="I4" s="2857"/>
      <c r="J4" s="2857"/>
      <c r="K4" s="2857"/>
      <c r="L4" s="2857"/>
      <c r="M4" s="2857"/>
      <c r="N4" s="2857"/>
      <c r="O4" s="2857"/>
      <c r="P4" s="2857"/>
      <c r="Q4" s="2857"/>
      <c r="R4" s="2857"/>
      <c r="S4" s="2857"/>
      <c r="T4" s="2857"/>
      <c r="W4" s="219"/>
      <c r="X4" s="219"/>
      <c r="Y4" s="219"/>
      <c r="Z4" s="219"/>
      <c r="AA4" s="219"/>
      <c r="AB4" s="219"/>
    </row>
    <row r="5" spans="1:28" s="221" customFormat="1" ht="15" customHeight="1">
      <c r="A5" s="320" t="str">
        <f>A29</f>
        <v>03.01.02. (T)</v>
      </c>
      <c r="B5" s="2857" t="str">
        <f>B29</f>
        <v>Plėtoti ir tobulinti sporto varžybas ir sporto sveikatingumo renginius siekiant įtraukti vaikus, jaunimą ir kitas gyventojų grupes į sportinę veiklą, rengti sporto specialistus</v>
      </c>
      <c r="C5" s="2857"/>
      <c r="D5" s="2857"/>
      <c r="E5" s="2857"/>
      <c r="F5" s="2857"/>
      <c r="G5" s="2857"/>
      <c r="H5" s="2857"/>
      <c r="I5" s="2857"/>
      <c r="J5" s="2857"/>
      <c r="K5" s="2857"/>
      <c r="L5" s="2857"/>
      <c r="M5" s="2857"/>
      <c r="N5" s="2857"/>
      <c r="O5" s="2857"/>
      <c r="P5" s="2857"/>
      <c r="Q5" s="2857"/>
      <c r="R5" s="2857"/>
      <c r="S5" s="2857"/>
      <c r="T5" s="2857"/>
      <c r="W5" s="219"/>
      <c r="X5" s="219"/>
      <c r="Y5" s="219"/>
      <c r="Z5" s="219"/>
      <c r="AA5" s="219"/>
      <c r="AB5" s="219"/>
    </row>
    <row r="6" spans="1:28" ht="17.399999999999999" customHeight="1">
      <c r="A6" s="320" t="s">
        <v>3207</v>
      </c>
      <c r="B6" s="2857" t="s">
        <v>3208</v>
      </c>
      <c r="C6" s="2857"/>
      <c r="D6" s="2857"/>
      <c r="E6" s="2857"/>
      <c r="F6" s="2857"/>
      <c r="G6" s="2857"/>
      <c r="H6" s="2857"/>
      <c r="I6" s="2857"/>
      <c r="J6" s="2857"/>
      <c r="K6" s="2857"/>
      <c r="L6" s="2857"/>
      <c r="M6" s="2857"/>
      <c r="N6" s="2857"/>
      <c r="O6" s="2857"/>
      <c r="P6" s="2857"/>
      <c r="Q6" s="2857"/>
      <c r="R6" s="2857"/>
      <c r="S6" s="2857"/>
      <c r="T6" s="2857"/>
      <c r="W6" s="318"/>
      <c r="X6" s="318"/>
      <c r="Y6" s="318"/>
      <c r="Z6" s="318"/>
      <c r="AA6" s="318"/>
      <c r="AB6" s="318"/>
    </row>
    <row r="7" spans="1:28" ht="10.8" customHeight="1">
      <c r="A7" s="320"/>
      <c r="B7" s="320"/>
      <c r="C7" s="320"/>
      <c r="D7" s="320"/>
      <c r="E7" s="320"/>
      <c r="F7" s="320"/>
      <c r="G7" s="320"/>
      <c r="H7" s="320"/>
      <c r="I7" s="320"/>
      <c r="J7" s="320"/>
      <c r="K7" s="320"/>
      <c r="L7" s="320"/>
      <c r="M7" s="1684"/>
      <c r="N7" s="320"/>
      <c r="O7" s="320"/>
      <c r="P7" s="1684"/>
      <c r="Q7" s="320"/>
      <c r="R7" s="1684"/>
      <c r="S7" s="885"/>
      <c r="T7" s="320"/>
      <c r="W7" s="318"/>
      <c r="X7" s="318"/>
      <c r="Y7" s="318"/>
      <c r="Z7" s="318"/>
      <c r="AA7" s="318"/>
      <c r="AB7" s="318"/>
    </row>
    <row r="8" spans="1:28" s="221" customFormat="1" ht="16.2" customHeight="1">
      <c r="A8" s="2886" t="s">
        <v>3827</v>
      </c>
      <c r="B8" s="2886"/>
      <c r="C8" s="2886"/>
      <c r="D8" s="2886"/>
      <c r="E8" s="2886"/>
      <c r="F8" s="114"/>
      <c r="G8" s="114"/>
      <c r="H8" s="114"/>
      <c r="I8" s="114"/>
      <c r="J8" s="478"/>
      <c r="K8" s="98"/>
      <c r="L8" s="98"/>
      <c r="M8" s="1685"/>
      <c r="N8" s="98"/>
      <c r="O8" s="98"/>
      <c r="P8" s="1685"/>
      <c r="Q8" s="98"/>
      <c r="R8" s="1685"/>
      <c r="S8" s="199"/>
      <c r="T8" s="98"/>
      <c r="U8" s="189"/>
      <c r="V8" s="189"/>
      <c r="W8" s="887"/>
      <c r="X8" s="887"/>
      <c r="Y8" s="887"/>
      <c r="Z8" s="887"/>
      <c r="AA8" s="887"/>
      <c r="AB8" s="887"/>
    </row>
    <row r="9" spans="1:28" s="221" customFormat="1" ht="26.4" customHeight="1">
      <c r="A9" s="2887" t="s">
        <v>3830</v>
      </c>
      <c r="B9" s="2887"/>
      <c r="C9" s="2887"/>
      <c r="D9" s="2887"/>
      <c r="E9" s="2887"/>
      <c r="F9" s="2887"/>
      <c r="G9" s="2887"/>
      <c r="H9" s="2887"/>
      <c r="I9" s="2887"/>
      <c r="J9" s="2887"/>
      <c r="K9" s="2887"/>
      <c r="L9" s="2887"/>
      <c r="M9" s="2887"/>
      <c r="N9" s="2887"/>
      <c r="O9" s="2887"/>
      <c r="P9" s="2887"/>
      <c r="Q9" s="2887"/>
      <c r="R9" s="2887"/>
      <c r="S9" s="2887"/>
      <c r="T9" s="2887"/>
      <c r="U9" s="189"/>
      <c r="V9" s="189"/>
      <c r="W9" s="887"/>
      <c r="X9" s="887"/>
      <c r="Y9" s="887"/>
      <c r="Z9" s="887"/>
      <c r="AA9" s="887"/>
      <c r="AB9" s="887"/>
    </row>
    <row r="10" spans="1:28" ht="20.399999999999999" customHeight="1">
      <c r="A10" s="2888" t="s">
        <v>3615</v>
      </c>
      <c r="B10" s="2888"/>
      <c r="C10" s="2888"/>
      <c r="D10" s="2888"/>
      <c r="E10" s="2888"/>
      <c r="F10" s="2888"/>
      <c r="G10" s="2888"/>
      <c r="H10" s="2888"/>
      <c r="I10" s="2888"/>
      <c r="J10" s="2888"/>
      <c r="K10" s="2888"/>
      <c r="L10" s="2888"/>
      <c r="M10" s="2888"/>
      <c r="N10" s="2888"/>
      <c r="O10" s="2888"/>
      <c r="P10" s="2888"/>
      <c r="Q10" s="2888"/>
      <c r="R10" s="2888"/>
      <c r="S10" s="2888"/>
      <c r="T10" s="2888"/>
      <c r="U10" s="2888"/>
      <c r="V10" s="2888"/>
      <c r="W10" s="2888"/>
      <c r="X10" s="2888"/>
      <c r="Y10" s="2888"/>
      <c r="Z10" s="2888"/>
      <c r="AA10" s="2888"/>
      <c r="AB10" s="2888"/>
    </row>
    <row r="11" spans="1:28" s="321" customFormat="1" ht="63.6" customHeight="1">
      <c r="A11" s="2691" t="s">
        <v>728</v>
      </c>
      <c r="B11" s="2691" t="s">
        <v>1899</v>
      </c>
      <c r="C11" s="2717" t="s">
        <v>1064</v>
      </c>
      <c r="D11" s="2717" t="s">
        <v>1065</v>
      </c>
      <c r="E11" s="2716" t="s">
        <v>1081</v>
      </c>
      <c r="F11" s="2716" t="s">
        <v>1173</v>
      </c>
      <c r="G11" s="2716" t="s">
        <v>2336</v>
      </c>
      <c r="H11" s="2691" t="s">
        <v>1916</v>
      </c>
      <c r="I11" s="2715" t="s">
        <v>2882</v>
      </c>
      <c r="J11" s="2715" t="s">
        <v>2883</v>
      </c>
      <c r="K11" s="2691" t="s">
        <v>1915</v>
      </c>
      <c r="L11" s="2691" t="s">
        <v>1970</v>
      </c>
      <c r="M11" s="2692" t="s">
        <v>3824</v>
      </c>
      <c r="N11" s="2818" t="s">
        <v>3835</v>
      </c>
      <c r="O11" s="2691" t="s">
        <v>2881</v>
      </c>
      <c r="P11" s="2692" t="s">
        <v>3825</v>
      </c>
      <c r="Q11" s="2691" t="s">
        <v>3823</v>
      </c>
      <c r="R11" s="2692" t="s">
        <v>3826</v>
      </c>
      <c r="S11" s="2691" t="s">
        <v>1937</v>
      </c>
      <c r="T11" s="2691" t="s">
        <v>2740</v>
      </c>
      <c r="U11" s="2713" t="s">
        <v>729</v>
      </c>
      <c r="V11" s="2713" t="s">
        <v>1083</v>
      </c>
      <c r="W11" s="2745" t="s">
        <v>730</v>
      </c>
      <c r="X11" s="2746"/>
      <c r="Y11" s="2746"/>
      <c r="Z11" s="2746"/>
      <c r="AA11" s="2747"/>
      <c r="AB11" s="2713" t="s">
        <v>731</v>
      </c>
    </row>
    <row r="12" spans="1:28" s="321" customFormat="1" ht="34.799999999999997" customHeight="1">
      <c r="A12" s="2691"/>
      <c r="B12" s="2691"/>
      <c r="C12" s="2717"/>
      <c r="D12" s="2717"/>
      <c r="E12" s="2716"/>
      <c r="F12" s="2716"/>
      <c r="G12" s="2716"/>
      <c r="H12" s="2691"/>
      <c r="I12" s="2715"/>
      <c r="J12" s="2715"/>
      <c r="K12" s="2691"/>
      <c r="L12" s="2691"/>
      <c r="M12" s="2692"/>
      <c r="N12" s="2819"/>
      <c r="O12" s="2691"/>
      <c r="P12" s="2692"/>
      <c r="Q12" s="2691"/>
      <c r="R12" s="2692"/>
      <c r="S12" s="2691"/>
      <c r="T12" s="2691"/>
      <c r="U12" s="2713"/>
      <c r="V12" s="2713"/>
      <c r="W12" s="203">
        <v>2024</v>
      </c>
      <c r="X12" s="203">
        <v>2025</v>
      </c>
      <c r="Y12" s="203">
        <v>2026</v>
      </c>
      <c r="Z12" s="404">
        <v>2027</v>
      </c>
      <c r="AA12" s="404">
        <v>2028</v>
      </c>
      <c r="AB12" s="2713"/>
    </row>
    <row r="13" spans="1:28" ht="52.5" customHeight="1">
      <c r="A13" s="663" t="s">
        <v>1942</v>
      </c>
      <c r="B13" s="663" t="s">
        <v>1174</v>
      </c>
      <c r="C13" s="890"/>
      <c r="D13" s="890"/>
      <c r="E13" s="718">
        <f>SUM(E18)</f>
        <v>1102.03</v>
      </c>
      <c r="F13" s="716">
        <f>H13/E13-1</f>
        <v>3.6868324818743581E-2</v>
      </c>
      <c r="G13" s="718">
        <f t="shared" ref="G13:L13" si="0">SUM(G18)</f>
        <v>0</v>
      </c>
      <c r="H13" s="690">
        <f>SUM(H18)</f>
        <v>1142.6599999999999</v>
      </c>
      <c r="I13" s="717">
        <f>K13/H13-1</f>
        <v>5.0312428893984684E-2</v>
      </c>
      <c r="J13" s="718">
        <f>SUM(J18)</f>
        <v>0</v>
      </c>
      <c r="K13" s="690">
        <f t="shared" si="0"/>
        <v>1200.1500000000003</v>
      </c>
      <c r="L13" s="690">
        <f t="shared" si="0"/>
        <v>1463.8500000000001</v>
      </c>
      <c r="M13" s="1495">
        <f t="shared" ref="M13" si="1">SUM(M18)</f>
        <v>1951.03</v>
      </c>
      <c r="N13" s="2100">
        <f>SUM(L13-K13)/K13</f>
        <v>0.21972253468316438</v>
      </c>
      <c r="O13" s="690">
        <f>SUM(O18)</f>
        <v>1501.5150000000001</v>
      </c>
      <c r="P13" s="1495">
        <f>SUM(P18)</f>
        <v>2089.2800000000002</v>
      </c>
      <c r="Q13" s="690">
        <f>SUM(Q18)</f>
        <v>1572.5632500000002</v>
      </c>
      <c r="R13" s="1495">
        <f>SUM(R18)</f>
        <v>2253.7550000000001</v>
      </c>
      <c r="S13" s="663" t="s">
        <v>882</v>
      </c>
      <c r="T13" s="663"/>
      <c r="U13" s="671" t="s">
        <v>1309</v>
      </c>
      <c r="V13" s="671" t="s">
        <v>884</v>
      </c>
      <c r="W13" s="671" t="s">
        <v>1684</v>
      </c>
      <c r="X13" s="671" t="s">
        <v>1711</v>
      </c>
      <c r="Y13" s="671" t="s">
        <v>2750</v>
      </c>
      <c r="Z13" s="671" t="s">
        <v>2750</v>
      </c>
      <c r="AA13" s="671" t="s">
        <v>2750</v>
      </c>
      <c r="AB13" s="671" t="s">
        <v>884</v>
      </c>
    </row>
    <row r="14" spans="1:28" ht="30.6" customHeight="1">
      <c r="A14" s="2879" t="s">
        <v>1943</v>
      </c>
      <c r="B14" s="2695" t="s">
        <v>1175</v>
      </c>
      <c r="C14" s="2723" t="s">
        <v>1195</v>
      </c>
      <c r="D14" s="719" t="s">
        <v>470</v>
      </c>
      <c r="E14" s="720">
        <v>1077.3499999999999</v>
      </c>
      <c r="F14" s="892">
        <f>H14/E14-1</f>
        <v>3.800993177704548E-2</v>
      </c>
      <c r="G14" s="720">
        <f>SUM(G19,G21,G23,G25,G26,)</f>
        <v>0</v>
      </c>
      <c r="H14" s="722">
        <f t="shared" ref="H14" si="2">SUM(H19,H21,H23,H25,H26,)</f>
        <v>1118.3</v>
      </c>
      <c r="I14" s="723">
        <f>K14/H14-1</f>
        <v>4.623088616650306E-2</v>
      </c>
      <c r="J14" s="720"/>
      <c r="K14" s="722">
        <f>SUM(K19,K21,K23,K25,K26,K27,K28,)</f>
        <v>1170.0000000000002</v>
      </c>
      <c r="L14" s="722">
        <f>SUM(L19,L21,L23,L25,L26,L27,L28,)</f>
        <v>1353.3000000000002</v>
      </c>
      <c r="M14" s="1496">
        <f t="shared" ref="M14" si="3">SUM(M19,M21,M23,M25,M26,M27,M28,)</f>
        <v>1918.3999999999999</v>
      </c>
      <c r="N14" s="2101">
        <f t="shared" ref="N14:N16" si="4">SUM(L14-K14)/K14</f>
        <v>0.15666666666666659</v>
      </c>
      <c r="O14" s="722">
        <f>L14+(L14*5%)</f>
        <v>1420.9650000000001</v>
      </c>
      <c r="P14" s="1496">
        <f t="shared" ref="P14" si="5">SUM(P19,P21,P23,P25,P26,P27,P28,)</f>
        <v>2053.98</v>
      </c>
      <c r="Q14" s="722">
        <f>O14+(O14*5%)</f>
        <v>1492.0132500000002</v>
      </c>
      <c r="R14" s="1496">
        <f t="shared" ref="R14" si="6">SUM(R19,R21,R23,R25,R26,R27,R28,)</f>
        <v>2218.2550000000001</v>
      </c>
      <c r="S14" s="2871" t="s">
        <v>2173</v>
      </c>
      <c r="T14" s="2704" t="s">
        <v>3474</v>
      </c>
      <c r="U14" s="2694" t="s">
        <v>1310</v>
      </c>
      <c r="V14" s="2694" t="s">
        <v>100</v>
      </c>
      <c r="W14" s="2694" t="s">
        <v>1304</v>
      </c>
      <c r="X14" s="2694" t="s">
        <v>1420</v>
      </c>
      <c r="Y14" s="2694" t="s">
        <v>1315</v>
      </c>
      <c r="Z14" s="2694" t="s">
        <v>1315</v>
      </c>
      <c r="AA14" s="2694" t="s">
        <v>1315</v>
      </c>
      <c r="AB14" s="2694" t="s">
        <v>2174</v>
      </c>
    </row>
    <row r="15" spans="1:28" ht="30.6" customHeight="1">
      <c r="A15" s="2879"/>
      <c r="B15" s="2695"/>
      <c r="C15" s="2723"/>
      <c r="D15" s="719" t="s">
        <v>2747</v>
      </c>
      <c r="E15" s="720"/>
      <c r="F15" s="892"/>
      <c r="G15" s="720"/>
      <c r="H15" s="722"/>
      <c r="I15" s="723"/>
      <c r="J15" s="720"/>
      <c r="K15" s="722"/>
      <c r="L15" s="722">
        <f>L24</f>
        <v>30</v>
      </c>
      <c r="M15" s="1496"/>
      <c r="N15" s="2101"/>
      <c r="O15" s="722"/>
      <c r="P15" s="1496"/>
      <c r="Q15" s="722"/>
      <c r="R15" s="1496"/>
      <c r="S15" s="2871"/>
      <c r="T15" s="2704"/>
      <c r="U15" s="2694"/>
      <c r="V15" s="2694"/>
      <c r="W15" s="2694"/>
      <c r="X15" s="2694"/>
      <c r="Y15" s="2694"/>
      <c r="Z15" s="2694"/>
      <c r="AA15" s="2694"/>
      <c r="AB15" s="2694"/>
    </row>
    <row r="16" spans="1:28" ht="28.2" customHeight="1">
      <c r="A16" s="2879"/>
      <c r="B16" s="2695"/>
      <c r="C16" s="2723"/>
      <c r="D16" s="719" t="s">
        <v>1113</v>
      </c>
      <c r="E16" s="720">
        <v>24.68</v>
      </c>
      <c r="F16" s="892">
        <f>H16/E16-1</f>
        <v>-1.2965964343598091E-2</v>
      </c>
      <c r="G16" s="720"/>
      <c r="H16" s="722">
        <v>24.36</v>
      </c>
      <c r="I16" s="723">
        <f>K16/H16-1</f>
        <v>0.23768472906403937</v>
      </c>
      <c r="J16" s="720"/>
      <c r="K16" s="722">
        <f>SUM(K22)</f>
        <v>30.15</v>
      </c>
      <c r="L16" s="722">
        <f>SUM(L22)</f>
        <v>32.549999999999997</v>
      </c>
      <c r="M16" s="1496">
        <v>32.630000000000003</v>
      </c>
      <c r="N16" s="2101">
        <f t="shared" si="4"/>
        <v>7.9601990049751201E-2</v>
      </c>
      <c r="O16" s="722">
        <f>SUM(O22)</f>
        <v>32.549999999999997</v>
      </c>
      <c r="P16" s="1496">
        <v>35.299999999999997</v>
      </c>
      <c r="Q16" s="722">
        <f>SUM(Q22)</f>
        <v>32.549999999999997</v>
      </c>
      <c r="R16" s="1496">
        <v>35.5</v>
      </c>
      <c r="S16" s="2871"/>
      <c r="T16" s="2704"/>
      <c r="U16" s="2694"/>
      <c r="V16" s="2694"/>
      <c r="W16" s="2694"/>
      <c r="X16" s="2694"/>
      <c r="Y16" s="2694"/>
      <c r="Z16" s="2694"/>
      <c r="AA16" s="2694"/>
      <c r="AB16" s="2694"/>
    </row>
    <row r="17" spans="1:29" ht="28.2" customHeight="1">
      <c r="A17" s="2879"/>
      <c r="B17" s="2695"/>
      <c r="C17" s="2723"/>
      <c r="D17" s="719" t="s">
        <v>1111</v>
      </c>
      <c r="E17" s="720"/>
      <c r="F17" s="892"/>
      <c r="G17" s="720"/>
      <c r="H17" s="722"/>
      <c r="I17" s="723"/>
      <c r="J17" s="720"/>
      <c r="K17" s="722"/>
      <c r="L17" s="722">
        <f>L20</f>
        <v>48</v>
      </c>
      <c r="M17" s="1496"/>
      <c r="N17" s="2101"/>
      <c r="O17" s="722">
        <f>O20</f>
        <v>48</v>
      </c>
      <c r="P17" s="1496"/>
      <c r="Q17" s="722">
        <f>Q20</f>
        <v>48</v>
      </c>
      <c r="R17" s="1496"/>
      <c r="S17" s="2871"/>
      <c r="T17" s="2704"/>
      <c r="U17" s="2694"/>
      <c r="V17" s="2694"/>
      <c r="W17" s="2694"/>
      <c r="X17" s="2694"/>
      <c r="Y17" s="2694"/>
      <c r="Z17" s="2694"/>
      <c r="AA17" s="2694"/>
      <c r="AB17" s="2694"/>
    </row>
    <row r="18" spans="1:29" ht="31.95" customHeight="1">
      <c r="A18" s="2879"/>
      <c r="B18" s="2695"/>
      <c r="C18" s="2723"/>
      <c r="D18" s="725" t="s">
        <v>1067</v>
      </c>
      <c r="E18" s="726">
        <f>SUM(E14:E16)</f>
        <v>1102.03</v>
      </c>
      <c r="F18" s="911">
        <f>SUM(F14:F16)</f>
        <v>2.5043967433447389E-2</v>
      </c>
      <c r="G18" s="726">
        <f>SUM(G14:G16)</f>
        <v>0</v>
      </c>
      <c r="H18" s="728">
        <f>SUM(H14:H16)</f>
        <v>1142.6599999999999</v>
      </c>
      <c r="I18" s="729">
        <f>K18/H18-1</f>
        <v>5.0312428893984684E-2</v>
      </c>
      <c r="J18" s="726"/>
      <c r="K18" s="728">
        <f>SUM(K14:K16)</f>
        <v>1200.1500000000003</v>
      </c>
      <c r="L18" s="728">
        <f>SUM(L14:L17)</f>
        <v>1463.8500000000001</v>
      </c>
      <c r="M18" s="1464">
        <f>SUM(M14:M16)</f>
        <v>1951.03</v>
      </c>
      <c r="N18" s="2102">
        <f>SUM(L18-K18)/K18</f>
        <v>0.21972253468316438</v>
      </c>
      <c r="O18" s="728">
        <f>SUM(O14:O17)</f>
        <v>1501.5150000000001</v>
      </c>
      <c r="P18" s="1464">
        <f>SUM(P14:P17)</f>
        <v>2089.2800000000002</v>
      </c>
      <c r="Q18" s="728">
        <f>SUM(Q14:Q17)</f>
        <v>1572.5632500000002</v>
      </c>
      <c r="R18" s="1464">
        <f>SUM(R14:R16)</f>
        <v>2253.7550000000001</v>
      </c>
      <c r="S18" s="2871"/>
      <c r="T18" s="2704"/>
      <c r="U18" s="2694"/>
      <c r="V18" s="2694"/>
      <c r="W18" s="2694"/>
      <c r="X18" s="2694"/>
      <c r="Y18" s="2694"/>
      <c r="Z18" s="2694"/>
      <c r="AA18" s="2694"/>
      <c r="AB18" s="2694"/>
    </row>
    <row r="19" spans="1:29" ht="20.100000000000001" hidden="1" customHeight="1">
      <c r="A19" s="2897"/>
      <c r="B19" s="2899" t="s">
        <v>505</v>
      </c>
      <c r="C19" s="894"/>
      <c r="D19" s="682" t="s">
        <v>470</v>
      </c>
      <c r="E19" s="755"/>
      <c r="F19" s="755"/>
      <c r="G19" s="755"/>
      <c r="H19" s="681">
        <v>15.49</v>
      </c>
      <c r="I19" s="681"/>
      <c r="J19" s="734"/>
      <c r="K19" s="681">
        <v>12.4</v>
      </c>
      <c r="L19" s="681"/>
      <c r="M19" s="1470">
        <v>16</v>
      </c>
      <c r="N19" s="1952"/>
      <c r="O19" s="681"/>
      <c r="P19" s="1470">
        <v>17</v>
      </c>
      <c r="Q19" s="681"/>
      <c r="R19" s="1470">
        <v>18</v>
      </c>
      <c r="S19" s="681"/>
      <c r="T19" s="691" t="s">
        <v>4154</v>
      </c>
      <c r="U19" s="693"/>
      <c r="V19" s="693"/>
      <c r="W19" s="693"/>
      <c r="X19" s="693"/>
      <c r="Y19" s="693"/>
      <c r="Z19" s="693"/>
      <c r="AA19" s="693"/>
      <c r="AB19" s="693"/>
    </row>
    <row r="20" spans="1:29" ht="20.100000000000001" hidden="1" customHeight="1">
      <c r="A20" s="2898"/>
      <c r="B20" s="2900"/>
      <c r="C20" s="894"/>
      <c r="D20" s="682" t="s">
        <v>1111</v>
      </c>
      <c r="E20" s="755"/>
      <c r="F20" s="755"/>
      <c r="G20" s="755"/>
      <c r="H20" s="681"/>
      <c r="I20" s="681"/>
      <c r="J20" s="734"/>
      <c r="K20" s="681"/>
      <c r="L20" s="681">
        <v>48</v>
      </c>
      <c r="M20" s="1470"/>
      <c r="N20" s="1952"/>
      <c r="O20" s="681">
        <v>48</v>
      </c>
      <c r="P20" s="1470"/>
      <c r="Q20" s="681">
        <v>48</v>
      </c>
      <c r="R20" s="1470"/>
      <c r="S20" s="681"/>
      <c r="T20" s="691"/>
      <c r="U20" s="693"/>
      <c r="V20" s="693"/>
      <c r="W20" s="693"/>
      <c r="X20" s="693"/>
      <c r="Y20" s="693"/>
      <c r="Z20" s="693"/>
      <c r="AA20" s="693"/>
      <c r="AB20" s="693"/>
    </row>
    <row r="21" spans="1:29" ht="20.100000000000001" hidden="1" customHeight="1">
      <c r="A21" s="893"/>
      <c r="B21" s="2876" t="s">
        <v>2545</v>
      </c>
      <c r="C21" s="894"/>
      <c r="D21" s="682" t="s">
        <v>470</v>
      </c>
      <c r="E21" s="755"/>
      <c r="F21" s="755"/>
      <c r="G21" s="755"/>
      <c r="H21" s="681">
        <v>622.29999999999995</v>
      </c>
      <c r="I21" s="681"/>
      <c r="J21" s="734"/>
      <c r="K21" s="681">
        <v>567</v>
      </c>
      <c r="L21" s="681">
        <v>587.46</v>
      </c>
      <c r="M21" s="1470">
        <v>1073.5999999999999</v>
      </c>
      <c r="N21" s="1952">
        <f>SUM(L21-K21)/K21</f>
        <v>3.608465608465615E-2</v>
      </c>
      <c r="O21" s="681"/>
      <c r="P21" s="1470">
        <v>1127</v>
      </c>
      <c r="Q21" s="681"/>
      <c r="R21" s="1470">
        <v>1183.4000000000001</v>
      </c>
      <c r="S21" s="681"/>
      <c r="T21" s="691"/>
      <c r="U21" s="693"/>
      <c r="V21" s="1711" t="s">
        <v>4006</v>
      </c>
      <c r="W21" s="693"/>
      <c r="X21" s="693"/>
      <c r="Y21" s="693"/>
      <c r="Z21" s="693"/>
      <c r="AA21" s="693"/>
      <c r="AB21" s="693"/>
    </row>
    <row r="22" spans="1:29" ht="20.100000000000001" hidden="1" customHeight="1">
      <c r="A22" s="893"/>
      <c r="B22" s="2876"/>
      <c r="C22" s="894"/>
      <c r="D22" s="682" t="s">
        <v>1744</v>
      </c>
      <c r="E22" s="755"/>
      <c r="F22" s="755"/>
      <c r="G22" s="755"/>
      <c r="H22" s="681">
        <f>H16</f>
        <v>24.36</v>
      </c>
      <c r="I22" s="681"/>
      <c r="J22" s="734"/>
      <c r="K22" s="681">
        <v>30.15</v>
      </c>
      <c r="L22" s="681">
        <v>32.549999999999997</v>
      </c>
      <c r="M22" s="1470"/>
      <c r="N22" s="1952">
        <f t="shared" ref="N22:N87" si="7">SUM(L22-K22)/K22</f>
        <v>7.9601990049751201E-2</v>
      </c>
      <c r="O22" s="681">
        <v>32.549999999999997</v>
      </c>
      <c r="P22" s="1470"/>
      <c r="Q22" s="681">
        <v>32.549999999999997</v>
      </c>
      <c r="R22" s="1470"/>
      <c r="S22" s="681"/>
      <c r="T22" s="691"/>
      <c r="U22" s="693"/>
      <c r="V22" s="1711"/>
      <c r="W22" s="693"/>
      <c r="X22" s="693"/>
      <c r="Y22" s="693"/>
      <c r="Z22" s="693"/>
      <c r="AA22" s="693"/>
      <c r="AB22" s="693"/>
    </row>
    <row r="23" spans="1:29" ht="20.100000000000001" hidden="1" customHeight="1">
      <c r="A23" s="2867"/>
      <c r="B23" s="2869" t="s">
        <v>4190</v>
      </c>
      <c r="C23" s="2576"/>
      <c r="D23" s="2577" t="s">
        <v>470</v>
      </c>
      <c r="E23" s="2578"/>
      <c r="F23" s="2578"/>
      <c r="G23" s="2578"/>
      <c r="H23" s="1906">
        <v>251.62</v>
      </c>
      <c r="I23" s="1906"/>
      <c r="J23" s="2579"/>
      <c r="K23" s="1906">
        <v>292.3</v>
      </c>
      <c r="L23" s="1906">
        <f>353.13</f>
        <v>353.13</v>
      </c>
      <c r="M23" s="1686">
        <v>400</v>
      </c>
      <c r="N23" s="2580">
        <f t="shared" si="7"/>
        <v>0.20810810810810804</v>
      </c>
      <c r="O23" s="1906"/>
      <c r="P23" s="1686">
        <v>420</v>
      </c>
      <c r="Q23" s="1906"/>
      <c r="R23" s="1686">
        <v>440</v>
      </c>
      <c r="S23" s="1906"/>
      <c r="T23" s="2581" t="s">
        <v>4455</v>
      </c>
      <c r="U23" s="693"/>
      <c r="V23" s="1711" t="s">
        <v>4007</v>
      </c>
      <c r="W23" s="693"/>
      <c r="X23" s="693"/>
      <c r="Y23" s="693"/>
      <c r="Z23" s="693"/>
      <c r="AA23" s="693"/>
      <c r="AB23" s="693"/>
    </row>
    <row r="24" spans="1:29" ht="20.100000000000001" hidden="1" customHeight="1">
      <c r="A24" s="2868"/>
      <c r="B24" s="2870"/>
      <c r="C24" s="2576"/>
      <c r="D24" s="2577" t="s">
        <v>4688</v>
      </c>
      <c r="E24" s="2578"/>
      <c r="F24" s="2578"/>
      <c r="G24" s="2578"/>
      <c r="H24" s="1906"/>
      <c r="I24" s="1906"/>
      <c r="J24" s="2579"/>
      <c r="K24" s="1906"/>
      <c r="L24" s="1906">
        <v>30</v>
      </c>
      <c r="M24" s="1686"/>
      <c r="N24" s="2580"/>
      <c r="O24" s="1906"/>
      <c r="P24" s="1686"/>
      <c r="Q24" s="1906"/>
      <c r="R24" s="1686"/>
      <c r="S24" s="1906"/>
      <c r="T24" s="2581"/>
      <c r="U24" s="693"/>
      <c r="V24" s="1711"/>
      <c r="W24" s="693"/>
      <c r="X24" s="693"/>
      <c r="Y24" s="693"/>
      <c r="Z24" s="693"/>
      <c r="AA24" s="693"/>
      <c r="AB24" s="693"/>
    </row>
    <row r="25" spans="1:29" ht="20.100000000000001" hidden="1" customHeight="1">
      <c r="A25" s="893"/>
      <c r="B25" s="693" t="s">
        <v>2546</v>
      </c>
      <c r="C25" s="894"/>
      <c r="D25" s="682" t="s">
        <v>470</v>
      </c>
      <c r="E25" s="755"/>
      <c r="F25" s="755"/>
      <c r="G25" s="755"/>
      <c r="H25" s="681">
        <v>141.85</v>
      </c>
      <c r="I25" s="681"/>
      <c r="J25" s="734"/>
      <c r="K25" s="681">
        <v>151</v>
      </c>
      <c r="L25" s="681">
        <v>183.78</v>
      </c>
      <c r="M25" s="1470">
        <v>194</v>
      </c>
      <c r="N25" s="1952">
        <f t="shared" si="7"/>
        <v>0.2170860927152318</v>
      </c>
      <c r="O25" s="681"/>
      <c r="P25" s="1470">
        <v>203.7</v>
      </c>
      <c r="Q25" s="681"/>
      <c r="R25" s="1470">
        <v>213.85499999999999</v>
      </c>
      <c r="S25" s="681"/>
      <c r="T25" s="691"/>
      <c r="U25" s="693"/>
      <c r="V25" s="1711" t="s">
        <v>4008</v>
      </c>
      <c r="W25" s="693"/>
      <c r="X25" s="693"/>
      <c r="Y25" s="693"/>
      <c r="Z25" s="693"/>
      <c r="AA25" s="693"/>
      <c r="AB25" s="693"/>
    </row>
    <row r="26" spans="1:29" ht="25.5" hidden="1" customHeight="1">
      <c r="A26" s="893"/>
      <c r="B26" s="693" t="s">
        <v>2547</v>
      </c>
      <c r="C26" s="894"/>
      <c r="D26" s="682" t="s">
        <v>470</v>
      </c>
      <c r="E26" s="755"/>
      <c r="F26" s="755"/>
      <c r="G26" s="755"/>
      <c r="H26" s="681">
        <v>87.04</v>
      </c>
      <c r="I26" s="681"/>
      <c r="J26" s="734"/>
      <c r="K26" s="681">
        <v>77</v>
      </c>
      <c r="L26" s="681">
        <v>141.82</v>
      </c>
      <c r="M26" s="1470">
        <v>90</v>
      </c>
      <c r="N26" s="1952">
        <f t="shared" si="7"/>
        <v>0.84181818181818169</v>
      </c>
      <c r="O26" s="681"/>
      <c r="P26" s="1470">
        <v>100</v>
      </c>
      <c r="Q26" s="681"/>
      <c r="R26" s="1470">
        <v>110</v>
      </c>
      <c r="S26" s="681"/>
      <c r="T26" s="691"/>
      <c r="U26" s="693"/>
      <c r="V26" s="1711" t="s">
        <v>4009</v>
      </c>
      <c r="W26" s="693"/>
      <c r="X26" s="693"/>
      <c r="Y26" s="693"/>
      <c r="Z26" s="693"/>
      <c r="AA26" s="693"/>
      <c r="AB26" s="693"/>
    </row>
    <row r="27" spans="1:29" ht="25.5" hidden="1" customHeight="1">
      <c r="A27" s="893"/>
      <c r="B27" s="693" t="s">
        <v>3472</v>
      </c>
      <c r="C27" s="894"/>
      <c r="D27" s="682" t="s">
        <v>470</v>
      </c>
      <c r="E27" s="755"/>
      <c r="F27" s="755"/>
      <c r="G27" s="755"/>
      <c r="H27" s="681"/>
      <c r="I27" s="681"/>
      <c r="J27" s="734"/>
      <c r="K27" s="681">
        <v>16.899999999999999</v>
      </c>
      <c r="L27" s="681">
        <v>28.93</v>
      </c>
      <c r="M27" s="1470">
        <v>70</v>
      </c>
      <c r="N27" s="1952">
        <f t="shared" si="7"/>
        <v>0.71183431952662735</v>
      </c>
      <c r="O27" s="681"/>
      <c r="P27" s="1470">
        <v>94</v>
      </c>
      <c r="Q27" s="681"/>
      <c r="R27" s="1470">
        <v>151</v>
      </c>
      <c r="S27" s="681"/>
      <c r="T27" s="691"/>
      <c r="U27" s="693"/>
      <c r="V27" s="1711" t="s">
        <v>4010</v>
      </c>
      <c r="W27" s="693"/>
      <c r="X27" s="693"/>
      <c r="Y27" s="693"/>
      <c r="Z27" s="693"/>
      <c r="AA27" s="693"/>
      <c r="AB27" s="693"/>
    </row>
    <row r="28" spans="1:29" ht="25.5" hidden="1" customHeight="1">
      <c r="A28" s="893"/>
      <c r="B28" s="693" t="s">
        <v>3473</v>
      </c>
      <c r="C28" s="894"/>
      <c r="D28" s="682" t="s">
        <v>470</v>
      </c>
      <c r="E28" s="755"/>
      <c r="F28" s="755"/>
      <c r="G28" s="755"/>
      <c r="H28" s="681"/>
      <c r="I28" s="681"/>
      <c r="J28" s="734"/>
      <c r="K28" s="681">
        <v>53.4</v>
      </c>
      <c r="L28" s="681">
        <v>58.18</v>
      </c>
      <c r="M28" s="1470">
        <v>74.8</v>
      </c>
      <c r="N28" s="1952">
        <f t="shared" si="7"/>
        <v>8.9513108614232229E-2</v>
      </c>
      <c r="O28" s="681"/>
      <c r="P28" s="1470">
        <v>92.28</v>
      </c>
      <c r="Q28" s="681"/>
      <c r="R28" s="1470">
        <v>102</v>
      </c>
      <c r="S28" s="681"/>
      <c r="T28" s="691"/>
      <c r="U28" s="693"/>
      <c r="V28" s="1711" t="s">
        <v>4011</v>
      </c>
      <c r="W28" s="693"/>
      <c r="X28" s="693"/>
      <c r="Y28" s="693"/>
      <c r="Z28" s="693"/>
      <c r="AA28" s="693"/>
      <c r="AB28" s="693"/>
    </row>
    <row r="29" spans="1:29" ht="66" customHeight="1">
      <c r="A29" s="895" t="s">
        <v>1944</v>
      </c>
      <c r="B29" s="671" t="s">
        <v>1308</v>
      </c>
      <c r="C29" s="896"/>
      <c r="D29" s="697"/>
      <c r="E29" s="745">
        <f>SUM(E32,E44,E46,E50,E58,E74)</f>
        <v>194.8</v>
      </c>
      <c r="F29" s="897">
        <f>H29/E29-1</f>
        <v>1.3520790554414783</v>
      </c>
      <c r="G29" s="745">
        <f>SUM(G32,G44,G46,G50,G58,G74)</f>
        <v>155</v>
      </c>
      <c r="H29" s="746">
        <f>SUM(H32,H44,H46,H50,H58,H74)</f>
        <v>458.185</v>
      </c>
      <c r="I29" s="747">
        <f>K29/H29-1</f>
        <v>0.35602649584774726</v>
      </c>
      <c r="J29" s="745"/>
      <c r="K29" s="746">
        <f>SUM(K32,K44,K46,K50,K58,K74)</f>
        <v>621.31100000000004</v>
      </c>
      <c r="L29" s="746">
        <f>SUM(L32,L44,L46,L50,L58,L74,L52)</f>
        <v>944.21400000000006</v>
      </c>
      <c r="M29" s="746">
        <f t="shared" ref="M29:Q29" si="8">SUM(M32,M44,M46,M50,M58,M74,M52)</f>
        <v>886.21400000000006</v>
      </c>
      <c r="N29" s="746" t="e">
        <f t="shared" si="8"/>
        <v>#DIV/0!</v>
      </c>
      <c r="O29" s="746">
        <f t="shared" si="8"/>
        <v>460</v>
      </c>
      <c r="P29" s="746">
        <f t="shared" si="8"/>
        <v>382</v>
      </c>
      <c r="Q29" s="746">
        <f t="shared" si="8"/>
        <v>472</v>
      </c>
      <c r="R29" s="1497">
        <f t="shared" ref="O29:R29" si="9">SUM(R32,R44,R46,R50,R58,R74)</f>
        <v>411</v>
      </c>
      <c r="S29" s="746" t="s">
        <v>893</v>
      </c>
      <c r="T29" s="898"/>
      <c r="U29" s="671" t="s">
        <v>1311</v>
      </c>
      <c r="V29" s="671" t="s">
        <v>895</v>
      </c>
      <c r="W29" s="671" t="s">
        <v>1305</v>
      </c>
      <c r="X29" s="671" t="s">
        <v>1306</v>
      </c>
      <c r="Y29" s="671" t="s">
        <v>142</v>
      </c>
      <c r="Z29" s="671" t="s">
        <v>142</v>
      </c>
      <c r="AA29" s="671" t="s">
        <v>142</v>
      </c>
      <c r="AB29" s="671" t="s">
        <v>895</v>
      </c>
    </row>
    <row r="30" spans="1:29" ht="27.75" customHeight="1">
      <c r="A30" s="2877" t="s">
        <v>4063</v>
      </c>
      <c r="B30" s="2703" t="s">
        <v>4346</v>
      </c>
      <c r="C30" s="2719">
        <v>188711925</v>
      </c>
      <c r="D30" s="706" t="s">
        <v>470</v>
      </c>
      <c r="E30" s="720">
        <v>43.8</v>
      </c>
      <c r="F30" s="892">
        <f>H30/E30-1</f>
        <v>-0.31506849315068486</v>
      </c>
      <c r="G30" s="720">
        <v>45</v>
      </c>
      <c r="H30" s="722">
        <f>30</f>
        <v>30</v>
      </c>
      <c r="I30" s="723">
        <f>K30/H30-1</f>
        <v>1.3666666666666667</v>
      </c>
      <c r="J30" s="720">
        <f>SUM(J35,J36,J37,J38,J39,J40,J41,J42,J33,J34)</f>
        <v>72</v>
      </c>
      <c r="K30" s="722">
        <v>71</v>
      </c>
      <c r="L30" s="722">
        <f>SUM(L33,L34,L35)</f>
        <v>160</v>
      </c>
      <c r="M30" s="1496">
        <f>SUM(M33,M34)</f>
        <v>85</v>
      </c>
      <c r="N30" s="2101">
        <f t="shared" si="7"/>
        <v>1.2535211267605635</v>
      </c>
      <c r="O30" s="722">
        <f t="shared" ref="O30:Q30" si="10">SUM(O33,O34,O35)</f>
        <v>170</v>
      </c>
      <c r="P30" s="1496">
        <f t="shared" si="10"/>
        <v>85</v>
      </c>
      <c r="Q30" s="722">
        <f t="shared" si="10"/>
        <v>170</v>
      </c>
      <c r="R30" s="1496">
        <f>SUM(R35,R36,R37,R38,R39,R40,R41,R42,R33,R34)</f>
        <v>115</v>
      </c>
      <c r="S30" s="2871" t="s">
        <v>2177</v>
      </c>
      <c r="T30" s="2704" t="s">
        <v>4686</v>
      </c>
      <c r="U30" s="2694" t="s">
        <v>1312</v>
      </c>
      <c r="V30" s="2694" t="s">
        <v>1307</v>
      </c>
      <c r="W30" s="2694" t="s">
        <v>308</v>
      </c>
      <c r="X30" s="2694" t="s">
        <v>142</v>
      </c>
      <c r="Y30" s="2694" t="s">
        <v>3122</v>
      </c>
      <c r="Z30" s="2694" t="s">
        <v>1427</v>
      </c>
      <c r="AA30" s="2694" t="s">
        <v>1427</v>
      </c>
      <c r="AB30" s="2694" t="s">
        <v>2178</v>
      </c>
      <c r="AC30" s="278" t="s">
        <v>2548</v>
      </c>
    </row>
    <row r="31" spans="1:29" ht="27.75" customHeight="1">
      <c r="A31" s="2878"/>
      <c r="B31" s="2703"/>
      <c r="C31" s="2719"/>
      <c r="D31" s="706" t="s">
        <v>2747</v>
      </c>
      <c r="E31" s="720"/>
      <c r="F31" s="892"/>
      <c r="G31" s="720"/>
      <c r="H31" s="722">
        <v>20</v>
      </c>
      <c r="I31" s="722"/>
      <c r="J31" s="720"/>
      <c r="K31" s="722"/>
      <c r="L31" s="722"/>
      <c r="M31" s="1496"/>
      <c r="N31" s="2101"/>
      <c r="O31" s="722"/>
      <c r="P31" s="1496"/>
      <c r="Q31" s="722"/>
      <c r="R31" s="1496"/>
      <c r="S31" s="2871"/>
      <c r="T31" s="2704"/>
      <c r="U31" s="2694"/>
      <c r="V31" s="2694"/>
      <c r="W31" s="2694"/>
      <c r="X31" s="2694"/>
      <c r="Y31" s="2694"/>
      <c r="Z31" s="2694"/>
      <c r="AA31" s="2694"/>
      <c r="AB31" s="2694"/>
    </row>
    <row r="32" spans="1:29" ht="50.25" customHeight="1">
      <c r="A32" s="2878"/>
      <c r="B32" s="2703"/>
      <c r="C32" s="2719"/>
      <c r="D32" s="725" t="s">
        <v>1067</v>
      </c>
      <c r="E32" s="726">
        <f>E30</f>
        <v>43.8</v>
      </c>
      <c r="F32" s="911">
        <f>H32/E32-1</f>
        <v>0.14155251141552516</v>
      </c>
      <c r="G32" s="726">
        <f t="shared" ref="G32" si="11">G30</f>
        <v>45</v>
      </c>
      <c r="H32" s="728">
        <f>H30+H31</f>
        <v>50</v>
      </c>
      <c r="I32" s="729">
        <f>K32/H32-1</f>
        <v>0.41999999999999993</v>
      </c>
      <c r="J32" s="726">
        <f>SUM(J30,J31)</f>
        <v>72</v>
      </c>
      <c r="K32" s="728">
        <f>SUM(K30,K31)</f>
        <v>71</v>
      </c>
      <c r="L32" s="728">
        <f t="shared" ref="L32:O32" si="12">SUM(L30,L31)</f>
        <v>160</v>
      </c>
      <c r="M32" s="1464">
        <f t="shared" ref="M32" si="13">SUM(M30,M31)</f>
        <v>85</v>
      </c>
      <c r="N32" s="2102">
        <f t="shared" si="7"/>
        <v>1.2535211267605635</v>
      </c>
      <c r="O32" s="728">
        <f t="shared" si="12"/>
        <v>170</v>
      </c>
      <c r="P32" s="1464">
        <f t="shared" ref="P32:Q32" si="14">SUM(P30,P31)</f>
        <v>85</v>
      </c>
      <c r="Q32" s="728">
        <f t="shared" si="14"/>
        <v>170</v>
      </c>
      <c r="R32" s="1464">
        <f t="shared" ref="R32" si="15">SUM(R30,R31)</f>
        <v>115</v>
      </c>
      <c r="S32" s="2871"/>
      <c r="T32" s="2704"/>
      <c r="U32" s="2694"/>
      <c r="V32" s="2694"/>
      <c r="W32" s="2694"/>
      <c r="X32" s="2694"/>
      <c r="Y32" s="2694"/>
      <c r="Z32" s="2694"/>
      <c r="AA32" s="2694"/>
      <c r="AB32" s="2694"/>
    </row>
    <row r="33" spans="1:29" ht="52.95" hidden="1" customHeight="1">
      <c r="A33" s="899"/>
      <c r="B33" s="673" t="s">
        <v>3205</v>
      </c>
      <c r="C33" s="900"/>
      <c r="D33" s="780"/>
      <c r="E33" s="689"/>
      <c r="F33" s="756"/>
      <c r="G33" s="689"/>
      <c r="H33" s="689"/>
      <c r="I33" s="689"/>
      <c r="J33" s="681">
        <v>50</v>
      </c>
      <c r="K33" s="681">
        <v>50</v>
      </c>
      <c r="L33" s="681">
        <v>65</v>
      </c>
      <c r="M33" s="1470">
        <v>70</v>
      </c>
      <c r="N33" s="1952">
        <f t="shared" si="7"/>
        <v>0.3</v>
      </c>
      <c r="O33" s="681">
        <v>65</v>
      </c>
      <c r="P33" s="681">
        <v>65</v>
      </c>
      <c r="Q33" s="681">
        <v>65</v>
      </c>
      <c r="R33" s="1470">
        <v>90</v>
      </c>
      <c r="S33" s="689"/>
      <c r="T33" s="1462" t="s">
        <v>4016</v>
      </c>
      <c r="U33" s="688"/>
      <c r="V33" s="688"/>
      <c r="W33" s="688"/>
      <c r="X33" s="688"/>
      <c r="Y33" s="688"/>
      <c r="Z33" s="688"/>
      <c r="AA33" s="688"/>
      <c r="AB33" s="688"/>
    </row>
    <row r="34" spans="1:29" ht="46.2" hidden="1" customHeight="1">
      <c r="A34" s="899"/>
      <c r="B34" s="673" t="s">
        <v>3206</v>
      </c>
      <c r="C34" s="900"/>
      <c r="D34" s="780"/>
      <c r="E34" s="689"/>
      <c r="F34" s="756"/>
      <c r="G34" s="689"/>
      <c r="H34" s="689"/>
      <c r="I34" s="689"/>
      <c r="J34" s="681">
        <v>15</v>
      </c>
      <c r="K34" s="681">
        <v>15</v>
      </c>
      <c r="L34" s="681">
        <v>15</v>
      </c>
      <c r="M34" s="1470">
        <v>15</v>
      </c>
      <c r="N34" s="1952">
        <f t="shared" si="7"/>
        <v>0</v>
      </c>
      <c r="O34" s="681">
        <v>25</v>
      </c>
      <c r="P34" s="1470">
        <v>20</v>
      </c>
      <c r="Q34" s="681">
        <v>25</v>
      </c>
      <c r="R34" s="1470">
        <v>25</v>
      </c>
      <c r="S34" s="689"/>
      <c r="T34" s="1462" t="s">
        <v>4021</v>
      </c>
      <c r="U34" s="177"/>
      <c r="V34" s="177"/>
      <c r="W34" s="177"/>
      <c r="X34" s="177"/>
      <c r="Y34" s="177"/>
      <c r="Z34" s="177"/>
      <c r="AA34" s="177"/>
      <c r="AB34" s="177"/>
    </row>
    <row r="35" spans="1:29" ht="36.6" hidden="1" customHeight="1">
      <c r="A35" s="899"/>
      <c r="B35" s="673" t="s">
        <v>4191</v>
      </c>
      <c r="C35" s="900"/>
      <c r="D35" s="780"/>
      <c r="E35" s="689"/>
      <c r="F35" s="756"/>
      <c r="G35" s="689"/>
      <c r="H35" s="681">
        <v>2</v>
      </c>
      <c r="I35" s="737"/>
      <c r="J35" s="681">
        <f>2+5</f>
        <v>7</v>
      </c>
      <c r="K35" s="681"/>
      <c r="L35" s="681">
        <v>80</v>
      </c>
      <c r="M35" s="1470"/>
      <c r="N35" s="1952"/>
      <c r="O35" s="681">
        <v>80</v>
      </c>
      <c r="P35" s="1470"/>
      <c r="Q35" s="681">
        <v>80</v>
      </c>
      <c r="R35" s="1470"/>
      <c r="S35" s="689"/>
      <c r="T35" s="1113"/>
      <c r="U35" s="177"/>
      <c r="V35" s="177"/>
      <c r="W35" s="177"/>
      <c r="X35" s="177"/>
      <c r="Y35" s="177"/>
      <c r="Z35" s="177"/>
      <c r="AA35" s="177"/>
      <c r="AB35" s="177"/>
    </row>
    <row r="36" spans="1:29" ht="33.75" hidden="1" customHeight="1">
      <c r="A36" s="899"/>
      <c r="B36" s="673"/>
      <c r="C36" s="900"/>
      <c r="D36" s="780"/>
      <c r="E36" s="689"/>
      <c r="F36" s="756"/>
      <c r="G36" s="689"/>
      <c r="H36" s="681"/>
      <c r="I36" s="737"/>
      <c r="J36" s="681"/>
      <c r="K36" s="737"/>
      <c r="L36" s="681"/>
      <c r="M36" s="1470"/>
      <c r="N36" s="2103" t="e">
        <f t="shared" si="7"/>
        <v>#DIV/0!</v>
      </c>
      <c r="O36" s="681"/>
      <c r="P36" s="1470"/>
      <c r="Q36" s="681"/>
      <c r="R36" s="1470"/>
      <c r="S36" s="689"/>
      <c r="T36" s="665"/>
      <c r="U36" s="177"/>
      <c r="V36" s="177"/>
      <c r="W36" s="177"/>
      <c r="X36" s="177"/>
      <c r="Y36" s="177"/>
      <c r="Z36" s="177"/>
      <c r="AA36" s="177"/>
      <c r="AB36" s="177"/>
    </row>
    <row r="37" spans="1:29" ht="39" hidden="1" customHeight="1">
      <c r="A37" s="688"/>
      <c r="B37" s="673"/>
      <c r="C37" s="900"/>
      <c r="D37" s="780"/>
      <c r="E37" s="689"/>
      <c r="F37" s="756"/>
      <c r="G37" s="689"/>
      <c r="H37" s="681"/>
      <c r="I37" s="737"/>
      <c r="J37" s="681"/>
      <c r="K37" s="737"/>
      <c r="L37" s="681"/>
      <c r="M37" s="1470"/>
      <c r="N37" s="2103" t="e">
        <f t="shared" si="7"/>
        <v>#DIV/0!</v>
      </c>
      <c r="O37" s="681"/>
      <c r="P37" s="1470"/>
      <c r="Q37" s="681"/>
      <c r="R37" s="1470"/>
      <c r="S37" s="689"/>
      <c r="T37" s="901"/>
      <c r="U37" s="177"/>
      <c r="V37" s="177"/>
      <c r="W37" s="177"/>
      <c r="X37" s="177"/>
      <c r="Y37" s="177"/>
      <c r="Z37" s="177"/>
      <c r="AA37" s="177"/>
      <c r="AB37" s="177"/>
    </row>
    <row r="38" spans="1:29" ht="43.95" hidden="1" customHeight="1">
      <c r="A38" s="688"/>
      <c r="B38" s="673"/>
      <c r="C38" s="900"/>
      <c r="D38" s="780"/>
      <c r="E38" s="689"/>
      <c r="F38" s="756"/>
      <c r="G38" s="689"/>
      <c r="H38" s="681"/>
      <c r="I38" s="737"/>
      <c r="J38" s="681"/>
      <c r="K38" s="737"/>
      <c r="L38" s="681"/>
      <c r="M38" s="1470"/>
      <c r="N38" s="2103" t="e">
        <f t="shared" si="7"/>
        <v>#DIV/0!</v>
      </c>
      <c r="O38" s="681"/>
      <c r="P38" s="1470"/>
      <c r="Q38" s="681"/>
      <c r="R38" s="1470"/>
      <c r="S38" s="689"/>
      <c r="T38" s="901"/>
      <c r="U38" s="177"/>
      <c r="V38" s="177"/>
      <c r="W38" s="177"/>
      <c r="X38" s="177"/>
      <c r="Y38" s="177"/>
      <c r="Z38" s="177"/>
      <c r="AA38" s="177"/>
      <c r="AB38" s="177"/>
    </row>
    <row r="39" spans="1:29" ht="30.6" hidden="1" customHeight="1">
      <c r="A39" s="688"/>
      <c r="B39" s="673"/>
      <c r="C39" s="900"/>
      <c r="D39" s="780"/>
      <c r="E39" s="689"/>
      <c r="F39" s="756"/>
      <c r="G39" s="689"/>
      <c r="H39" s="681"/>
      <c r="I39" s="737"/>
      <c r="J39" s="681"/>
      <c r="K39" s="737"/>
      <c r="L39" s="681"/>
      <c r="M39" s="1470"/>
      <c r="N39" s="2103" t="e">
        <f t="shared" si="7"/>
        <v>#DIV/0!</v>
      </c>
      <c r="O39" s="681"/>
      <c r="P39" s="1470"/>
      <c r="Q39" s="681"/>
      <c r="R39" s="1470"/>
      <c r="S39" s="689"/>
      <c r="T39" s="901"/>
      <c r="U39" s="177"/>
      <c r="V39" s="177"/>
      <c r="W39" s="177"/>
      <c r="X39" s="177"/>
      <c r="Y39" s="177"/>
      <c r="Z39" s="177"/>
      <c r="AA39" s="177"/>
      <c r="AB39" s="177"/>
    </row>
    <row r="40" spans="1:29" ht="24.6" hidden="1" customHeight="1">
      <c r="A40" s="899"/>
      <c r="B40" s="673"/>
      <c r="C40" s="900"/>
      <c r="D40" s="780"/>
      <c r="E40" s="689"/>
      <c r="F40" s="756"/>
      <c r="G40" s="689"/>
      <c r="H40" s="681"/>
      <c r="I40" s="737"/>
      <c r="J40" s="681"/>
      <c r="K40" s="737"/>
      <c r="L40" s="681"/>
      <c r="M40" s="1470"/>
      <c r="N40" s="2103" t="e">
        <f t="shared" si="7"/>
        <v>#DIV/0!</v>
      </c>
      <c r="O40" s="681"/>
      <c r="P40" s="1470"/>
      <c r="Q40" s="681"/>
      <c r="R40" s="1470"/>
      <c r="S40" s="689"/>
      <c r="T40" s="901"/>
      <c r="U40" s="177"/>
      <c r="V40" s="177"/>
      <c r="W40" s="177"/>
      <c r="X40" s="177"/>
      <c r="Y40" s="177"/>
      <c r="Z40" s="177"/>
      <c r="AA40" s="177"/>
      <c r="AB40" s="177"/>
    </row>
    <row r="41" spans="1:29" ht="22.95" hidden="1" customHeight="1">
      <c r="A41" s="899"/>
      <c r="B41" s="673"/>
      <c r="C41" s="900"/>
      <c r="D41" s="780"/>
      <c r="E41" s="689"/>
      <c r="F41" s="756"/>
      <c r="G41" s="689"/>
      <c r="H41" s="681"/>
      <c r="I41" s="737"/>
      <c r="J41" s="681"/>
      <c r="K41" s="737"/>
      <c r="L41" s="681"/>
      <c r="M41" s="1470"/>
      <c r="N41" s="2103" t="e">
        <f t="shared" si="7"/>
        <v>#DIV/0!</v>
      </c>
      <c r="O41" s="681"/>
      <c r="P41" s="1470"/>
      <c r="Q41" s="681"/>
      <c r="R41" s="1470"/>
      <c r="S41" s="689"/>
      <c r="T41" s="901"/>
      <c r="U41" s="177"/>
      <c r="V41" s="177"/>
      <c r="W41" s="177"/>
      <c r="X41" s="177"/>
      <c r="Y41" s="177"/>
      <c r="Z41" s="177"/>
      <c r="AA41" s="177"/>
      <c r="AB41" s="177"/>
    </row>
    <row r="42" spans="1:29" ht="21.6" hidden="1" customHeight="1">
      <c r="A42" s="899"/>
      <c r="B42" s="673"/>
      <c r="C42" s="900"/>
      <c r="D42" s="780"/>
      <c r="E42" s="689"/>
      <c r="F42" s="756"/>
      <c r="G42" s="689"/>
      <c r="H42" s="681"/>
      <c r="I42" s="737"/>
      <c r="J42" s="681"/>
      <c r="K42" s="737"/>
      <c r="L42" s="681"/>
      <c r="M42" s="1470"/>
      <c r="N42" s="2103" t="e">
        <f t="shared" si="7"/>
        <v>#DIV/0!</v>
      </c>
      <c r="O42" s="681"/>
      <c r="P42" s="1470"/>
      <c r="Q42" s="681"/>
      <c r="R42" s="1470"/>
      <c r="S42" s="689"/>
      <c r="T42" s="901"/>
      <c r="U42" s="177"/>
      <c r="V42" s="177"/>
      <c r="W42" s="177"/>
      <c r="X42" s="177"/>
      <c r="Y42" s="177"/>
      <c r="Z42" s="177"/>
      <c r="AA42" s="177"/>
      <c r="AB42" s="177"/>
    </row>
    <row r="43" spans="1:29" ht="34.200000000000003" customHeight="1">
      <c r="A43" s="2879" t="s">
        <v>1945</v>
      </c>
      <c r="B43" s="2699" t="s">
        <v>3672</v>
      </c>
      <c r="C43" s="2719">
        <v>188711925</v>
      </c>
      <c r="D43" s="706" t="s">
        <v>470</v>
      </c>
      <c r="E43" s="720">
        <v>40</v>
      </c>
      <c r="F43" s="892">
        <f>H43/E43-1</f>
        <v>0.5</v>
      </c>
      <c r="G43" s="720">
        <v>40</v>
      </c>
      <c r="H43" s="767">
        <v>60</v>
      </c>
      <c r="I43" s="912">
        <f>K43/H43-1</f>
        <v>-0.48333333333333328</v>
      </c>
      <c r="J43" s="876">
        <v>31</v>
      </c>
      <c r="K43" s="767">
        <v>31</v>
      </c>
      <c r="L43" s="722">
        <v>8.4700000000000006</v>
      </c>
      <c r="M43" s="1496">
        <v>8.4700000000000006</v>
      </c>
      <c r="N43" s="2101">
        <f>SUM(L43-K43)/K43</f>
        <v>-0.72677419354838713</v>
      </c>
      <c r="O43" s="722">
        <v>0</v>
      </c>
      <c r="P43" s="1496">
        <v>0</v>
      </c>
      <c r="Q43" s="722">
        <v>0</v>
      </c>
      <c r="R43" s="1496">
        <v>0</v>
      </c>
      <c r="S43" s="2871" t="s">
        <v>2179</v>
      </c>
      <c r="T43" s="2704" t="s">
        <v>3970</v>
      </c>
      <c r="U43" s="2694" t="s">
        <v>1313</v>
      </c>
      <c r="V43" s="2694" t="s">
        <v>3475</v>
      </c>
      <c r="W43" s="2694" t="s">
        <v>433</v>
      </c>
      <c r="X43" s="2694" t="s">
        <v>324</v>
      </c>
      <c r="Y43" s="2906" t="s">
        <v>324</v>
      </c>
      <c r="Z43" s="2694" t="s">
        <v>433</v>
      </c>
      <c r="AA43" s="2694" t="s">
        <v>433</v>
      </c>
      <c r="AB43" s="2694" t="s">
        <v>2843</v>
      </c>
    </row>
    <row r="44" spans="1:29" ht="41.25" customHeight="1">
      <c r="A44" s="2879"/>
      <c r="B44" s="2699"/>
      <c r="C44" s="2719"/>
      <c r="D44" s="725" t="s">
        <v>1067</v>
      </c>
      <c r="E44" s="726">
        <f>E43</f>
        <v>40</v>
      </c>
      <c r="F44" s="911">
        <f t="shared" ref="F44:O44" si="16">F43</f>
        <v>0.5</v>
      </c>
      <c r="G44" s="726">
        <f t="shared" si="16"/>
        <v>40</v>
      </c>
      <c r="H44" s="728">
        <f t="shared" si="16"/>
        <v>60</v>
      </c>
      <c r="I44" s="729">
        <f t="shared" ref="I44:I46" si="17">K44/H44-1</f>
        <v>-0.48333333333333328</v>
      </c>
      <c r="J44" s="726">
        <f t="shared" si="16"/>
        <v>31</v>
      </c>
      <c r="K44" s="728">
        <f t="shared" si="16"/>
        <v>31</v>
      </c>
      <c r="L44" s="728">
        <f t="shared" si="16"/>
        <v>8.4700000000000006</v>
      </c>
      <c r="M44" s="1464">
        <f t="shared" ref="M44" si="18">M43</f>
        <v>8.4700000000000006</v>
      </c>
      <c r="N44" s="2102">
        <f t="shared" si="7"/>
        <v>-0.72677419354838713</v>
      </c>
      <c r="O44" s="728">
        <f t="shared" si="16"/>
        <v>0</v>
      </c>
      <c r="P44" s="1464">
        <f t="shared" ref="P44:Q44" si="19">P43</f>
        <v>0</v>
      </c>
      <c r="Q44" s="728">
        <f t="shared" si="19"/>
        <v>0</v>
      </c>
      <c r="R44" s="1464">
        <f t="shared" ref="R44" si="20">R43</f>
        <v>0</v>
      </c>
      <c r="S44" s="2871"/>
      <c r="T44" s="2704"/>
      <c r="U44" s="2694"/>
      <c r="V44" s="2694"/>
      <c r="W44" s="2694"/>
      <c r="X44" s="2694"/>
      <c r="Y44" s="2694"/>
      <c r="Z44" s="2694"/>
      <c r="AA44" s="2694"/>
      <c r="AB44" s="2694"/>
      <c r="AC44" s="162" t="s">
        <v>2549</v>
      </c>
    </row>
    <row r="45" spans="1:29" ht="37.950000000000003" customHeight="1">
      <c r="A45" s="2879" t="s">
        <v>1946</v>
      </c>
      <c r="B45" s="2699" t="s">
        <v>3225</v>
      </c>
      <c r="C45" s="2719">
        <v>188711925</v>
      </c>
      <c r="D45" s="706" t="s">
        <v>470</v>
      </c>
      <c r="E45" s="720">
        <v>12</v>
      </c>
      <c r="F45" s="892">
        <f>H45/E45-1</f>
        <v>17.333333333333332</v>
      </c>
      <c r="G45" s="720">
        <v>30</v>
      </c>
      <c r="H45" s="722">
        <v>220</v>
      </c>
      <c r="I45" s="723">
        <f t="shared" si="17"/>
        <v>0</v>
      </c>
      <c r="J45" s="720">
        <v>30</v>
      </c>
      <c r="K45" s="722">
        <f>SUM(K47,K48)</f>
        <v>220</v>
      </c>
      <c r="L45" s="722">
        <f>SUM(L47,L48)</f>
        <v>225</v>
      </c>
      <c r="M45" s="1496">
        <f t="shared" ref="M45" si="21">SUM(M47,M48)</f>
        <v>235</v>
      </c>
      <c r="N45" s="2101">
        <f>SUM(L45-K45)/K45</f>
        <v>2.2727272727272728E-2</v>
      </c>
      <c r="O45" s="722">
        <f t="shared" ref="O45" si="22">SUM(O47,O48)</f>
        <v>240</v>
      </c>
      <c r="P45" s="1496">
        <f t="shared" ref="P45:Q45" si="23">SUM(P47,P48)</f>
        <v>240</v>
      </c>
      <c r="Q45" s="722">
        <f t="shared" si="23"/>
        <v>250</v>
      </c>
      <c r="R45" s="1496">
        <f t="shared" ref="R45" si="24">SUM(R47,R48)</f>
        <v>250</v>
      </c>
      <c r="S45" s="2871"/>
      <c r="T45" s="2704" t="s">
        <v>3476</v>
      </c>
      <c r="U45" s="2694" t="s">
        <v>1314</v>
      </c>
      <c r="V45" s="2694" t="s">
        <v>3673</v>
      </c>
      <c r="W45" s="2694" t="s">
        <v>1315</v>
      </c>
      <c r="X45" s="2694" t="s">
        <v>1315</v>
      </c>
      <c r="Y45" s="2694" t="s">
        <v>1315</v>
      </c>
      <c r="Z45" s="2694" t="s">
        <v>1315</v>
      </c>
      <c r="AA45" s="2694" t="s">
        <v>1315</v>
      </c>
      <c r="AB45" s="2694"/>
    </row>
    <row r="46" spans="1:29" ht="44.4" customHeight="1">
      <c r="A46" s="2879"/>
      <c r="B46" s="2699"/>
      <c r="C46" s="2719"/>
      <c r="D46" s="725" t="s">
        <v>1067</v>
      </c>
      <c r="E46" s="726">
        <f>E45</f>
        <v>12</v>
      </c>
      <c r="F46" s="911">
        <f>H46/E46-1</f>
        <v>17.333333333333332</v>
      </c>
      <c r="G46" s="726">
        <f t="shared" ref="G46:O46" si="25">G45</f>
        <v>30</v>
      </c>
      <c r="H46" s="728">
        <f t="shared" ref="H46" si="26">H45</f>
        <v>220</v>
      </c>
      <c r="I46" s="729">
        <f t="shared" si="17"/>
        <v>0</v>
      </c>
      <c r="J46" s="726">
        <f>J45</f>
        <v>30</v>
      </c>
      <c r="K46" s="728">
        <f t="shared" si="25"/>
        <v>220</v>
      </c>
      <c r="L46" s="728">
        <f t="shared" si="25"/>
        <v>225</v>
      </c>
      <c r="M46" s="1464">
        <f t="shared" ref="M46" si="27">M45</f>
        <v>235</v>
      </c>
      <c r="N46" s="2102">
        <f t="shared" si="7"/>
        <v>2.2727272727272728E-2</v>
      </c>
      <c r="O46" s="728">
        <f t="shared" si="25"/>
        <v>240</v>
      </c>
      <c r="P46" s="1464">
        <f t="shared" ref="P46:Q46" si="28">P45</f>
        <v>240</v>
      </c>
      <c r="Q46" s="728">
        <f t="shared" si="28"/>
        <v>250</v>
      </c>
      <c r="R46" s="1464">
        <f t="shared" ref="R46" si="29">R45</f>
        <v>250</v>
      </c>
      <c r="S46" s="2871"/>
      <c r="T46" s="2704"/>
      <c r="U46" s="2694"/>
      <c r="V46" s="2694"/>
      <c r="W46" s="2694"/>
      <c r="X46" s="2694"/>
      <c r="Y46" s="2694"/>
      <c r="Z46" s="2694"/>
      <c r="AA46" s="2694"/>
      <c r="AB46" s="2694"/>
    </row>
    <row r="47" spans="1:29" ht="37.200000000000003" hidden="1" customHeight="1">
      <c r="A47" s="899"/>
      <c r="B47" s="673" t="s">
        <v>3224</v>
      </c>
      <c r="C47" s="900"/>
      <c r="D47" s="780"/>
      <c r="E47" s="689"/>
      <c r="F47" s="756"/>
      <c r="G47" s="689"/>
      <c r="H47" s="689"/>
      <c r="I47" s="689"/>
      <c r="J47" s="681">
        <v>30</v>
      </c>
      <c r="K47" s="681">
        <v>20</v>
      </c>
      <c r="L47" s="681">
        <v>25</v>
      </c>
      <c r="M47" s="1470">
        <v>35</v>
      </c>
      <c r="N47" s="1952">
        <f t="shared" si="7"/>
        <v>0.25</v>
      </c>
      <c r="O47" s="681">
        <v>40</v>
      </c>
      <c r="P47" s="1470">
        <v>40</v>
      </c>
      <c r="Q47" s="681">
        <v>50</v>
      </c>
      <c r="R47" s="1470">
        <v>50</v>
      </c>
      <c r="S47" s="2871"/>
      <c r="T47" s="691" t="s">
        <v>4017</v>
      </c>
      <c r="U47" s="688"/>
      <c r="V47" s="688"/>
      <c r="W47" s="688"/>
      <c r="X47" s="688"/>
      <c r="Y47" s="688"/>
      <c r="Z47" s="688"/>
      <c r="AA47" s="688"/>
      <c r="AB47" s="2694"/>
    </row>
    <row r="48" spans="1:29" ht="36" hidden="1" customHeight="1">
      <c r="A48" s="899"/>
      <c r="B48" s="673" t="s">
        <v>1733</v>
      </c>
      <c r="C48" s="900"/>
      <c r="D48" s="780"/>
      <c r="E48" s="689"/>
      <c r="F48" s="756"/>
      <c r="G48" s="689"/>
      <c r="H48" s="689"/>
      <c r="I48" s="689"/>
      <c r="J48" s="681"/>
      <c r="K48" s="681">
        <v>200</v>
      </c>
      <c r="L48" s="681">
        <v>200</v>
      </c>
      <c r="M48" s="1470">
        <v>200</v>
      </c>
      <c r="N48" s="1952">
        <f t="shared" si="7"/>
        <v>0</v>
      </c>
      <c r="O48" s="681">
        <v>200</v>
      </c>
      <c r="P48" s="1470">
        <v>200</v>
      </c>
      <c r="Q48" s="681">
        <v>200</v>
      </c>
      <c r="R48" s="1470">
        <v>200</v>
      </c>
      <c r="S48" s="2871"/>
      <c r="T48" s="691" t="s">
        <v>3482</v>
      </c>
      <c r="U48" s="688"/>
      <c r="V48" s="688"/>
      <c r="W48" s="688"/>
      <c r="X48" s="688"/>
      <c r="Y48" s="688"/>
      <c r="Z48" s="688"/>
      <c r="AA48" s="688"/>
      <c r="AB48" s="2694"/>
    </row>
    <row r="49" spans="1:28" s="441" customFormat="1" ht="37.200000000000003" hidden="1" customHeight="1">
      <c r="A49" s="2892" t="s">
        <v>1947</v>
      </c>
      <c r="B49" s="2893" t="s">
        <v>3017</v>
      </c>
      <c r="C49" s="2896">
        <v>188711925</v>
      </c>
      <c r="D49" s="1335" t="s">
        <v>470</v>
      </c>
      <c r="E49" s="720">
        <v>2</v>
      </c>
      <c r="F49" s="892">
        <f t="shared" ref="F49:F89" si="30">H49/E49-1</f>
        <v>-1</v>
      </c>
      <c r="G49" s="720"/>
      <c r="H49" s="720"/>
      <c r="I49" s="720"/>
      <c r="J49" s="720"/>
      <c r="K49" s="720"/>
      <c r="L49" s="720"/>
      <c r="M49" s="1496"/>
      <c r="N49" s="2103" t="e">
        <f t="shared" si="7"/>
        <v>#DIV/0!</v>
      </c>
      <c r="O49" s="720"/>
      <c r="P49" s="1496"/>
      <c r="Q49" s="720"/>
      <c r="R49" s="1496"/>
      <c r="S49" s="2871"/>
      <c r="T49" s="2724"/>
      <c r="U49" s="2891" t="s">
        <v>1316</v>
      </c>
      <c r="V49" s="2891" t="s">
        <v>1680</v>
      </c>
      <c r="W49" s="2891" t="s">
        <v>433</v>
      </c>
      <c r="X49" s="2891" t="s">
        <v>433</v>
      </c>
      <c r="Y49" s="2891" t="s">
        <v>433</v>
      </c>
      <c r="Z49" s="2891"/>
      <c r="AA49" s="2694"/>
      <c r="AB49" s="2694"/>
    </row>
    <row r="50" spans="1:28" s="441" customFormat="1" ht="51.6" hidden="1" customHeight="1">
      <c r="A50" s="2892"/>
      <c r="B50" s="2893"/>
      <c r="C50" s="2896"/>
      <c r="D50" s="1355" t="s">
        <v>1067</v>
      </c>
      <c r="E50" s="726">
        <f>E49</f>
        <v>2</v>
      </c>
      <c r="F50" s="911">
        <f t="shared" si="30"/>
        <v>-1</v>
      </c>
      <c r="G50" s="726">
        <f t="shared" ref="G50:L50" si="31">G49</f>
        <v>0</v>
      </c>
      <c r="H50" s="726">
        <f t="shared" ref="H50" si="32">H49</f>
        <v>0</v>
      </c>
      <c r="I50" s="726"/>
      <c r="J50" s="726"/>
      <c r="K50" s="726">
        <f t="shared" si="31"/>
        <v>0</v>
      </c>
      <c r="L50" s="726">
        <f t="shared" si="31"/>
        <v>0</v>
      </c>
      <c r="M50" s="1464">
        <f t="shared" ref="M50" si="33">M49</f>
        <v>0</v>
      </c>
      <c r="N50" s="2103" t="e">
        <f t="shared" si="7"/>
        <v>#DIV/0!</v>
      </c>
      <c r="O50" s="726"/>
      <c r="P50" s="1464"/>
      <c r="Q50" s="726"/>
      <c r="R50" s="1464"/>
      <c r="S50" s="2871"/>
      <c r="T50" s="2724"/>
      <c r="U50" s="2891"/>
      <c r="V50" s="2891"/>
      <c r="W50" s="2891"/>
      <c r="X50" s="2891"/>
      <c r="Y50" s="2891"/>
      <c r="Z50" s="2891"/>
      <c r="AA50" s="2694"/>
      <c r="AB50" s="2694"/>
    </row>
    <row r="51" spans="1:28" ht="31.5" customHeight="1">
      <c r="A51" s="2695" t="s">
        <v>4015</v>
      </c>
      <c r="B51" s="2703" t="s">
        <v>4022</v>
      </c>
      <c r="C51" s="2719">
        <v>188711925</v>
      </c>
      <c r="D51" s="706" t="s">
        <v>470</v>
      </c>
      <c r="E51" s="720">
        <v>12</v>
      </c>
      <c r="F51" s="892">
        <f>H51/E51-1</f>
        <v>17.333333333333332</v>
      </c>
      <c r="G51" s="720">
        <v>30</v>
      </c>
      <c r="H51" s="722">
        <v>220</v>
      </c>
      <c r="I51" s="723">
        <f t="shared" ref="I51:I52" si="34">K51/H51-1</f>
        <v>-1</v>
      </c>
      <c r="J51" s="720">
        <v>30</v>
      </c>
      <c r="K51" s="722"/>
      <c r="L51" s="722">
        <v>6</v>
      </c>
      <c r="M51" s="1496">
        <v>11</v>
      </c>
      <c r="N51" s="2101"/>
      <c r="O51" s="722">
        <v>6</v>
      </c>
      <c r="P51" s="1496">
        <v>13</v>
      </c>
      <c r="Q51" s="722">
        <v>6</v>
      </c>
      <c r="R51" s="1496">
        <v>15</v>
      </c>
      <c r="S51" s="2871"/>
      <c r="T51" s="2704" t="s">
        <v>4318</v>
      </c>
      <c r="U51" s="2694" t="s">
        <v>1316</v>
      </c>
      <c r="V51" s="2694" t="s">
        <v>4012</v>
      </c>
      <c r="W51" s="2694"/>
      <c r="X51" s="2694"/>
      <c r="Y51" s="2694" t="s">
        <v>4013</v>
      </c>
      <c r="Z51" s="2694" t="s">
        <v>4014</v>
      </c>
      <c r="AA51" s="2694" t="s">
        <v>3182</v>
      </c>
      <c r="AB51" s="2694"/>
    </row>
    <row r="52" spans="1:28" ht="44.4" customHeight="1">
      <c r="A52" s="2872"/>
      <c r="B52" s="2703"/>
      <c r="C52" s="2719"/>
      <c r="D52" s="725" t="s">
        <v>1067</v>
      </c>
      <c r="E52" s="726">
        <f>E51</f>
        <v>12</v>
      </c>
      <c r="F52" s="911">
        <f>H52/E52-1</f>
        <v>17.333333333333332</v>
      </c>
      <c r="G52" s="726">
        <f t="shared" ref="G52:H52" si="35">G51</f>
        <v>30</v>
      </c>
      <c r="H52" s="728">
        <f t="shared" si="35"/>
        <v>220</v>
      </c>
      <c r="I52" s="729">
        <f t="shared" si="34"/>
        <v>-1</v>
      </c>
      <c r="J52" s="726">
        <f>J51</f>
        <v>30</v>
      </c>
      <c r="K52" s="728">
        <f t="shared" ref="K52:M52" si="36">K51</f>
        <v>0</v>
      </c>
      <c r="L52" s="728">
        <f t="shared" si="36"/>
        <v>6</v>
      </c>
      <c r="M52" s="1464">
        <f t="shared" si="36"/>
        <v>11</v>
      </c>
      <c r="N52" s="2102" t="e">
        <f t="shared" si="7"/>
        <v>#DIV/0!</v>
      </c>
      <c r="O52" s="728">
        <f t="shared" ref="O52:R52" si="37">O51</f>
        <v>6</v>
      </c>
      <c r="P52" s="1464">
        <f t="shared" si="37"/>
        <v>13</v>
      </c>
      <c r="Q52" s="728">
        <f t="shared" si="37"/>
        <v>6</v>
      </c>
      <c r="R52" s="1464">
        <f t="shared" si="37"/>
        <v>15</v>
      </c>
      <c r="S52" s="2871"/>
      <c r="T52" s="2704"/>
      <c r="U52" s="2694"/>
      <c r="V52" s="2694"/>
      <c r="W52" s="2694"/>
      <c r="X52" s="2694"/>
      <c r="Y52" s="2694"/>
      <c r="Z52" s="2694"/>
      <c r="AA52" s="2694"/>
      <c r="AB52" s="2694"/>
    </row>
    <row r="53" spans="1:28" ht="32.25" customHeight="1">
      <c r="A53" s="2879" t="s">
        <v>1948</v>
      </c>
      <c r="B53" s="2699" t="s">
        <v>1176</v>
      </c>
      <c r="C53" s="2719" t="s">
        <v>3016</v>
      </c>
      <c r="D53" s="706" t="s">
        <v>2747</v>
      </c>
      <c r="E53" s="720">
        <v>62</v>
      </c>
      <c r="F53" s="892">
        <f t="shared" si="30"/>
        <v>0.63201612903225812</v>
      </c>
      <c r="G53" s="720"/>
      <c r="H53" s="722">
        <f>H60</f>
        <v>101.185</v>
      </c>
      <c r="I53" s="723">
        <f t="shared" ref="I53:I58" si="38">K53/H53-1</f>
        <v>1.3716459949597275</v>
      </c>
      <c r="J53" s="720">
        <f>SUM(J60,J64)</f>
        <v>0</v>
      </c>
      <c r="K53" s="722">
        <f>SUM(K60,K64,K69)</f>
        <v>239.97500000000002</v>
      </c>
      <c r="L53" s="722">
        <f>L60</f>
        <v>419.54500000000002</v>
      </c>
      <c r="M53" s="1496"/>
      <c r="N53" s="2101"/>
      <c r="O53" s="722"/>
      <c r="P53" s="1496"/>
      <c r="Q53" s="722"/>
      <c r="R53" s="1496"/>
      <c r="S53" s="2871"/>
      <c r="T53" s="2704" t="s">
        <v>3674</v>
      </c>
      <c r="U53" s="2903" t="s">
        <v>1317</v>
      </c>
      <c r="V53" s="2903" t="s">
        <v>3554</v>
      </c>
      <c r="W53" s="1815" t="s">
        <v>432</v>
      </c>
      <c r="X53" s="1815" t="s">
        <v>1372</v>
      </c>
      <c r="Y53" s="2903" t="s">
        <v>432</v>
      </c>
      <c r="Z53" s="2903" t="s">
        <v>432</v>
      </c>
      <c r="AA53" s="2903" t="s">
        <v>432</v>
      </c>
      <c r="AB53" s="2694"/>
    </row>
    <row r="54" spans="1:28" ht="29.25" customHeight="1">
      <c r="A54" s="2879"/>
      <c r="B54" s="2699"/>
      <c r="C54" s="2719"/>
      <c r="D54" s="706" t="s">
        <v>470</v>
      </c>
      <c r="E54" s="720"/>
      <c r="F54" s="892"/>
      <c r="G54" s="720"/>
      <c r="H54" s="722"/>
      <c r="I54" s="723"/>
      <c r="J54" s="720"/>
      <c r="K54" s="722">
        <v>0</v>
      </c>
      <c r="L54" s="722">
        <f>SUM(L59,L61)</f>
        <v>5</v>
      </c>
      <c r="M54" s="1496">
        <f>SUM(M59,M61)</f>
        <v>424.54500000000002</v>
      </c>
      <c r="N54" s="2101"/>
      <c r="O54" s="722"/>
      <c r="P54" s="1496"/>
      <c r="Q54" s="722"/>
      <c r="R54" s="1496"/>
      <c r="S54" s="2871"/>
      <c r="T54" s="2704"/>
      <c r="U54" s="2904"/>
      <c r="V54" s="2904"/>
      <c r="W54" s="1815"/>
      <c r="X54" s="1815"/>
      <c r="Y54" s="2904"/>
      <c r="Z54" s="2904"/>
      <c r="AA54" s="2904"/>
      <c r="AB54" s="2694"/>
    </row>
    <row r="55" spans="1:28" ht="30" customHeight="1">
      <c r="A55" s="2879"/>
      <c r="B55" s="2699"/>
      <c r="C55" s="2719"/>
      <c r="D55" s="706" t="s">
        <v>246</v>
      </c>
      <c r="E55" s="720"/>
      <c r="F55" s="892"/>
      <c r="G55" s="720"/>
      <c r="H55" s="722"/>
      <c r="I55" s="723"/>
      <c r="J55" s="720"/>
      <c r="K55" s="722">
        <f>K71</f>
        <v>23.436</v>
      </c>
      <c r="L55" s="722"/>
      <c r="M55" s="1496"/>
      <c r="N55" s="2101"/>
      <c r="O55" s="722"/>
      <c r="P55" s="1496"/>
      <c r="Q55" s="722"/>
      <c r="R55" s="1496"/>
      <c r="S55" s="2871"/>
      <c r="T55" s="2704"/>
      <c r="U55" s="2904"/>
      <c r="V55" s="2904"/>
      <c r="W55" s="1815"/>
      <c r="X55" s="1815"/>
      <c r="Y55" s="2904"/>
      <c r="Z55" s="2904"/>
      <c r="AA55" s="2904"/>
      <c r="AB55" s="2694"/>
    </row>
    <row r="56" spans="1:28" ht="31.5" customHeight="1">
      <c r="A56" s="2879"/>
      <c r="B56" s="2699"/>
      <c r="C56" s="2719"/>
      <c r="D56" s="1326" t="s">
        <v>3553</v>
      </c>
      <c r="E56" s="720"/>
      <c r="F56" s="892"/>
      <c r="G56" s="720"/>
      <c r="H56" s="722">
        <f>H62</f>
        <v>0</v>
      </c>
      <c r="I56" s="723"/>
      <c r="J56" s="720"/>
      <c r="K56" s="722">
        <f>SUM(K62,K67,)</f>
        <v>0</v>
      </c>
      <c r="L56" s="722">
        <f>L62</f>
        <v>80.198999999999998</v>
      </c>
      <c r="M56" s="1496">
        <f>M62</f>
        <v>80.198999999999998</v>
      </c>
      <c r="N56" s="2101"/>
      <c r="O56" s="722"/>
      <c r="P56" s="1496"/>
      <c r="Q56" s="722"/>
      <c r="R56" s="1496"/>
      <c r="S56" s="2871"/>
      <c r="T56" s="2704"/>
      <c r="U56" s="2904"/>
      <c r="V56" s="2904"/>
      <c r="W56" s="1815"/>
      <c r="X56" s="1815"/>
      <c r="Y56" s="2904"/>
      <c r="Z56" s="2904"/>
      <c r="AA56" s="2904"/>
      <c r="AB56" s="2694"/>
    </row>
    <row r="57" spans="1:28" ht="29.25" customHeight="1">
      <c r="A57" s="2879"/>
      <c r="B57" s="2699"/>
      <c r="C57" s="2719"/>
      <c r="D57" s="1326" t="s">
        <v>1358</v>
      </c>
      <c r="E57" s="720"/>
      <c r="F57" s="914"/>
      <c r="G57" s="720"/>
      <c r="H57" s="722"/>
      <c r="I57" s="1014"/>
      <c r="J57" s="720"/>
      <c r="K57" s="722"/>
      <c r="L57" s="722"/>
      <c r="M57" s="1496"/>
      <c r="N57" s="2101"/>
      <c r="O57" s="722"/>
      <c r="P57" s="1496"/>
      <c r="Q57" s="722"/>
      <c r="R57" s="1496"/>
      <c r="S57" s="2871"/>
      <c r="T57" s="2704"/>
      <c r="U57" s="2904"/>
      <c r="V57" s="2904"/>
      <c r="W57" s="1815"/>
      <c r="X57" s="1815"/>
      <c r="Y57" s="2904"/>
      <c r="Z57" s="2904"/>
      <c r="AA57" s="2904"/>
      <c r="AB57" s="2694"/>
    </row>
    <row r="58" spans="1:28" ht="30.75" customHeight="1">
      <c r="A58" s="2879"/>
      <c r="B58" s="2699"/>
      <c r="C58" s="2719"/>
      <c r="D58" s="725" t="s">
        <v>1067</v>
      </c>
      <c r="E58" s="726">
        <f>E53</f>
        <v>62</v>
      </c>
      <c r="F58" s="911">
        <f t="shared" si="30"/>
        <v>0.63201612903225812</v>
      </c>
      <c r="G58" s="726">
        <f t="shared" ref="G58" si="39">G53</f>
        <v>0</v>
      </c>
      <c r="H58" s="728">
        <f>H53+H56</f>
        <v>101.185</v>
      </c>
      <c r="I58" s="729">
        <f t="shared" si="38"/>
        <v>1.603261352967337</v>
      </c>
      <c r="J58" s="726">
        <f>J53+J56</f>
        <v>0</v>
      </c>
      <c r="K58" s="728">
        <f>K53+K56+K55</f>
        <v>263.411</v>
      </c>
      <c r="L58" s="728">
        <f>SUM(L54,L55,L56,L53)</f>
        <v>504.74400000000003</v>
      </c>
      <c r="M58" s="1464">
        <f>SUM(M54,M55,M56,)</f>
        <v>504.74400000000003</v>
      </c>
      <c r="N58" s="2102">
        <f t="shared" si="7"/>
        <v>0.9161842140229528</v>
      </c>
      <c r="O58" s="728">
        <f>O53+O56+O55+O54+O57</f>
        <v>0</v>
      </c>
      <c r="P58" s="1464">
        <f>P53+P56+P55+P54+P57</f>
        <v>0</v>
      </c>
      <c r="Q58" s="728">
        <f>Q53+Q56+Q55+Q54+Q57</f>
        <v>0</v>
      </c>
      <c r="R58" s="1464">
        <f>R53+R56+R55+R54+R57</f>
        <v>0</v>
      </c>
      <c r="S58" s="2871"/>
      <c r="T58" s="2704"/>
      <c r="U58" s="2904"/>
      <c r="V58" s="2904"/>
      <c r="W58" s="1815"/>
      <c r="X58" s="1815"/>
      <c r="Y58" s="2904"/>
      <c r="Z58" s="2904"/>
      <c r="AA58" s="2904"/>
      <c r="AB58" s="2694"/>
    </row>
    <row r="59" spans="1:28" ht="36.6" hidden="1" customHeight="1">
      <c r="A59" s="899" t="s">
        <v>3508</v>
      </c>
      <c r="B59" s="673" t="s">
        <v>4018</v>
      </c>
      <c r="C59" s="900"/>
      <c r="D59" s="687" t="s">
        <v>470</v>
      </c>
      <c r="E59" s="757"/>
      <c r="F59" s="915"/>
      <c r="G59" s="757"/>
      <c r="H59" s="689"/>
      <c r="I59" s="756"/>
      <c r="J59" s="757"/>
      <c r="K59" s="689"/>
      <c r="L59" s="686">
        <v>5</v>
      </c>
      <c r="M59" s="1498">
        <v>5</v>
      </c>
      <c r="N59" s="1952"/>
      <c r="O59" s="689"/>
      <c r="P59" s="1484"/>
      <c r="Q59" s="689"/>
      <c r="R59" s="1484"/>
      <c r="S59" s="2871"/>
      <c r="T59" s="907" t="s">
        <v>4019</v>
      </c>
      <c r="U59" s="2904"/>
      <c r="V59" s="2904"/>
      <c r="W59" s="2593"/>
      <c r="X59" s="2593"/>
      <c r="Y59" s="2904"/>
      <c r="Z59" s="2904"/>
      <c r="AA59" s="2904"/>
      <c r="AB59" s="2694"/>
    </row>
    <row r="60" spans="1:28" ht="38.25" customHeight="1">
      <c r="A60" s="2873" t="s">
        <v>3148</v>
      </c>
      <c r="B60" s="2894" t="s">
        <v>3150</v>
      </c>
      <c r="C60" s="2880">
        <v>302452911</v>
      </c>
      <c r="D60" s="1239" t="s">
        <v>2747</v>
      </c>
      <c r="E60" s="2108">
        <v>62</v>
      </c>
      <c r="F60" s="2109">
        <f t="shared" ref="F60:F63" si="40">H60/E60-1</f>
        <v>0.63201612903225812</v>
      </c>
      <c r="G60" s="2108"/>
      <c r="H60" s="2110">
        <v>101.185</v>
      </c>
      <c r="I60" s="2110"/>
      <c r="J60" s="2108"/>
      <c r="K60" s="1240">
        <f>100.584+99.5</f>
        <v>200.084</v>
      </c>
      <c r="L60" s="1240">
        <v>419.54500000000002</v>
      </c>
      <c r="M60" s="1619"/>
      <c r="N60" s="2114">
        <f t="shared" si="7"/>
        <v>1.0968443253833391</v>
      </c>
      <c r="O60" s="1240"/>
      <c r="P60" s="2113"/>
      <c r="Q60" s="1240"/>
      <c r="R60" s="1470"/>
      <c r="S60" s="2871"/>
      <c r="T60" s="2902" t="s">
        <v>3152</v>
      </c>
      <c r="U60" s="2904"/>
      <c r="V60" s="2904"/>
      <c r="W60" s="2593"/>
      <c r="X60" s="2593"/>
      <c r="Y60" s="2904"/>
      <c r="Z60" s="2904"/>
      <c r="AA60" s="2904"/>
      <c r="AB60" s="2694"/>
    </row>
    <row r="61" spans="1:28" ht="38.25" customHeight="1">
      <c r="A61" s="2873"/>
      <c r="B61" s="2894"/>
      <c r="C61" s="2880"/>
      <c r="D61" s="1239" t="s">
        <v>470</v>
      </c>
      <c r="E61" s="2108"/>
      <c r="F61" s="2109"/>
      <c r="G61" s="2108"/>
      <c r="H61" s="2110"/>
      <c r="I61" s="2110"/>
      <c r="J61" s="2108"/>
      <c r="K61" s="1240"/>
      <c r="L61" s="1240"/>
      <c r="M61" s="1619">
        <v>419.54500000000002</v>
      </c>
      <c r="N61" s="2114"/>
      <c r="O61" s="1240"/>
      <c r="P61" s="2113"/>
      <c r="Q61" s="1240"/>
      <c r="R61" s="1470"/>
      <c r="S61" s="2871"/>
      <c r="T61" s="2902"/>
      <c r="U61" s="2904"/>
      <c r="V61" s="2904"/>
      <c r="W61" s="2593"/>
      <c r="X61" s="2593"/>
      <c r="Y61" s="2904"/>
      <c r="Z61" s="2904"/>
      <c r="AA61" s="2904"/>
      <c r="AB61" s="2694"/>
    </row>
    <row r="62" spans="1:28" ht="39.6" customHeight="1">
      <c r="A62" s="2873"/>
      <c r="B62" s="2894"/>
      <c r="C62" s="2880"/>
      <c r="D62" s="1177" t="s">
        <v>2872</v>
      </c>
      <c r="E62" s="2108"/>
      <c r="F62" s="2109"/>
      <c r="G62" s="2108"/>
      <c r="H62" s="2110">
        <v>0</v>
      </c>
      <c r="I62" s="2110"/>
      <c r="J62" s="2108"/>
      <c r="K62" s="1240"/>
      <c r="L62" s="1240">
        <v>80.198999999999998</v>
      </c>
      <c r="M62" s="1619">
        <v>80.198999999999998</v>
      </c>
      <c r="N62" s="2114"/>
      <c r="O62" s="1240"/>
      <c r="P62" s="2113"/>
      <c r="Q62" s="1240"/>
      <c r="R62" s="1470"/>
      <c r="S62" s="2871"/>
      <c r="T62" s="2902"/>
      <c r="U62" s="2904"/>
      <c r="V62" s="2904"/>
      <c r="W62" s="2593"/>
      <c r="X62" s="2593"/>
      <c r="Y62" s="2904"/>
      <c r="Z62" s="2904"/>
      <c r="AA62" s="2904"/>
      <c r="AB62" s="2694"/>
    </row>
    <row r="63" spans="1:28" ht="33" customHeight="1">
      <c r="A63" s="2873"/>
      <c r="B63" s="2895"/>
      <c r="C63" s="2880"/>
      <c r="D63" s="725" t="s">
        <v>1067</v>
      </c>
      <c r="E63" s="2111">
        <f>E60</f>
        <v>62</v>
      </c>
      <c r="F63" s="2112">
        <f t="shared" si="40"/>
        <v>0.63201612903225812</v>
      </c>
      <c r="G63" s="2111">
        <f t="shared" ref="G63" si="41">G60</f>
        <v>0</v>
      </c>
      <c r="H63" s="771">
        <f>SUM(H60,H62)</f>
        <v>101.185</v>
      </c>
      <c r="I63" s="771"/>
      <c r="J63" s="2111"/>
      <c r="K63" s="728">
        <f>SUM(K60,K62)</f>
        <v>200.084</v>
      </c>
      <c r="L63" s="728">
        <f>SUM(L59,L60,L61,L62)</f>
        <v>504.74400000000003</v>
      </c>
      <c r="M63" s="1464">
        <f>SUM(M59,M60,M61,M62)</f>
        <v>504.74400000000003</v>
      </c>
      <c r="N63" s="2102">
        <f t="shared" si="7"/>
        <v>1.5226604825973091</v>
      </c>
      <c r="O63" s="728">
        <f t="shared" ref="O63" si="42">SUM(O60,O62)</f>
        <v>0</v>
      </c>
      <c r="P63" s="1464">
        <f t="shared" ref="P63:Q63" si="43">SUM(P60,P62)</f>
        <v>0</v>
      </c>
      <c r="Q63" s="728">
        <f t="shared" si="43"/>
        <v>0</v>
      </c>
      <c r="R63" s="1739">
        <f t="shared" ref="R63" si="44">SUM(R60,R62)</f>
        <v>0</v>
      </c>
      <c r="S63" s="2871"/>
      <c r="T63" s="2902"/>
      <c r="U63" s="2905"/>
      <c r="V63" s="2905"/>
      <c r="W63" s="2593"/>
      <c r="X63" s="2593"/>
      <c r="Y63" s="2905"/>
      <c r="Z63" s="2905"/>
      <c r="AA63" s="2905"/>
      <c r="AB63" s="2694"/>
    </row>
    <row r="64" spans="1:28" ht="27" hidden="1" customHeight="1">
      <c r="A64" s="2874" t="s">
        <v>3149</v>
      </c>
      <c r="B64" s="2721" t="s">
        <v>3151</v>
      </c>
      <c r="C64" s="2722">
        <v>302452911</v>
      </c>
      <c r="D64" s="682" t="s">
        <v>2747</v>
      </c>
      <c r="E64" s="734">
        <v>62</v>
      </c>
      <c r="F64" s="906">
        <f t="shared" ref="F64" si="45">H64/E64-1</f>
        <v>-1</v>
      </c>
      <c r="G64" s="734"/>
      <c r="H64" s="681"/>
      <c r="I64" s="681"/>
      <c r="J64" s="734"/>
      <c r="K64" s="681">
        <v>37.186999999999998</v>
      </c>
      <c r="L64" s="681">
        <v>50.603000000000002</v>
      </c>
      <c r="M64" s="1470"/>
      <c r="N64" s="1952">
        <f t="shared" si="7"/>
        <v>0.36077123726033306</v>
      </c>
      <c r="O64" s="681"/>
      <c r="P64" s="1470"/>
      <c r="Q64" s="681"/>
      <c r="R64" s="1470"/>
      <c r="S64" s="2871"/>
      <c r="T64" s="2881" t="s">
        <v>4020</v>
      </c>
      <c r="U64" s="2861"/>
      <c r="V64" s="2882"/>
      <c r="W64" s="2882"/>
      <c r="X64" s="2882"/>
      <c r="Y64" s="2882"/>
      <c r="Z64" s="2882"/>
      <c r="AA64" s="2862"/>
      <c r="AB64" s="2694"/>
    </row>
    <row r="65" spans="1:29" ht="27" hidden="1" customHeight="1">
      <c r="A65" s="2874"/>
      <c r="B65" s="2721"/>
      <c r="C65" s="2722"/>
      <c r="D65" s="682" t="s">
        <v>470</v>
      </c>
      <c r="E65" s="734"/>
      <c r="F65" s="906"/>
      <c r="G65" s="734"/>
      <c r="H65" s="681"/>
      <c r="I65" s="681"/>
      <c r="J65" s="734"/>
      <c r="K65" s="681"/>
      <c r="L65" s="681">
        <v>0</v>
      </c>
      <c r="M65" s="1470"/>
      <c r="N65" s="1952" t="e">
        <f t="shared" si="7"/>
        <v>#DIV/0!</v>
      </c>
      <c r="O65" s="681"/>
      <c r="P65" s="1470"/>
      <c r="Q65" s="681"/>
      <c r="R65" s="1470"/>
      <c r="S65" s="2871"/>
      <c r="T65" s="2881"/>
      <c r="U65" s="2863"/>
      <c r="V65" s="2883"/>
      <c r="W65" s="2883"/>
      <c r="X65" s="2883"/>
      <c r="Y65" s="2883"/>
      <c r="Z65" s="2883"/>
      <c r="AA65" s="2864"/>
      <c r="AB65" s="2694"/>
    </row>
    <row r="66" spans="1:29" ht="27" hidden="1" customHeight="1">
      <c r="A66" s="2874"/>
      <c r="B66" s="2721"/>
      <c r="C66" s="2722"/>
      <c r="D66" s="682" t="s">
        <v>1358</v>
      </c>
      <c r="E66" s="734"/>
      <c r="F66" s="906"/>
      <c r="G66" s="734"/>
      <c r="H66" s="681"/>
      <c r="I66" s="681"/>
      <c r="J66" s="734"/>
      <c r="K66" s="681"/>
      <c r="L66" s="681"/>
      <c r="M66" s="1470"/>
      <c r="N66" s="1952" t="e">
        <f t="shared" si="7"/>
        <v>#DIV/0!</v>
      </c>
      <c r="O66" s="681"/>
      <c r="P66" s="1470"/>
      <c r="Q66" s="681"/>
      <c r="R66" s="1470"/>
      <c r="S66" s="2871"/>
      <c r="T66" s="2881"/>
      <c r="U66" s="2863"/>
      <c r="V66" s="2883"/>
      <c r="W66" s="2883"/>
      <c r="X66" s="2883"/>
      <c r="Y66" s="2883"/>
      <c r="Z66" s="2883"/>
      <c r="AA66" s="2864"/>
      <c r="AB66" s="2694"/>
    </row>
    <row r="67" spans="1:29" ht="24.75" hidden="1" customHeight="1">
      <c r="A67" s="2874"/>
      <c r="B67" s="2721"/>
      <c r="C67" s="2722"/>
      <c r="D67" s="665" t="s">
        <v>2872</v>
      </c>
      <c r="E67" s="734"/>
      <c r="F67" s="906"/>
      <c r="G67" s="734"/>
      <c r="H67" s="681"/>
      <c r="I67" s="681"/>
      <c r="J67" s="734"/>
      <c r="K67" s="681"/>
      <c r="L67" s="681"/>
      <c r="M67" s="1470"/>
      <c r="N67" s="1952" t="e">
        <f t="shared" si="7"/>
        <v>#DIV/0!</v>
      </c>
      <c r="O67" s="681"/>
      <c r="P67" s="1470"/>
      <c r="Q67" s="681"/>
      <c r="R67" s="1470"/>
      <c r="S67" s="2871"/>
      <c r="T67" s="2881"/>
      <c r="U67" s="2863"/>
      <c r="V67" s="2883"/>
      <c r="W67" s="2883"/>
      <c r="X67" s="2883"/>
      <c r="Y67" s="2883"/>
      <c r="Z67" s="2883"/>
      <c r="AA67" s="2864"/>
      <c r="AB67" s="2694"/>
    </row>
    <row r="68" spans="1:29" ht="27.75" hidden="1" customHeight="1">
      <c r="A68" s="2874"/>
      <c r="B68" s="2875"/>
      <c r="C68" s="2722"/>
      <c r="D68" s="1023" t="s">
        <v>1067</v>
      </c>
      <c r="E68" s="1018">
        <f>E64</f>
        <v>62</v>
      </c>
      <c r="F68" s="1842">
        <f t="shared" ref="F68:F69" si="46">H68/E68-1</f>
        <v>-1</v>
      </c>
      <c r="G68" s="1018">
        <f t="shared" ref="G68" si="47">G64</f>
        <v>0</v>
      </c>
      <c r="H68" s="1021">
        <f>SUM(H64,H67)</f>
        <v>0</v>
      </c>
      <c r="I68" s="1021"/>
      <c r="J68" s="1018"/>
      <c r="K68" s="1021">
        <f>SUM(K64,K67)</f>
        <v>37.186999999999998</v>
      </c>
      <c r="L68" s="1021">
        <f t="shared" ref="L68:O68" si="48">SUM(L64,L67)</f>
        <v>50.603000000000002</v>
      </c>
      <c r="M68" s="1739">
        <f t="shared" ref="M68" si="49">SUM(M64,M67)</f>
        <v>0</v>
      </c>
      <c r="N68" s="2104">
        <f t="shared" si="7"/>
        <v>0.36077123726033306</v>
      </c>
      <c r="O68" s="1021">
        <f t="shared" si="48"/>
        <v>0</v>
      </c>
      <c r="P68" s="1739">
        <f t="shared" ref="P68:Q68" si="50">SUM(P64,P67)</f>
        <v>0</v>
      </c>
      <c r="Q68" s="1021">
        <f t="shared" si="50"/>
        <v>0</v>
      </c>
      <c r="R68" s="1739">
        <f t="shared" ref="R68" si="51">SUM(R64,R67)</f>
        <v>0</v>
      </c>
      <c r="S68" s="2871"/>
      <c r="T68" s="2881"/>
      <c r="U68" s="2865"/>
      <c r="V68" s="2884"/>
      <c r="W68" s="2884"/>
      <c r="X68" s="2884"/>
      <c r="Y68" s="2884"/>
      <c r="Z68" s="2884"/>
      <c r="AA68" s="2866"/>
      <c r="AB68" s="2694"/>
    </row>
    <row r="69" spans="1:29" ht="26.25" hidden="1" customHeight="1">
      <c r="A69" s="2874" t="s">
        <v>3480</v>
      </c>
      <c r="B69" s="2721" t="s">
        <v>3479</v>
      </c>
      <c r="C69" s="2722" t="s">
        <v>3022</v>
      </c>
      <c r="D69" s="682" t="s">
        <v>2747</v>
      </c>
      <c r="E69" s="734">
        <v>62</v>
      </c>
      <c r="F69" s="906">
        <f t="shared" si="46"/>
        <v>-1</v>
      </c>
      <c r="G69" s="734"/>
      <c r="H69" s="681"/>
      <c r="I69" s="681"/>
      <c r="J69" s="734">
        <v>2.7040000000000002</v>
      </c>
      <c r="K69" s="681">
        <v>2.7040000000000002</v>
      </c>
      <c r="L69" s="681"/>
      <c r="M69" s="1470"/>
      <c r="N69" s="1952">
        <f t="shared" si="7"/>
        <v>-1</v>
      </c>
      <c r="O69" s="681"/>
      <c r="P69" s="1470"/>
      <c r="Q69" s="681"/>
      <c r="R69" s="1470"/>
      <c r="S69" s="2871"/>
      <c r="T69" s="2901" t="s">
        <v>3481</v>
      </c>
      <c r="U69" s="2861"/>
      <c r="V69" s="2882"/>
      <c r="W69" s="2882"/>
      <c r="X69" s="2882"/>
      <c r="Y69" s="2882"/>
      <c r="Z69" s="2882"/>
      <c r="AA69" s="2862"/>
      <c r="AB69" s="2694"/>
    </row>
    <row r="70" spans="1:29" ht="26.25" hidden="1" customHeight="1">
      <c r="A70" s="2874"/>
      <c r="B70" s="2721"/>
      <c r="C70" s="2722"/>
      <c r="D70" s="682" t="s">
        <v>470</v>
      </c>
      <c r="E70" s="734"/>
      <c r="F70" s="906"/>
      <c r="G70" s="734"/>
      <c r="H70" s="681"/>
      <c r="I70" s="681"/>
      <c r="J70" s="734"/>
      <c r="K70" s="681"/>
      <c r="L70" s="681"/>
      <c r="M70" s="1470"/>
      <c r="N70" s="1952" t="e">
        <f t="shared" si="7"/>
        <v>#DIV/0!</v>
      </c>
      <c r="O70" s="681"/>
      <c r="P70" s="1470"/>
      <c r="Q70" s="681"/>
      <c r="R70" s="1470"/>
      <c r="S70" s="2871"/>
      <c r="T70" s="2901"/>
      <c r="U70" s="2863"/>
      <c r="V70" s="2883"/>
      <c r="W70" s="2883"/>
      <c r="X70" s="2883"/>
      <c r="Y70" s="2883"/>
      <c r="Z70" s="2883"/>
      <c r="AA70" s="2864"/>
      <c r="AB70" s="2694"/>
    </row>
    <row r="71" spans="1:29" ht="27.75" hidden="1" customHeight="1">
      <c r="A71" s="2874"/>
      <c r="B71" s="2721"/>
      <c r="C71" s="2722"/>
      <c r="D71" s="665" t="s">
        <v>246</v>
      </c>
      <c r="E71" s="734"/>
      <c r="F71" s="906"/>
      <c r="G71" s="734"/>
      <c r="H71" s="681"/>
      <c r="I71" s="681"/>
      <c r="J71" s="734">
        <v>23.436</v>
      </c>
      <c r="K71" s="681">
        <v>23.436</v>
      </c>
      <c r="L71" s="681"/>
      <c r="M71" s="1470"/>
      <c r="N71" s="1952">
        <f t="shared" si="7"/>
        <v>-1</v>
      </c>
      <c r="O71" s="681"/>
      <c r="P71" s="1470"/>
      <c r="Q71" s="681"/>
      <c r="R71" s="1470"/>
      <c r="S71" s="2871"/>
      <c r="T71" s="2901"/>
      <c r="U71" s="2863"/>
      <c r="V71" s="2883"/>
      <c r="W71" s="2883"/>
      <c r="X71" s="2883"/>
      <c r="Y71" s="2883"/>
      <c r="Z71" s="2883"/>
      <c r="AA71" s="2864"/>
      <c r="AB71" s="2694"/>
    </row>
    <row r="72" spans="1:29" ht="27.75" hidden="1" customHeight="1">
      <c r="A72" s="2874"/>
      <c r="B72" s="2875"/>
      <c r="C72" s="2722"/>
      <c r="D72" s="1023" t="s">
        <v>1067</v>
      </c>
      <c r="E72" s="1018">
        <f>E69</f>
        <v>62</v>
      </c>
      <c r="F72" s="1842">
        <f t="shared" ref="F72" si="52">H72/E72-1</f>
        <v>-1</v>
      </c>
      <c r="G72" s="1018">
        <f t="shared" ref="G72" si="53">G69</f>
        <v>0</v>
      </c>
      <c r="H72" s="1021">
        <f>SUM(H69,H71)</f>
        <v>0</v>
      </c>
      <c r="I72" s="1021"/>
      <c r="J72" s="1018">
        <f>SUM(J69,J71)</f>
        <v>26.14</v>
      </c>
      <c r="K72" s="1021">
        <f>SUM(K69,K71)</f>
        <v>26.14</v>
      </c>
      <c r="L72" s="1021">
        <f t="shared" ref="L72:O72" si="54">SUM(L69,L71)</f>
        <v>0</v>
      </c>
      <c r="M72" s="1739">
        <f t="shared" ref="M72" si="55">SUM(M69,M71)</f>
        <v>0</v>
      </c>
      <c r="N72" s="2104">
        <f t="shared" si="7"/>
        <v>-1</v>
      </c>
      <c r="O72" s="1021">
        <f t="shared" si="54"/>
        <v>0</v>
      </c>
      <c r="P72" s="1739">
        <f t="shared" ref="P72:Q72" si="56">SUM(P69,P71)</f>
        <v>0</v>
      </c>
      <c r="Q72" s="1021">
        <f t="shared" si="56"/>
        <v>0</v>
      </c>
      <c r="R72" s="1739">
        <f t="shared" ref="R72" si="57">SUM(R69,R71)</f>
        <v>0</v>
      </c>
      <c r="S72" s="2871"/>
      <c r="T72" s="2901"/>
      <c r="U72" s="2865"/>
      <c r="V72" s="2884"/>
      <c r="W72" s="2884"/>
      <c r="X72" s="2884"/>
      <c r="Y72" s="2884"/>
      <c r="Z72" s="2884"/>
      <c r="AA72" s="2866"/>
      <c r="AB72" s="2694"/>
    </row>
    <row r="73" spans="1:29" ht="31.5" customHeight="1">
      <c r="A73" s="2879" t="s">
        <v>1949</v>
      </c>
      <c r="B73" s="2699" t="s">
        <v>1177</v>
      </c>
      <c r="C73" s="2719">
        <v>188711925</v>
      </c>
      <c r="D73" s="706" t="s">
        <v>470</v>
      </c>
      <c r="E73" s="720">
        <v>35</v>
      </c>
      <c r="F73" s="892">
        <f t="shared" si="30"/>
        <v>-0.22857142857142854</v>
      </c>
      <c r="G73" s="720">
        <v>40</v>
      </c>
      <c r="H73" s="722">
        <v>27</v>
      </c>
      <c r="I73" s="723">
        <f t="shared" ref="I73:I91" si="58">K73/H73-1</f>
        <v>0.32962962962962949</v>
      </c>
      <c r="J73" s="720">
        <v>45</v>
      </c>
      <c r="K73" s="722">
        <v>35.9</v>
      </c>
      <c r="L73" s="1062">
        <v>40</v>
      </c>
      <c r="M73" s="1496">
        <v>42</v>
      </c>
      <c r="N73" s="2101">
        <f t="shared" si="7"/>
        <v>0.11420612813370477</v>
      </c>
      <c r="O73" s="722">
        <v>44</v>
      </c>
      <c r="P73" s="1496">
        <v>44</v>
      </c>
      <c r="Q73" s="722">
        <v>46</v>
      </c>
      <c r="R73" s="1496">
        <v>46</v>
      </c>
      <c r="S73" s="2871"/>
      <c r="T73" s="2704" t="s">
        <v>3675</v>
      </c>
      <c r="U73" s="2694" t="s">
        <v>1318</v>
      </c>
      <c r="V73" s="2694" t="s">
        <v>1303</v>
      </c>
      <c r="W73" s="2694" t="s">
        <v>308</v>
      </c>
      <c r="X73" s="2694" t="s">
        <v>308</v>
      </c>
      <c r="Y73" s="2694" t="s">
        <v>308</v>
      </c>
      <c r="Z73" s="2694" t="s">
        <v>308</v>
      </c>
      <c r="AA73" s="2694" t="s">
        <v>308</v>
      </c>
      <c r="AB73" s="2694"/>
    </row>
    <row r="74" spans="1:29" ht="43.95" customHeight="1">
      <c r="A74" s="2879"/>
      <c r="B74" s="2699"/>
      <c r="C74" s="2719"/>
      <c r="D74" s="725" t="s">
        <v>1067</v>
      </c>
      <c r="E74" s="726">
        <f>E73</f>
        <v>35</v>
      </c>
      <c r="F74" s="911">
        <f t="shared" si="30"/>
        <v>-0.22857142857142854</v>
      </c>
      <c r="G74" s="726">
        <f t="shared" ref="G74:L74" si="59">G73</f>
        <v>40</v>
      </c>
      <c r="H74" s="728">
        <f t="shared" ref="H74" si="60">H73</f>
        <v>27</v>
      </c>
      <c r="I74" s="729">
        <f t="shared" si="58"/>
        <v>0.32962962962962949</v>
      </c>
      <c r="J74" s="726">
        <f>J73</f>
        <v>45</v>
      </c>
      <c r="K74" s="728">
        <f t="shared" si="59"/>
        <v>35.9</v>
      </c>
      <c r="L74" s="728">
        <f t="shared" si="59"/>
        <v>40</v>
      </c>
      <c r="M74" s="1464">
        <f t="shared" ref="M74" si="61">M73</f>
        <v>42</v>
      </c>
      <c r="N74" s="2102">
        <f t="shared" si="7"/>
        <v>0.11420612813370477</v>
      </c>
      <c r="O74" s="728">
        <f>O73</f>
        <v>44</v>
      </c>
      <c r="P74" s="1464">
        <f>P73</f>
        <v>44</v>
      </c>
      <c r="Q74" s="728">
        <f>Q73</f>
        <v>46</v>
      </c>
      <c r="R74" s="1464">
        <f>R73</f>
        <v>46</v>
      </c>
      <c r="S74" s="2871"/>
      <c r="T74" s="2734"/>
      <c r="U74" s="2694"/>
      <c r="V74" s="2694"/>
      <c r="W74" s="2694"/>
      <c r="X74" s="2694"/>
      <c r="Y74" s="2694"/>
      <c r="Z74" s="2694"/>
      <c r="AA74" s="2694"/>
      <c r="AB74" s="2694"/>
    </row>
    <row r="75" spans="1:29" ht="71.25" customHeight="1">
      <c r="A75" s="895" t="s">
        <v>3207</v>
      </c>
      <c r="B75" s="671" t="s">
        <v>3676</v>
      </c>
      <c r="C75" s="896"/>
      <c r="D75" s="697"/>
      <c r="E75" s="746">
        <f>SUM(E77,E90,E92,E95,E98,E106)</f>
        <v>43.8</v>
      </c>
      <c r="F75" s="747">
        <f>H75/E75-1</f>
        <v>-1</v>
      </c>
      <c r="G75" s="746">
        <f>SUM(G77,G90,G92,G95,G98,G106)</f>
        <v>45</v>
      </c>
      <c r="H75" s="746"/>
      <c r="I75" s="747"/>
      <c r="J75" s="745">
        <f>J76</f>
        <v>40</v>
      </c>
      <c r="K75" s="746">
        <f t="shared" ref="K75:R75" si="62">K76</f>
        <v>15</v>
      </c>
      <c r="L75" s="746">
        <f t="shared" si="62"/>
        <v>15</v>
      </c>
      <c r="M75" s="1497">
        <f t="shared" si="62"/>
        <v>20</v>
      </c>
      <c r="N75" s="2100">
        <f t="shared" si="7"/>
        <v>0</v>
      </c>
      <c r="O75" s="746">
        <f t="shared" si="62"/>
        <v>25</v>
      </c>
      <c r="P75" s="1497">
        <f t="shared" si="62"/>
        <v>25</v>
      </c>
      <c r="Q75" s="746">
        <f t="shared" si="62"/>
        <v>30</v>
      </c>
      <c r="R75" s="1497">
        <f t="shared" si="62"/>
        <v>30</v>
      </c>
      <c r="S75" s="746" t="s">
        <v>893</v>
      </c>
      <c r="T75" s="898"/>
      <c r="U75" s="671" t="s">
        <v>4344</v>
      </c>
      <c r="V75" s="671" t="s">
        <v>3677</v>
      </c>
      <c r="W75" s="671" t="s">
        <v>1305</v>
      </c>
      <c r="X75" s="671" t="s">
        <v>403</v>
      </c>
      <c r="Y75" s="671" t="s">
        <v>403</v>
      </c>
      <c r="Z75" s="671" t="s">
        <v>403</v>
      </c>
      <c r="AA75" s="671" t="s">
        <v>403</v>
      </c>
      <c r="AB75" s="671"/>
    </row>
    <row r="76" spans="1:29" ht="33" customHeight="1">
      <c r="A76" s="2879" t="s">
        <v>3209</v>
      </c>
      <c r="B76" s="2703" t="s">
        <v>3694</v>
      </c>
      <c r="C76" s="2719">
        <v>188711925</v>
      </c>
      <c r="D76" s="706" t="s">
        <v>470</v>
      </c>
      <c r="E76" s="722">
        <v>43.8</v>
      </c>
      <c r="F76" s="723">
        <f>H76/E76-1</f>
        <v>-1</v>
      </c>
      <c r="G76" s="722">
        <v>45</v>
      </c>
      <c r="H76" s="722"/>
      <c r="I76" s="723"/>
      <c r="J76" s="720">
        <v>40</v>
      </c>
      <c r="K76" s="722">
        <v>15</v>
      </c>
      <c r="L76" s="1062">
        <v>15</v>
      </c>
      <c r="M76" s="1496">
        <v>20</v>
      </c>
      <c r="N76" s="2101">
        <f t="shared" si="7"/>
        <v>0</v>
      </c>
      <c r="O76" s="722">
        <v>25</v>
      </c>
      <c r="P76" s="1496">
        <v>25</v>
      </c>
      <c r="Q76" s="722">
        <v>30</v>
      </c>
      <c r="R76" s="1496">
        <v>30</v>
      </c>
      <c r="S76" s="2871" t="s">
        <v>2177</v>
      </c>
      <c r="T76" s="2704" t="s">
        <v>3678</v>
      </c>
      <c r="U76" s="2694" t="s">
        <v>4345</v>
      </c>
      <c r="V76" s="2694" t="s">
        <v>3477</v>
      </c>
      <c r="W76" s="2694" t="s">
        <v>308</v>
      </c>
      <c r="X76" s="2694" t="s">
        <v>403</v>
      </c>
      <c r="Y76" s="2694" t="s">
        <v>403</v>
      </c>
      <c r="Z76" s="2694" t="s">
        <v>403</v>
      </c>
      <c r="AA76" s="2694" t="s">
        <v>403</v>
      </c>
      <c r="AB76" s="2694" t="s">
        <v>3478</v>
      </c>
      <c r="AC76" s="278" t="s">
        <v>2548</v>
      </c>
    </row>
    <row r="77" spans="1:29" ht="39" customHeight="1">
      <c r="A77" s="2879"/>
      <c r="B77" s="2703"/>
      <c r="C77" s="2719"/>
      <c r="D77" s="725" t="s">
        <v>1067</v>
      </c>
      <c r="E77" s="728">
        <f>E76</f>
        <v>43.8</v>
      </c>
      <c r="F77" s="729">
        <f>H77/E77-1</f>
        <v>-1</v>
      </c>
      <c r="G77" s="728">
        <f>G76</f>
        <v>45</v>
      </c>
      <c r="H77" s="728"/>
      <c r="I77" s="729"/>
      <c r="J77" s="726">
        <f>J76</f>
        <v>40</v>
      </c>
      <c r="K77" s="728">
        <f>K76</f>
        <v>15</v>
      </c>
      <c r="L77" s="728">
        <f t="shared" ref="L77:O77" si="63">L76</f>
        <v>15</v>
      </c>
      <c r="M77" s="1464">
        <f t="shared" ref="M77" si="64">M76</f>
        <v>20</v>
      </c>
      <c r="N77" s="2102">
        <f t="shared" si="7"/>
        <v>0</v>
      </c>
      <c r="O77" s="728">
        <f t="shared" si="63"/>
        <v>25</v>
      </c>
      <c r="P77" s="1464">
        <f t="shared" ref="P77:Q77" si="65">P76</f>
        <v>25</v>
      </c>
      <c r="Q77" s="728">
        <f t="shared" si="65"/>
        <v>30</v>
      </c>
      <c r="R77" s="1464">
        <f t="shared" ref="R77" si="66">R76</f>
        <v>30</v>
      </c>
      <c r="S77" s="2871"/>
      <c r="T77" s="2704"/>
      <c r="U77" s="2694"/>
      <c r="V77" s="2694"/>
      <c r="W77" s="2694"/>
      <c r="X77" s="2694"/>
      <c r="Y77" s="2694"/>
      <c r="Z77" s="2694"/>
      <c r="AA77" s="2694"/>
      <c r="AB77" s="2694"/>
    </row>
    <row r="78" spans="1:29" ht="76.2" customHeight="1">
      <c r="A78" s="2825"/>
      <c r="B78" s="2825"/>
      <c r="C78" s="2825"/>
      <c r="D78" s="2825"/>
      <c r="E78" s="258" t="s">
        <v>1081</v>
      </c>
      <c r="F78" s="258"/>
      <c r="G78" s="323" t="str">
        <f>G11</f>
        <v>2024  m.asignavimų poreikis</v>
      </c>
      <c r="H78" s="184" t="str">
        <f>H11</f>
        <v>2024  m.asignavimai ir kitos lėšos, tūkst. Eur</v>
      </c>
      <c r="I78" s="323" t="s">
        <v>2882</v>
      </c>
      <c r="J78" s="323" t="s">
        <v>2883</v>
      </c>
      <c r="K78" s="182" t="str">
        <f>K11</f>
        <v>2025 m. asignavimai ir kitos lėšos, tūkst. Eur</v>
      </c>
      <c r="L78" s="182" t="str">
        <f>L11</f>
        <v>2026 m. asignavimai ir kitos lėšos, tūkst. Eur</v>
      </c>
      <c r="M78" s="1505" t="str">
        <f>M11</f>
        <v>2026 m.asignavimai ir kitos lėšos, tūkst. Eur
(poreikis)</v>
      </c>
      <c r="N78" s="2105" t="e">
        <f t="shared" si="7"/>
        <v>#VALUE!</v>
      </c>
      <c r="O78" s="182" t="s">
        <v>2881</v>
      </c>
      <c r="P78" s="1505" t="str">
        <f>P11</f>
        <v>2027 m.asignavimai ir kitos lėšos, tūkst. Eur
(poreikis)</v>
      </c>
      <c r="Q78" s="182" t="str">
        <f>Q11</f>
        <v>2028 m.asignavimai ir kitos lėšos, tūkst. Eur</v>
      </c>
      <c r="R78" s="1505" t="str">
        <f>R11</f>
        <v>2028 m.asignavimai ir kitos lėšos, tūkst. Eur
(poreikis)</v>
      </c>
      <c r="S78" s="182"/>
      <c r="T78" s="184"/>
      <c r="U78" s="1328"/>
      <c r="V78" s="1328"/>
      <c r="W78" s="1328"/>
      <c r="X78" s="1328"/>
      <c r="Y78" s="1328"/>
      <c r="Z78" s="1328"/>
      <c r="AA78" s="1328"/>
      <c r="AB78" s="1328"/>
    </row>
    <row r="79" spans="1:29" ht="31.95" customHeight="1">
      <c r="A79" s="222"/>
      <c r="B79" s="2848" t="s">
        <v>720</v>
      </c>
      <c r="C79" s="2848"/>
      <c r="D79" s="2848"/>
      <c r="E79" s="262">
        <f>E80+E81+E84+E85+E86+E87</f>
        <v>1296.83</v>
      </c>
      <c r="F79" s="259">
        <f t="shared" si="30"/>
        <v>0.2344293392349035</v>
      </c>
      <c r="G79" s="262">
        <f t="shared" ref="G79" si="67">G80+G81+G84+G85+G86+G87</f>
        <v>155</v>
      </c>
      <c r="H79" s="226">
        <f>H80+H81+H84+H85+H86+H87</f>
        <v>1600.8449999999998</v>
      </c>
      <c r="I79" s="224">
        <f t="shared" si="58"/>
        <v>0.14718226936399237</v>
      </c>
      <c r="J79" s="262">
        <f t="shared" ref="J79" si="68">J80+J81+J84+J85+J86+J87</f>
        <v>178</v>
      </c>
      <c r="K79" s="226">
        <f t="shared" ref="K79:R79" si="69">K80+K81+K84+K85+K86+K87</f>
        <v>1836.4610000000002</v>
      </c>
      <c r="L79" s="226">
        <f t="shared" si="69"/>
        <v>2342.8650000000002</v>
      </c>
      <c r="M79" s="1687">
        <f t="shared" si="69"/>
        <v>2777.0450000000001</v>
      </c>
      <c r="N79" s="2101">
        <f>SUM(L79-K79)/K79</f>
        <v>0.27574993424853561</v>
      </c>
      <c r="O79" s="226">
        <f t="shared" si="69"/>
        <v>1986.5150000000001</v>
      </c>
      <c r="P79" s="1687">
        <f t="shared" si="69"/>
        <v>2496.2800000000002</v>
      </c>
      <c r="Q79" s="226">
        <f t="shared" si="69"/>
        <v>2074.5632500000002</v>
      </c>
      <c r="R79" s="1687">
        <f t="shared" si="69"/>
        <v>2709.7550000000001</v>
      </c>
      <c r="S79" s="888"/>
      <c r="T79" s="644"/>
      <c r="U79" s="644"/>
      <c r="V79" s="644"/>
      <c r="W79" s="644"/>
      <c r="X79" s="644"/>
      <c r="Y79" s="644"/>
      <c r="Z79" s="644"/>
      <c r="AA79" s="644"/>
      <c r="AB79" s="644"/>
    </row>
    <row r="80" spans="1:29" ht="42.6" customHeight="1">
      <c r="A80" s="221"/>
      <c r="B80" s="2828" t="s">
        <v>1913</v>
      </c>
      <c r="C80" s="2828"/>
      <c r="D80" s="2828"/>
      <c r="E80" s="216">
        <f>SUM(E14,E30,E43,E45,E49,E53,E73,)</f>
        <v>1272.1499999999999</v>
      </c>
      <c r="F80" s="259">
        <f t="shared" si="30"/>
        <v>0.22350744802106681</v>
      </c>
      <c r="G80" s="216">
        <f>SUM(G14,G30,G43,G45,G49,G53,G73,)</f>
        <v>155</v>
      </c>
      <c r="H80" s="213">
        <f>SUM(H14,H30,H43,H45,H49,H53,H73,)</f>
        <v>1556.4849999999999</v>
      </c>
      <c r="I80" s="442">
        <f t="shared" si="58"/>
        <v>-8.7279993061285532E-3</v>
      </c>
      <c r="J80" s="216">
        <f>SUM(J14,J30,J43,J45,J49,J53,J73,)</f>
        <v>178</v>
      </c>
      <c r="K80" s="213">
        <f>SUM(K14,K30,K43,K45,K49,K73,K76,)</f>
        <v>1542.9000000000003</v>
      </c>
      <c r="L80" s="213">
        <f>SUM(L14,L30,L43,L45,L49,L73,L76,L54,L51,)</f>
        <v>1812.7700000000002</v>
      </c>
      <c r="M80" s="1527">
        <f>SUM(M14,M30,M43,M45,M49,M73,M76,M54,M51,)</f>
        <v>2744.415</v>
      </c>
      <c r="N80" s="2101">
        <f t="shared" si="7"/>
        <v>0.17491088210512659</v>
      </c>
      <c r="O80" s="213">
        <f>SUM(O14,O30,O43,O45,O49,O73,O76,O54,O51,)</f>
        <v>1905.9650000000001</v>
      </c>
      <c r="P80" s="1527">
        <f>SUM(P14,P30,P43,P45,P49,P73,P76,P54,P51,)</f>
        <v>2460.98</v>
      </c>
      <c r="Q80" s="213">
        <f>SUM(Q14,Q30,Q43,Q45,Q49,Q73,Q76,Q54,Q51,)</f>
        <v>1994.0132500000002</v>
      </c>
      <c r="R80" s="1527">
        <f>SUM(R14,R30,R43,R45,R49,R73,R76,R54,R51,)</f>
        <v>2674.2550000000001</v>
      </c>
      <c r="S80" s="191"/>
      <c r="T80" s="171"/>
      <c r="U80" s="171"/>
      <c r="V80" s="171"/>
      <c r="W80" s="171"/>
      <c r="X80" s="171"/>
      <c r="Y80" s="171"/>
      <c r="Z80" s="171"/>
      <c r="AA80" s="171"/>
      <c r="AB80" s="171"/>
    </row>
    <row r="81" spans="1:28" ht="31.2" customHeight="1">
      <c r="A81" s="221"/>
      <c r="B81" s="2828" t="s">
        <v>722</v>
      </c>
      <c r="C81" s="2828"/>
      <c r="D81" s="2828"/>
      <c r="E81" s="216">
        <f>SUM(E16)</f>
        <v>24.68</v>
      </c>
      <c r="F81" s="259">
        <f t="shared" si="30"/>
        <v>-1.2965964343598091E-2</v>
      </c>
      <c r="G81" s="216">
        <f>SUM(G16)</f>
        <v>0</v>
      </c>
      <c r="H81" s="213">
        <f>SUM(H16)</f>
        <v>24.36</v>
      </c>
      <c r="I81" s="442">
        <f t="shared" si="58"/>
        <v>0.23768472906403937</v>
      </c>
      <c r="J81" s="216">
        <f>SUM(J16)</f>
        <v>0</v>
      </c>
      <c r="K81" s="213">
        <f>K82</f>
        <v>30.15</v>
      </c>
      <c r="L81" s="213">
        <f>L82+L83</f>
        <v>80.55</v>
      </c>
      <c r="M81" s="1527">
        <f t="shared" ref="M81:R81" si="70">M82</f>
        <v>32.630000000000003</v>
      </c>
      <c r="N81" s="2101">
        <f t="shared" si="7"/>
        <v>1.6716417910447761</v>
      </c>
      <c r="O81" s="213">
        <f t="shared" ref="O81:Q81" si="71">O82+O83</f>
        <v>80.55</v>
      </c>
      <c r="P81" s="1527">
        <f t="shared" si="71"/>
        <v>35.299999999999997</v>
      </c>
      <c r="Q81" s="213">
        <f t="shared" si="71"/>
        <v>80.55</v>
      </c>
      <c r="R81" s="1527">
        <f t="shared" si="70"/>
        <v>35.5</v>
      </c>
      <c r="S81" s="191"/>
      <c r="T81" s="171"/>
      <c r="U81" s="171"/>
      <c r="V81" s="171"/>
      <c r="W81" s="171"/>
      <c r="X81" s="171"/>
      <c r="Y81" s="171"/>
      <c r="Z81" s="171"/>
      <c r="AA81" s="171"/>
      <c r="AB81" s="171"/>
    </row>
    <row r="82" spans="1:28" ht="20.100000000000001" hidden="1" customHeight="1">
      <c r="A82" s="221"/>
      <c r="B82" s="2737" t="s">
        <v>2586</v>
      </c>
      <c r="C82" s="2738"/>
      <c r="D82" s="2739"/>
      <c r="E82" s="459"/>
      <c r="F82" s="643"/>
      <c r="G82" s="459"/>
      <c r="H82" s="445">
        <f>H81</f>
        <v>24.36</v>
      </c>
      <c r="I82" s="557">
        <f t="shared" si="58"/>
        <v>0.23768472906403937</v>
      </c>
      <c r="J82" s="447">
        <f t="shared" ref="J82" si="72">J81</f>
        <v>0</v>
      </c>
      <c r="K82" s="445">
        <f>SUM(K16)</f>
        <v>30.15</v>
      </c>
      <c r="L82" s="445">
        <f>SUM(L16)</f>
        <v>32.549999999999997</v>
      </c>
      <c r="M82" s="1529">
        <f>SUM(M16)</f>
        <v>32.630000000000003</v>
      </c>
      <c r="N82" s="1952">
        <f t="shared" si="7"/>
        <v>7.9601990049751201E-2</v>
      </c>
      <c r="O82" s="445">
        <f>SUM(O16)</f>
        <v>32.549999999999997</v>
      </c>
      <c r="P82" s="1529">
        <f>SUM(P16)</f>
        <v>35.299999999999997</v>
      </c>
      <c r="Q82" s="445">
        <f>SUM(Q16)</f>
        <v>32.549999999999997</v>
      </c>
      <c r="R82" s="1529">
        <f>SUM(R16)</f>
        <v>35.5</v>
      </c>
      <c r="S82" s="191"/>
      <c r="T82" s="171"/>
      <c r="U82" s="171"/>
      <c r="V82" s="171"/>
      <c r="W82" s="171"/>
      <c r="X82" s="171"/>
      <c r="Y82" s="171"/>
      <c r="Z82" s="171"/>
      <c r="AA82" s="171"/>
      <c r="AB82" s="171"/>
    </row>
    <row r="83" spans="1:28" ht="49.8" hidden="1" customHeight="1">
      <c r="A83" s="221"/>
      <c r="B83" s="2737" t="s">
        <v>4390</v>
      </c>
      <c r="C83" s="2738"/>
      <c r="D83" s="2739"/>
      <c r="E83" s="459"/>
      <c r="F83" s="643"/>
      <c r="G83" s="459"/>
      <c r="H83" s="445"/>
      <c r="I83" s="557"/>
      <c r="J83" s="447"/>
      <c r="K83" s="445"/>
      <c r="L83" s="445">
        <f>L17</f>
        <v>48</v>
      </c>
      <c r="M83" s="1529"/>
      <c r="N83" s="1952"/>
      <c r="O83" s="445">
        <f t="shared" ref="O83:Q83" si="73">O17</f>
        <v>48</v>
      </c>
      <c r="P83" s="1529">
        <f t="shared" si="73"/>
        <v>0</v>
      </c>
      <c r="Q83" s="445">
        <f t="shared" si="73"/>
        <v>48</v>
      </c>
      <c r="R83" s="1529"/>
      <c r="S83" s="191"/>
      <c r="T83" s="171"/>
      <c r="U83" s="171"/>
      <c r="V83" s="171"/>
      <c r="W83" s="171"/>
      <c r="X83" s="171"/>
      <c r="Y83" s="171"/>
      <c r="Z83" s="171"/>
      <c r="AA83" s="171"/>
      <c r="AB83" s="171"/>
    </row>
    <row r="84" spans="1:28" ht="26.4" customHeight="1">
      <c r="A84" s="221"/>
      <c r="B84" s="2828" t="s">
        <v>723</v>
      </c>
      <c r="C84" s="2828"/>
      <c r="D84" s="2828"/>
      <c r="E84" s="216">
        <v>0</v>
      </c>
      <c r="F84" s="259"/>
      <c r="G84" s="216">
        <v>0</v>
      </c>
      <c r="H84" s="213">
        <v>0</v>
      </c>
      <c r="I84" s="442"/>
      <c r="J84" s="216">
        <v>0</v>
      </c>
      <c r="K84" s="213">
        <v>0</v>
      </c>
      <c r="L84" s="213">
        <v>0</v>
      </c>
      <c r="M84" s="1527">
        <v>0</v>
      </c>
      <c r="N84" s="2101"/>
      <c r="O84" s="213">
        <v>0</v>
      </c>
      <c r="P84" s="1527">
        <v>0</v>
      </c>
      <c r="Q84" s="213">
        <v>0</v>
      </c>
      <c r="R84" s="1527">
        <v>0</v>
      </c>
      <c r="S84" s="191"/>
      <c r="T84" s="171"/>
      <c r="U84" s="171"/>
      <c r="V84" s="171"/>
      <c r="W84" s="171"/>
      <c r="X84" s="171"/>
      <c r="Y84" s="171"/>
      <c r="Z84" s="171"/>
      <c r="AA84" s="171"/>
      <c r="AB84" s="171"/>
    </row>
    <row r="85" spans="1:28" ht="34.950000000000003" customHeight="1">
      <c r="A85" s="221"/>
      <c r="B85" s="2828" t="s">
        <v>2687</v>
      </c>
      <c r="C85" s="2828"/>
      <c r="D85" s="2828"/>
      <c r="E85" s="216">
        <v>0</v>
      </c>
      <c r="F85" s="259"/>
      <c r="G85" s="216">
        <v>0</v>
      </c>
      <c r="H85" s="213">
        <v>0</v>
      </c>
      <c r="I85" s="442"/>
      <c r="J85" s="216">
        <v>0</v>
      </c>
      <c r="K85" s="213">
        <f>K55</f>
        <v>23.436</v>
      </c>
      <c r="L85" s="213">
        <f t="shared" ref="L85:O85" si="74">L55</f>
        <v>0</v>
      </c>
      <c r="M85" s="1527">
        <f t="shared" ref="M85" si="75">M55</f>
        <v>0</v>
      </c>
      <c r="N85" s="2101">
        <f t="shared" si="7"/>
        <v>-1</v>
      </c>
      <c r="O85" s="213">
        <f t="shared" si="74"/>
        <v>0</v>
      </c>
      <c r="P85" s="1527">
        <f t="shared" ref="P85:Q85" si="76">P55</f>
        <v>0</v>
      </c>
      <c r="Q85" s="213">
        <f t="shared" si="76"/>
        <v>0</v>
      </c>
      <c r="R85" s="1527">
        <f t="shared" ref="R85" si="77">R55</f>
        <v>0</v>
      </c>
      <c r="S85" s="191"/>
      <c r="U85" s="171"/>
      <c r="V85" s="171"/>
      <c r="W85" s="171"/>
      <c r="X85" s="171"/>
      <c r="Y85" s="171"/>
      <c r="Z85" s="171"/>
      <c r="AA85" s="171"/>
      <c r="AB85" s="171"/>
    </row>
    <row r="86" spans="1:28" ht="25.2" customHeight="1">
      <c r="A86" s="221"/>
      <c r="B86" s="2828" t="s">
        <v>724</v>
      </c>
      <c r="C86" s="2828"/>
      <c r="D86" s="2828"/>
      <c r="E86" s="216">
        <v>0</v>
      </c>
      <c r="F86" s="259"/>
      <c r="G86" s="216">
        <v>0</v>
      </c>
      <c r="H86" s="213">
        <v>0</v>
      </c>
      <c r="I86" s="442"/>
      <c r="J86" s="216">
        <v>0</v>
      </c>
      <c r="K86" s="213">
        <f>SUM(K57)</f>
        <v>0</v>
      </c>
      <c r="L86" s="213">
        <f t="shared" ref="L86:O86" si="78">SUM(L57)</f>
        <v>0</v>
      </c>
      <c r="M86" s="1527">
        <f t="shared" ref="M86" si="79">SUM(M57)</f>
        <v>0</v>
      </c>
      <c r="N86" s="2101"/>
      <c r="O86" s="213">
        <f t="shared" si="78"/>
        <v>0</v>
      </c>
      <c r="P86" s="1527">
        <f>SUM(P57)</f>
        <v>0</v>
      </c>
      <c r="Q86" s="213">
        <f t="shared" ref="Q86" si="80">SUM(Q57)</f>
        <v>0</v>
      </c>
      <c r="R86" s="1527">
        <f t="shared" ref="R86" si="81">SUM(R57)</f>
        <v>0</v>
      </c>
      <c r="S86" s="191"/>
      <c r="T86" s="171"/>
      <c r="U86" s="171"/>
      <c r="V86" s="171"/>
      <c r="W86" s="171"/>
      <c r="X86" s="171"/>
      <c r="Y86" s="171"/>
      <c r="Z86" s="171"/>
      <c r="AA86" s="171"/>
      <c r="AB86" s="171"/>
    </row>
    <row r="87" spans="1:28" ht="29.4" customHeight="1">
      <c r="A87" s="221"/>
      <c r="B87" s="2828" t="s">
        <v>725</v>
      </c>
      <c r="C87" s="2828"/>
      <c r="D87" s="2828"/>
      <c r="E87" s="216">
        <v>0</v>
      </c>
      <c r="F87" s="259"/>
      <c r="G87" s="216">
        <v>0</v>
      </c>
      <c r="H87" s="213">
        <f>H31</f>
        <v>20</v>
      </c>
      <c r="I87" s="442">
        <f t="shared" si="58"/>
        <v>10.998750000000001</v>
      </c>
      <c r="J87" s="216">
        <f>J31</f>
        <v>0</v>
      </c>
      <c r="K87" s="213">
        <f>SUM(K53)</f>
        <v>239.97500000000002</v>
      </c>
      <c r="L87" s="213">
        <f>SUM(L53,L15,)</f>
        <v>449.54500000000002</v>
      </c>
      <c r="M87" s="1527">
        <f>SUM(M53)</f>
        <v>0</v>
      </c>
      <c r="N87" s="2101">
        <f t="shared" si="7"/>
        <v>0.873299302010626</v>
      </c>
      <c r="O87" s="213">
        <f t="shared" ref="O87:Q87" si="82">SUM(O53)</f>
        <v>0</v>
      </c>
      <c r="P87" s="1527">
        <f t="shared" si="82"/>
        <v>0</v>
      </c>
      <c r="Q87" s="213">
        <f t="shared" si="82"/>
        <v>0</v>
      </c>
      <c r="R87" s="1527">
        <f t="shared" ref="R87" si="83">SUM(R53)</f>
        <v>0</v>
      </c>
      <c r="S87" s="191"/>
      <c r="T87" s="171"/>
      <c r="U87" s="171"/>
      <c r="V87" s="171"/>
      <c r="W87" s="171"/>
      <c r="X87" s="171"/>
      <c r="Y87" s="171"/>
      <c r="Z87" s="171"/>
      <c r="AA87" s="171"/>
      <c r="AB87" s="171"/>
    </row>
    <row r="88" spans="1:28" ht="39.6" customHeight="1">
      <c r="A88" s="222"/>
      <c r="B88" s="2829" t="s">
        <v>726</v>
      </c>
      <c r="C88" s="2829"/>
      <c r="D88" s="2829"/>
      <c r="E88" s="324">
        <v>0</v>
      </c>
      <c r="F88" s="260"/>
      <c r="G88" s="324">
        <v>0</v>
      </c>
      <c r="H88" s="314">
        <v>0</v>
      </c>
      <c r="I88" s="621"/>
      <c r="J88" s="324">
        <v>0</v>
      </c>
      <c r="K88" s="314">
        <f t="shared" ref="K88:R88" si="84">K56</f>
        <v>0</v>
      </c>
      <c r="L88" s="314">
        <f t="shared" si="84"/>
        <v>80.198999999999998</v>
      </c>
      <c r="M88" s="1688">
        <f t="shared" si="84"/>
        <v>80.198999999999998</v>
      </c>
      <c r="N88" s="2101"/>
      <c r="O88" s="314">
        <f t="shared" si="84"/>
        <v>0</v>
      </c>
      <c r="P88" s="1688">
        <f t="shared" si="84"/>
        <v>0</v>
      </c>
      <c r="Q88" s="314">
        <f t="shared" si="84"/>
        <v>0</v>
      </c>
      <c r="R88" s="1688">
        <f t="shared" si="84"/>
        <v>0</v>
      </c>
      <c r="S88" s="191"/>
      <c r="T88" s="171"/>
      <c r="U88" s="171"/>
      <c r="V88" s="171"/>
      <c r="W88" s="171"/>
      <c r="X88" s="171"/>
      <c r="Y88" s="171"/>
      <c r="Z88" s="171"/>
      <c r="AA88" s="171"/>
      <c r="AB88" s="171"/>
    </row>
    <row r="89" spans="1:28" ht="31.2" customHeight="1">
      <c r="A89" s="221"/>
      <c r="B89" s="2829" t="s">
        <v>1082</v>
      </c>
      <c r="C89" s="2829"/>
      <c r="D89" s="2829"/>
      <c r="E89" s="261">
        <f>E79+E88</f>
        <v>1296.83</v>
      </c>
      <c r="F89" s="260">
        <f t="shared" si="30"/>
        <v>0.2344293392349035</v>
      </c>
      <c r="G89" s="261">
        <f t="shared" ref="G89" si="85">G79+G88</f>
        <v>155</v>
      </c>
      <c r="H89" s="225">
        <f>H79+H88</f>
        <v>1600.8449999999998</v>
      </c>
      <c r="I89" s="315">
        <f t="shared" si="58"/>
        <v>0.14718226936399237</v>
      </c>
      <c r="J89" s="261">
        <f t="shared" ref="J89" si="86">J79+J88</f>
        <v>178</v>
      </c>
      <c r="K89" s="225">
        <f t="shared" ref="K89:R89" si="87">K79+K88</f>
        <v>1836.4610000000002</v>
      </c>
      <c r="L89" s="225">
        <f t="shared" si="87"/>
        <v>2423.0640000000003</v>
      </c>
      <c r="M89" s="1539">
        <f>M79+M88</f>
        <v>2857.2440000000001</v>
      </c>
      <c r="N89" s="2101">
        <f t="shared" ref="N89" si="88">SUM(L89-K89)/K89</f>
        <v>0.31942034162446137</v>
      </c>
      <c r="O89" s="225">
        <f t="shared" si="87"/>
        <v>1986.5150000000001</v>
      </c>
      <c r="P89" s="1539">
        <f t="shared" si="87"/>
        <v>2496.2800000000002</v>
      </c>
      <c r="Q89" s="225">
        <f t="shared" si="87"/>
        <v>2074.5632500000002</v>
      </c>
      <c r="R89" s="1539">
        <f t="shared" si="87"/>
        <v>2709.7550000000001</v>
      </c>
      <c r="S89" s="191"/>
      <c r="T89" s="171"/>
      <c r="U89" s="171"/>
      <c r="V89" s="171"/>
      <c r="W89" s="171"/>
      <c r="X89" s="171"/>
      <c r="Y89" s="171"/>
      <c r="Z89" s="171"/>
      <c r="AA89" s="171"/>
      <c r="AB89" s="171"/>
    </row>
    <row r="90" spans="1:28" ht="25.2" customHeight="1">
      <c r="A90" s="221"/>
      <c r="B90" s="2829" t="s">
        <v>1914</v>
      </c>
      <c r="C90" s="2829"/>
      <c r="D90" s="2829"/>
      <c r="E90" s="325">
        <v>0</v>
      </c>
      <c r="F90" s="260"/>
      <c r="G90" s="325">
        <v>0</v>
      </c>
      <c r="H90" s="326">
        <v>0</v>
      </c>
      <c r="I90" s="622"/>
      <c r="J90" s="325">
        <v>0</v>
      </c>
      <c r="K90" s="326">
        <v>0</v>
      </c>
      <c r="L90" s="326">
        <v>0</v>
      </c>
      <c r="M90" s="1689">
        <v>0</v>
      </c>
      <c r="N90" s="2101"/>
      <c r="O90" s="326">
        <v>0</v>
      </c>
      <c r="P90" s="1689">
        <v>0</v>
      </c>
      <c r="Q90" s="326">
        <v>0</v>
      </c>
      <c r="R90" s="1689">
        <v>0</v>
      </c>
      <c r="S90" s="191"/>
      <c r="T90" s="171"/>
      <c r="U90" s="171"/>
      <c r="V90" s="171"/>
      <c r="W90" s="171"/>
      <c r="X90" s="171"/>
      <c r="Y90" s="171"/>
      <c r="Z90" s="171"/>
      <c r="AA90" s="171"/>
      <c r="AB90" s="171"/>
    </row>
    <row r="91" spans="1:28" ht="37.200000000000003" customHeight="1">
      <c r="A91" s="221"/>
      <c r="B91" s="2827" t="s">
        <v>727</v>
      </c>
      <c r="C91" s="2827"/>
      <c r="D91" s="2827"/>
      <c r="E91" s="2115">
        <v>0</v>
      </c>
      <c r="F91" s="2116"/>
      <c r="G91" s="2115">
        <v>0</v>
      </c>
      <c r="H91" s="313">
        <f>H89/E89-1</f>
        <v>0.2344293392349035</v>
      </c>
      <c r="I91" s="313">
        <f t="shared" si="58"/>
        <v>-0.36014834794335793</v>
      </c>
      <c r="J91" s="2117">
        <f t="shared" ref="J91" si="89">J89/G89-1</f>
        <v>0.14838709677419359</v>
      </c>
      <c r="K91" s="313">
        <v>0.15</v>
      </c>
      <c r="L91" s="313">
        <f>(L89-K89)/K89</f>
        <v>0.31942034162446137</v>
      </c>
      <c r="M91" s="2118"/>
      <c r="N91" s="2105"/>
      <c r="O91" s="313">
        <f>(O89-L89)/L89</f>
        <v>-0.18016404023996072</v>
      </c>
      <c r="P91" s="2118"/>
      <c r="Q91" s="313">
        <f>(Q89-O89)/O89</f>
        <v>4.4322972643045758E-2</v>
      </c>
      <c r="R91" s="1544"/>
      <c r="S91" s="191"/>
      <c r="T91" s="171"/>
      <c r="U91" s="171"/>
      <c r="V91" s="171"/>
      <c r="W91" s="171"/>
      <c r="X91" s="171"/>
      <c r="Y91" s="171"/>
      <c r="Z91" s="171"/>
      <c r="AA91" s="171"/>
      <c r="AB91" s="171"/>
    </row>
    <row r="92" spans="1:28" ht="24" customHeight="1">
      <c r="B92" s="318"/>
      <c r="C92" s="318"/>
      <c r="D92" s="318"/>
      <c r="E92" s="327"/>
      <c r="F92" s="327"/>
      <c r="G92" s="327"/>
      <c r="H92" s="327"/>
      <c r="I92" s="327"/>
      <c r="J92" s="328"/>
      <c r="K92" s="327"/>
      <c r="L92" s="327"/>
      <c r="M92" s="1690"/>
      <c r="N92" s="2106"/>
      <c r="O92" s="327"/>
      <c r="P92" s="1690"/>
      <c r="Q92" s="327"/>
      <c r="R92" s="1690"/>
      <c r="S92" s="889"/>
      <c r="T92" s="328"/>
      <c r="U92" s="328"/>
      <c r="V92" s="328"/>
      <c r="W92" s="328"/>
      <c r="X92" s="328"/>
      <c r="Y92" s="328"/>
      <c r="Z92" s="328"/>
      <c r="AA92" s="327"/>
      <c r="AB92" s="328"/>
    </row>
    <row r="93" spans="1:28" ht="17.25" hidden="1" customHeight="1">
      <c r="E93" s="278"/>
      <c r="F93" s="278"/>
      <c r="H93" s="329"/>
      <c r="I93" s="329"/>
      <c r="J93" s="537" t="s">
        <v>3557</v>
      </c>
      <c r="K93" s="278">
        <v>1782.875</v>
      </c>
    </row>
    <row r="94" spans="1:28" ht="17.25" hidden="1" customHeight="1">
      <c r="A94" s="2890"/>
      <c r="B94" s="2890"/>
      <c r="C94" s="2890"/>
      <c r="E94" s="278"/>
      <c r="F94" s="330"/>
      <c r="G94" s="330"/>
      <c r="H94" s="330"/>
      <c r="I94" s="330"/>
      <c r="K94" s="647">
        <f>K93-K80-K84-K86-K87</f>
        <v>-3.4106051316484809E-13</v>
      </c>
      <c r="L94" s="330"/>
      <c r="M94" s="1691"/>
      <c r="N94" s="2107"/>
      <c r="O94" s="330"/>
      <c r="P94" s="1691"/>
      <c r="Q94" s="330"/>
      <c r="R94" s="1691"/>
      <c r="S94" s="653"/>
      <c r="T94" s="330"/>
      <c r="U94" s="330"/>
    </row>
    <row r="95" spans="1:28" ht="17.25" hidden="1" customHeight="1">
      <c r="E95" s="278"/>
      <c r="F95" s="278"/>
      <c r="H95" s="329"/>
      <c r="I95" s="329"/>
      <c r="J95" s="538"/>
    </row>
    <row r="96" spans="1:28" ht="17.25" hidden="1" customHeight="1">
      <c r="E96" s="278"/>
      <c r="F96" s="278"/>
      <c r="K96" s="820">
        <v>1813.0250000000001</v>
      </c>
      <c r="L96" s="821">
        <v>1635.133</v>
      </c>
      <c r="M96" s="1692">
        <v>1635.133</v>
      </c>
      <c r="N96" s="820"/>
      <c r="O96" s="820">
        <v>1632.204</v>
      </c>
      <c r="P96" s="1692">
        <v>1632.204</v>
      </c>
      <c r="Q96" s="820">
        <v>1632.204</v>
      </c>
      <c r="R96" s="1692">
        <v>1632.204</v>
      </c>
    </row>
    <row r="97" spans="5:18" ht="17.25" hidden="1" customHeight="1">
      <c r="E97" s="278"/>
      <c r="F97" s="278"/>
      <c r="K97" s="822">
        <f>K89-K96</f>
        <v>23.436000000000149</v>
      </c>
      <c r="L97" s="822">
        <f t="shared" ref="L97:R97" si="90">L96-L89</f>
        <v>-787.93100000000027</v>
      </c>
      <c r="M97" s="1693">
        <f t="shared" si="90"/>
        <v>-1222.1110000000001</v>
      </c>
      <c r="N97" s="822"/>
      <c r="O97" s="822">
        <f t="shared" si="90"/>
        <v>-354.31100000000015</v>
      </c>
      <c r="P97" s="1693">
        <f t="shared" si="90"/>
        <v>-864.07600000000025</v>
      </c>
      <c r="Q97" s="822">
        <f t="shared" si="90"/>
        <v>-442.3592500000002</v>
      </c>
      <c r="R97" s="1693">
        <f t="shared" si="90"/>
        <v>-1077.5510000000002</v>
      </c>
    </row>
    <row r="98" spans="5:18" ht="15" hidden="1">
      <c r="E98" s="278"/>
      <c r="F98" s="278"/>
      <c r="K98" s="820"/>
      <c r="L98" s="820"/>
      <c r="M98" s="1692"/>
      <c r="N98" s="820"/>
      <c r="O98" s="820"/>
      <c r="P98" s="1692"/>
      <c r="Q98" s="820"/>
      <c r="R98" s="1692"/>
    </row>
    <row r="99" spans="5:18" hidden="1">
      <c r="E99" s="278"/>
      <c r="F99" s="278"/>
      <c r="K99" s="329">
        <f>K97-K85-K88</f>
        <v>1.4921397450962104E-13</v>
      </c>
      <c r="O99" s="329"/>
      <c r="P99" s="1694"/>
      <c r="Q99" s="329"/>
      <c r="R99" s="1694"/>
    </row>
    <row r="100" spans="5:18" hidden="1">
      <c r="E100" s="278"/>
      <c r="F100" s="278"/>
    </row>
    <row r="101" spans="5:18" ht="18" hidden="1" customHeight="1">
      <c r="E101" s="278"/>
      <c r="F101" s="278"/>
      <c r="L101" s="669"/>
      <c r="M101" s="710"/>
      <c r="N101" s="1923" t="s">
        <v>4157</v>
      </c>
      <c r="O101" s="1923" t="s">
        <v>4159</v>
      </c>
      <c r="P101" s="1923" t="s">
        <v>4158</v>
      </c>
    </row>
    <row r="102" spans="5:18" ht="23.4" hidden="1" customHeight="1">
      <c r="E102" s="278"/>
      <c r="F102" s="278"/>
      <c r="L102" s="2748" t="s">
        <v>4160</v>
      </c>
      <c r="M102" s="1923" t="s">
        <v>4156</v>
      </c>
      <c r="N102" s="1935"/>
      <c r="O102" s="1935"/>
      <c r="P102" s="1935"/>
      <c r="Q102" s="1939"/>
    </row>
    <row r="103" spans="5:18" ht="21" hidden="1" customHeight="1">
      <c r="E103" s="278"/>
      <c r="F103" s="278"/>
      <c r="L103" s="2749"/>
      <c r="M103" s="1923" t="s">
        <v>3508</v>
      </c>
      <c r="N103" s="1924">
        <f>SUM(K14,K30,K43,K45,K51,K73,K76)</f>
        <v>1542.9000000000003</v>
      </c>
      <c r="O103" s="1924">
        <f>SUM(L14,L30,L43,L45,L51,L73,L76,L59,)</f>
        <v>1812.7700000000002</v>
      </c>
      <c r="P103" s="1924">
        <f>SUM(M14,M30,M43,M45,M51,M73,M76,M59,)</f>
        <v>2324.87</v>
      </c>
      <c r="Q103" s="1927">
        <f>SUM(O103-N103)/N103</f>
        <v>0.17491088210512659</v>
      </c>
    </row>
    <row r="104" spans="5:18" ht="26.4" hidden="1" customHeight="1">
      <c r="E104" s="278"/>
      <c r="F104" s="278"/>
      <c r="L104" s="2749"/>
      <c r="M104" s="1923" t="s">
        <v>4155</v>
      </c>
      <c r="N104" s="1935">
        <f>SUM(K53)</f>
        <v>239.97500000000002</v>
      </c>
      <c r="O104" s="1935">
        <f>L61</f>
        <v>0</v>
      </c>
      <c r="P104" s="1935">
        <f>M61</f>
        <v>419.54500000000002</v>
      </c>
      <c r="Q104" s="1927">
        <f>SUM(O104-N104)/N104</f>
        <v>-1</v>
      </c>
    </row>
    <row r="105" spans="5:18" hidden="1">
      <c r="E105" s="278"/>
      <c r="F105" s="278"/>
    </row>
    <row r="106" spans="5:18" hidden="1">
      <c r="E106" s="278"/>
      <c r="F106" s="278"/>
      <c r="N106" s="329">
        <f>SUM(N103,N104)</f>
        <v>1782.8750000000005</v>
      </c>
      <c r="O106" s="329">
        <f>SUM(O103,O104)</f>
        <v>1812.7700000000002</v>
      </c>
      <c r="P106" s="329">
        <f>SUM(P103,P104)</f>
        <v>2744.415</v>
      </c>
    </row>
    <row r="107" spans="5:18" hidden="1">
      <c r="E107" s="278"/>
      <c r="F107" s="278"/>
    </row>
    <row r="108" spans="5:18" hidden="1">
      <c r="E108" s="278"/>
      <c r="F108" s="278"/>
    </row>
    <row r="109" spans="5:18" hidden="1">
      <c r="E109" s="278"/>
      <c r="F109" s="278"/>
      <c r="N109" s="329">
        <f>N106-K80-K87</f>
        <v>0</v>
      </c>
      <c r="O109" s="329">
        <f>L80-O106</f>
        <v>0</v>
      </c>
      <c r="P109" s="1694">
        <f>M80-P106</f>
        <v>0</v>
      </c>
    </row>
    <row r="110" spans="5:18" hidden="1">
      <c r="E110" s="278"/>
      <c r="F110" s="278"/>
    </row>
    <row r="111" spans="5:18" hidden="1">
      <c r="E111" s="278"/>
      <c r="F111" s="278"/>
    </row>
    <row r="112" spans="5:18" ht="66" hidden="1">
      <c r="E112" s="278"/>
      <c r="F112" s="278"/>
      <c r="L112" s="1921" t="s">
        <v>4171</v>
      </c>
      <c r="M112" s="1934">
        <f>SUM(O103-N103)</f>
        <v>269.86999999999989</v>
      </c>
      <c r="O112" s="329">
        <f>SUM(O14,O30,O43,O45,O51,O59,O73,O76)</f>
        <v>1905.9650000000001</v>
      </c>
      <c r="P112" s="1694">
        <f>SUM(Q14,Q30,Q43,Q45,Q51,Q59,Q73,Q76)</f>
        <v>1994.0132500000002</v>
      </c>
    </row>
    <row r="113" spans="5:13" ht="66" hidden="1">
      <c r="E113" s="278"/>
      <c r="F113" s="278"/>
      <c r="L113" s="1921" t="s">
        <v>4172</v>
      </c>
      <c r="M113" s="1919">
        <f>O104-N104</f>
        <v>-239.97500000000002</v>
      </c>
    </row>
    <row r="114" spans="5:13" hidden="1">
      <c r="E114" s="278"/>
      <c r="F114" s="278"/>
    </row>
    <row r="115" spans="5:13" hidden="1">
      <c r="E115" s="278"/>
      <c r="F115" s="278"/>
    </row>
    <row r="116" spans="5:13" hidden="1">
      <c r="E116" s="278"/>
      <c r="F116" s="278"/>
      <c r="M116" s="1694">
        <f>SUM(M112,M113)</f>
        <v>29.894999999999868</v>
      </c>
    </row>
    <row r="117" spans="5:13" hidden="1">
      <c r="E117" s="278"/>
      <c r="F117" s="278"/>
    </row>
    <row r="118" spans="5:13" hidden="1">
      <c r="E118" s="278"/>
      <c r="F118" s="278"/>
    </row>
    <row r="119" spans="5:13" hidden="1">
      <c r="E119" s="278"/>
      <c r="F119" s="278"/>
    </row>
    <row r="120" spans="5:13" hidden="1">
      <c r="E120" s="278"/>
      <c r="F120" s="278"/>
    </row>
    <row r="121" spans="5:13" hidden="1">
      <c r="E121" s="278"/>
      <c r="F121" s="278"/>
    </row>
    <row r="122" spans="5:13" hidden="1">
      <c r="E122" s="278"/>
      <c r="F122" s="278"/>
    </row>
    <row r="123" spans="5:13" hidden="1">
      <c r="E123" s="278"/>
      <c r="F123" s="278"/>
    </row>
    <row r="124" spans="5:13" hidden="1">
      <c r="E124" s="278"/>
      <c r="F124" s="278"/>
    </row>
    <row r="125" spans="5:13" hidden="1">
      <c r="E125" s="278"/>
      <c r="F125" s="278"/>
    </row>
    <row r="126" spans="5:13" hidden="1">
      <c r="E126" s="278"/>
      <c r="F126" s="278"/>
    </row>
    <row r="127" spans="5:13" hidden="1">
      <c r="E127" s="278"/>
      <c r="F127" s="278"/>
    </row>
    <row r="128" spans="5:13" hidden="1">
      <c r="E128" s="278"/>
      <c r="F128" s="278"/>
    </row>
    <row r="129" spans="5:6" hidden="1">
      <c r="E129" s="278"/>
      <c r="F129" s="278"/>
    </row>
    <row r="130" spans="5:6" hidden="1">
      <c r="E130" s="278"/>
      <c r="F130" s="278"/>
    </row>
    <row r="131" spans="5:6" hidden="1">
      <c r="E131" s="278"/>
      <c r="F131" s="278"/>
    </row>
    <row r="132" spans="5:6" hidden="1">
      <c r="E132" s="278"/>
      <c r="F132" s="278"/>
    </row>
    <row r="133" spans="5:6" hidden="1">
      <c r="E133" s="278"/>
      <c r="F133" s="278"/>
    </row>
    <row r="134" spans="5:6" hidden="1">
      <c r="E134" s="278"/>
      <c r="F134" s="278"/>
    </row>
    <row r="135" spans="5:6" hidden="1">
      <c r="E135" s="278"/>
      <c r="F135" s="278"/>
    </row>
    <row r="136" spans="5:6" hidden="1">
      <c r="E136" s="278"/>
      <c r="F136" s="278"/>
    </row>
    <row r="137" spans="5:6" hidden="1">
      <c r="E137" s="278"/>
      <c r="F137" s="278"/>
    </row>
    <row r="138" spans="5:6" hidden="1">
      <c r="E138" s="278"/>
      <c r="F138" s="278"/>
    </row>
    <row r="139" spans="5:6" hidden="1">
      <c r="E139" s="278"/>
      <c r="F139" s="278"/>
    </row>
    <row r="140" spans="5:6" hidden="1">
      <c r="E140" s="278"/>
      <c r="F140" s="278"/>
    </row>
    <row r="141" spans="5:6" hidden="1">
      <c r="E141" s="278"/>
      <c r="F141" s="278"/>
    </row>
    <row r="142" spans="5:6" hidden="1">
      <c r="E142" s="278"/>
      <c r="F142" s="278"/>
    </row>
    <row r="143" spans="5:6" hidden="1">
      <c r="E143" s="278"/>
      <c r="F143" s="278"/>
    </row>
    <row r="144" spans="5:6" hidden="1">
      <c r="E144" s="278"/>
      <c r="F144" s="278"/>
    </row>
    <row r="145" spans="5:6" hidden="1">
      <c r="E145" s="278"/>
      <c r="F145" s="278"/>
    </row>
    <row r="146" spans="5:6" hidden="1">
      <c r="E146" s="278"/>
      <c r="F146" s="278"/>
    </row>
    <row r="147" spans="5:6" hidden="1">
      <c r="E147" s="278"/>
      <c r="F147" s="278"/>
    </row>
    <row r="148" spans="5:6" hidden="1">
      <c r="E148" s="278"/>
      <c r="F148" s="278"/>
    </row>
    <row r="149" spans="5:6" hidden="1">
      <c r="E149" s="278"/>
      <c r="F149" s="278"/>
    </row>
    <row r="150" spans="5:6" hidden="1">
      <c r="E150" s="278"/>
      <c r="F150" s="278"/>
    </row>
    <row r="151" spans="5:6" hidden="1">
      <c r="E151" s="278"/>
      <c r="F151" s="278"/>
    </row>
    <row r="152" spans="5:6" hidden="1">
      <c r="E152" s="278"/>
      <c r="F152" s="278"/>
    </row>
    <row r="153" spans="5:6" hidden="1">
      <c r="E153" s="278"/>
      <c r="F153" s="278"/>
    </row>
    <row r="154" spans="5:6" hidden="1">
      <c r="E154" s="278"/>
      <c r="F154" s="278"/>
    </row>
    <row r="155" spans="5:6" hidden="1">
      <c r="E155" s="278"/>
      <c r="F155" s="278"/>
    </row>
    <row r="156" spans="5:6" hidden="1">
      <c r="E156" s="278"/>
      <c r="F156" s="278"/>
    </row>
    <row r="157" spans="5:6" hidden="1">
      <c r="E157" s="278"/>
      <c r="F157" s="278"/>
    </row>
    <row r="158" spans="5:6" hidden="1">
      <c r="E158" s="278"/>
      <c r="F158" s="278"/>
    </row>
    <row r="159" spans="5:6" hidden="1">
      <c r="E159" s="278"/>
      <c r="F159" s="278"/>
    </row>
    <row r="160" spans="5:6" hidden="1">
      <c r="E160" s="278"/>
      <c r="F160" s="278"/>
    </row>
    <row r="161" spans="5:6" hidden="1">
      <c r="E161" s="278"/>
      <c r="F161" s="278"/>
    </row>
    <row r="162" spans="5:6" hidden="1">
      <c r="E162" s="278"/>
      <c r="F162" s="278"/>
    </row>
    <row r="163" spans="5:6" hidden="1">
      <c r="E163" s="278"/>
      <c r="F163" s="278"/>
    </row>
    <row r="164" spans="5:6" hidden="1">
      <c r="E164" s="278"/>
      <c r="F164" s="278"/>
    </row>
    <row r="165" spans="5:6" hidden="1">
      <c r="E165" s="278"/>
      <c r="F165" s="278"/>
    </row>
    <row r="166" spans="5:6" hidden="1">
      <c r="E166" s="278"/>
      <c r="F166" s="278"/>
    </row>
    <row r="167" spans="5:6" hidden="1">
      <c r="E167" s="278"/>
      <c r="F167" s="278"/>
    </row>
    <row r="168" spans="5:6" hidden="1">
      <c r="E168" s="278"/>
      <c r="F168" s="278"/>
    </row>
    <row r="169" spans="5:6" hidden="1">
      <c r="E169" s="278"/>
      <c r="F169" s="278"/>
    </row>
    <row r="170" spans="5:6" hidden="1">
      <c r="E170" s="278"/>
      <c r="F170" s="278"/>
    </row>
    <row r="171" spans="5:6" hidden="1">
      <c r="E171" s="278"/>
      <c r="F171" s="278"/>
    </row>
    <row r="172" spans="5:6" hidden="1">
      <c r="E172" s="278"/>
      <c r="F172" s="278"/>
    </row>
    <row r="173" spans="5:6" hidden="1">
      <c r="E173" s="278"/>
      <c r="F173" s="278"/>
    </row>
    <row r="174" spans="5:6" hidden="1">
      <c r="E174" s="278"/>
      <c r="F174" s="278"/>
    </row>
    <row r="175" spans="5:6" hidden="1">
      <c r="E175" s="278"/>
      <c r="F175" s="278"/>
    </row>
    <row r="176" spans="5:6" hidden="1">
      <c r="E176" s="278"/>
      <c r="F176" s="278"/>
    </row>
    <row r="177" spans="5:6" hidden="1">
      <c r="E177" s="278"/>
      <c r="F177" s="278"/>
    </row>
    <row r="178" spans="5:6" hidden="1">
      <c r="E178" s="278"/>
      <c r="F178" s="278"/>
    </row>
    <row r="179" spans="5:6" hidden="1">
      <c r="E179" s="278"/>
      <c r="F179" s="278"/>
    </row>
    <row r="180" spans="5:6" hidden="1">
      <c r="E180" s="278"/>
      <c r="F180" s="278"/>
    </row>
    <row r="181" spans="5:6" hidden="1">
      <c r="E181" s="278"/>
      <c r="F181" s="278"/>
    </row>
    <row r="182" spans="5:6" hidden="1">
      <c r="E182" s="278"/>
      <c r="F182" s="278"/>
    </row>
    <row r="183" spans="5:6" hidden="1">
      <c r="E183" s="278"/>
      <c r="F183" s="278"/>
    </row>
    <row r="184" spans="5:6" hidden="1">
      <c r="E184" s="278"/>
      <c r="F184" s="278"/>
    </row>
    <row r="185" spans="5:6" hidden="1">
      <c r="E185" s="278"/>
      <c r="F185" s="278"/>
    </row>
    <row r="186" spans="5:6" hidden="1">
      <c r="E186" s="278"/>
      <c r="F186" s="278"/>
    </row>
    <row r="187" spans="5:6" hidden="1">
      <c r="E187" s="278"/>
      <c r="F187" s="278"/>
    </row>
    <row r="188" spans="5:6" hidden="1">
      <c r="E188" s="278"/>
      <c r="F188" s="278"/>
    </row>
    <row r="189" spans="5:6" hidden="1">
      <c r="E189" s="278"/>
      <c r="F189" s="278"/>
    </row>
    <row r="190" spans="5:6" hidden="1">
      <c r="E190" s="278"/>
      <c r="F190" s="278"/>
    </row>
    <row r="191" spans="5:6" hidden="1">
      <c r="E191" s="278"/>
      <c r="F191" s="278"/>
    </row>
    <row r="192" spans="5:6" hidden="1">
      <c r="E192" s="278"/>
      <c r="F192" s="278"/>
    </row>
    <row r="193" spans="5:6" hidden="1">
      <c r="E193" s="278"/>
      <c r="F193" s="278"/>
    </row>
    <row r="194" spans="5:6" hidden="1">
      <c r="E194" s="278"/>
      <c r="F194" s="278"/>
    </row>
    <row r="195" spans="5:6" hidden="1">
      <c r="E195" s="278"/>
      <c r="F195" s="278"/>
    </row>
    <row r="196" spans="5:6" hidden="1">
      <c r="E196" s="278"/>
      <c r="F196" s="278"/>
    </row>
    <row r="197" spans="5:6" hidden="1">
      <c r="E197" s="278"/>
      <c r="F197" s="278"/>
    </row>
    <row r="198" spans="5:6" hidden="1">
      <c r="E198" s="278"/>
      <c r="F198" s="278"/>
    </row>
    <row r="199" spans="5:6" hidden="1">
      <c r="E199" s="278"/>
      <c r="F199" s="278"/>
    </row>
    <row r="200" spans="5:6" hidden="1">
      <c r="E200" s="278"/>
      <c r="F200" s="278"/>
    </row>
    <row r="201" spans="5:6" hidden="1">
      <c r="E201" s="278"/>
      <c r="F201" s="278"/>
    </row>
    <row r="202" spans="5:6" hidden="1">
      <c r="E202" s="278"/>
      <c r="F202" s="278"/>
    </row>
    <row r="203" spans="5:6" hidden="1">
      <c r="E203" s="278"/>
      <c r="F203" s="278"/>
    </row>
    <row r="204" spans="5:6" hidden="1">
      <c r="E204" s="278"/>
      <c r="F204" s="278"/>
    </row>
    <row r="205" spans="5:6" hidden="1">
      <c r="E205" s="278"/>
      <c r="F205" s="278"/>
    </row>
    <row r="206" spans="5:6" hidden="1">
      <c r="E206" s="278"/>
      <c r="F206" s="278"/>
    </row>
    <row r="207" spans="5:6" hidden="1">
      <c r="E207" s="278"/>
      <c r="F207" s="278"/>
    </row>
    <row r="208" spans="5:6" hidden="1">
      <c r="E208" s="278"/>
      <c r="F208" s="278"/>
    </row>
    <row r="209" spans="5:6" hidden="1">
      <c r="E209" s="278"/>
      <c r="F209" s="278"/>
    </row>
    <row r="210" spans="5:6" hidden="1">
      <c r="E210" s="278"/>
      <c r="F210" s="278"/>
    </row>
    <row r="211" spans="5:6" hidden="1">
      <c r="E211" s="278"/>
      <c r="F211" s="278"/>
    </row>
    <row r="212" spans="5:6" hidden="1">
      <c r="E212" s="278"/>
      <c r="F212" s="278"/>
    </row>
    <row r="213" spans="5:6" hidden="1">
      <c r="E213" s="278"/>
      <c r="F213" s="278"/>
    </row>
    <row r="214" spans="5:6" hidden="1">
      <c r="E214" s="278"/>
      <c r="F214" s="278"/>
    </row>
    <row r="215" spans="5:6" hidden="1">
      <c r="E215" s="278"/>
      <c r="F215" s="278"/>
    </row>
    <row r="216" spans="5:6" hidden="1">
      <c r="E216" s="278"/>
      <c r="F216" s="278"/>
    </row>
    <row r="217" spans="5:6" hidden="1">
      <c r="E217" s="278"/>
      <c r="F217" s="278"/>
    </row>
    <row r="218" spans="5:6" hidden="1">
      <c r="E218" s="278"/>
      <c r="F218" s="278"/>
    </row>
    <row r="219" spans="5:6" hidden="1">
      <c r="E219" s="278"/>
      <c r="F219" s="278"/>
    </row>
    <row r="220" spans="5:6" hidden="1">
      <c r="E220" s="278"/>
      <c r="F220" s="278"/>
    </row>
    <row r="221" spans="5:6" hidden="1">
      <c r="E221" s="278"/>
      <c r="F221" s="278"/>
    </row>
    <row r="222" spans="5:6" hidden="1">
      <c r="E222" s="278"/>
      <c r="F222" s="278"/>
    </row>
    <row r="223" spans="5:6" hidden="1">
      <c r="E223" s="278"/>
      <c r="F223" s="278"/>
    </row>
    <row r="224" spans="5:6" hidden="1">
      <c r="E224" s="278"/>
      <c r="F224" s="278"/>
    </row>
    <row r="225" spans="5:6" hidden="1">
      <c r="E225" s="278"/>
      <c r="F225" s="278"/>
    </row>
    <row r="226" spans="5:6" hidden="1">
      <c r="E226" s="278"/>
      <c r="F226" s="278"/>
    </row>
    <row r="227" spans="5:6" hidden="1">
      <c r="E227" s="278"/>
      <c r="F227" s="278"/>
    </row>
    <row r="228" spans="5:6" hidden="1">
      <c r="E228" s="278"/>
      <c r="F228" s="278"/>
    </row>
    <row r="229" spans="5:6" hidden="1">
      <c r="E229" s="278"/>
      <c r="F229" s="278"/>
    </row>
    <row r="230" spans="5:6" hidden="1">
      <c r="E230" s="278"/>
      <c r="F230" s="278"/>
    </row>
    <row r="231" spans="5:6" hidden="1">
      <c r="E231" s="278"/>
      <c r="F231" s="278"/>
    </row>
    <row r="232" spans="5:6" hidden="1">
      <c r="E232" s="278"/>
      <c r="F232" s="278"/>
    </row>
    <row r="233" spans="5:6" hidden="1">
      <c r="E233" s="278"/>
      <c r="F233" s="278"/>
    </row>
    <row r="234" spans="5:6" hidden="1">
      <c r="E234" s="278"/>
      <c r="F234" s="278"/>
    </row>
    <row r="235" spans="5:6" hidden="1">
      <c r="E235" s="278"/>
      <c r="F235" s="278"/>
    </row>
    <row r="236" spans="5:6" hidden="1">
      <c r="E236" s="278"/>
      <c r="F236" s="278"/>
    </row>
    <row r="237" spans="5:6" hidden="1">
      <c r="E237" s="278"/>
      <c r="F237" s="278"/>
    </row>
    <row r="238" spans="5:6" hidden="1">
      <c r="E238" s="278"/>
      <c r="F238" s="278"/>
    </row>
    <row r="239" spans="5:6" hidden="1">
      <c r="E239" s="278"/>
      <c r="F239" s="278"/>
    </row>
    <row r="240" spans="5:6" hidden="1">
      <c r="E240" s="278"/>
      <c r="F240" s="278"/>
    </row>
    <row r="241" spans="5:6" hidden="1">
      <c r="E241" s="278"/>
      <c r="F241" s="278"/>
    </row>
    <row r="242" spans="5:6" hidden="1">
      <c r="E242" s="278"/>
      <c r="F242" s="278"/>
    </row>
    <row r="243" spans="5:6" hidden="1">
      <c r="E243" s="278"/>
      <c r="F243" s="278"/>
    </row>
    <row r="244" spans="5:6" hidden="1">
      <c r="E244" s="278"/>
      <c r="F244" s="278"/>
    </row>
    <row r="245" spans="5:6" hidden="1">
      <c r="E245" s="278"/>
      <c r="F245" s="278"/>
    </row>
    <row r="246" spans="5:6" hidden="1">
      <c r="E246" s="278"/>
      <c r="F246" s="278"/>
    </row>
    <row r="247" spans="5:6" hidden="1">
      <c r="E247" s="278"/>
      <c r="F247" s="278"/>
    </row>
    <row r="248" spans="5:6" hidden="1">
      <c r="E248" s="278"/>
      <c r="F248" s="278"/>
    </row>
    <row r="249" spans="5:6" hidden="1">
      <c r="E249" s="278"/>
      <c r="F249" s="278"/>
    </row>
    <row r="250" spans="5:6" hidden="1">
      <c r="E250" s="278"/>
      <c r="F250" s="278"/>
    </row>
    <row r="251" spans="5:6" hidden="1">
      <c r="E251" s="278"/>
      <c r="F251" s="278"/>
    </row>
    <row r="252" spans="5:6" hidden="1">
      <c r="E252" s="278"/>
      <c r="F252" s="278"/>
    </row>
    <row r="253" spans="5:6" hidden="1">
      <c r="E253" s="278"/>
      <c r="F253" s="278"/>
    </row>
    <row r="254" spans="5:6" hidden="1">
      <c r="E254" s="278"/>
      <c r="F254" s="278"/>
    </row>
    <row r="255" spans="5:6" hidden="1">
      <c r="E255" s="278"/>
      <c r="F255" s="278"/>
    </row>
    <row r="256" spans="5:6" hidden="1">
      <c r="E256" s="278"/>
      <c r="F256" s="278"/>
    </row>
    <row r="257" spans="5:6" hidden="1">
      <c r="E257" s="278"/>
      <c r="F257" s="278"/>
    </row>
    <row r="258" spans="5:6" hidden="1">
      <c r="E258" s="278"/>
      <c r="F258" s="278"/>
    </row>
    <row r="259" spans="5:6" hidden="1">
      <c r="E259" s="278"/>
      <c r="F259" s="278"/>
    </row>
    <row r="260" spans="5:6" hidden="1">
      <c r="E260" s="278"/>
      <c r="F260" s="278"/>
    </row>
    <row r="261" spans="5:6" hidden="1">
      <c r="E261" s="278"/>
      <c r="F261" s="278"/>
    </row>
    <row r="262" spans="5:6" hidden="1">
      <c r="E262" s="278"/>
      <c r="F262" s="278"/>
    </row>
    <row r="263" spans="5:6" hidden="1">
      <c r="E263" s="278"/>
      <c r="F263" s="278"/>
    </row>
    <row r="264" spans="5:6" hidden="1">
      <c r="E264" s="278"/>
      <c r="F264" s="278"/>
    </row>
    <row r="265" spans="5:6" hidden="1">
      <c r="E265" s="278"/>
      <c r="F265" s="278"/>
    </row>
    <row r="266" spans="5:6" hidden="1">
      <c r="E266" s="278"/>
      <c r="F266" s="278"/>
    </row>
    <row r="267" spans="5:6" hidden="1">
      <c r="E267" s="278"/>
      <c r="F267" s="278"/>
    </row>
    <row r="268" spans="5:6" hidden="1">
      <c r="E268" s="278"/>
      <c r="F268" s="278"/>
    </row>
    <row r="269" spans="5:6" hidden="1">
      <c r="E269" s="278"/>
      <c r="F269" s="278"/>
    </row>
    <row r="270" spans="5:6" hidden="1">
      <c r="E270" s="278"/>
      <c r="F270" s="278"/>
    </row>
    <row r="271" spans="5:6" hidden="1">
      <c r="E271" s="278"/>
      <c r="F271" s="278"/>
    </row>
    <row r="272" spans="5:6" hidden="1">
      <c r="E272" s="278"/>
      <c r="F272" s="278"/>
    </row>
    <row r="273" spans="5:6" hidden="1">
      <c r="E273" s="278"/>
      <c r="F273" s="278"/>
    </row>
    <row r="274" spans="5:6" hidden="1">
      <c r="E274" s="278"/>
      <c r="F274" s="278"/>
    </row>
    <row r="275" spans="5:6" hidden="1">
      <c r="E275" s="278"/>
      <c r="F275" s="278"/>
    </row>
    <row r="276" spans="5:6" hidden="1">
      <c r="E276" s="278"/>
      <c r="F276" s="278"/>
    </row>
    <row r="277" spans="5:6" hidden="1">
      <c r="E277" s="278"/>
      <c r="F277" s="278"/>
    </row>
    <row r="278" spans="5:6" hidden="1">
      <c r="E278" s="278"/>
      <c r="F278" s="278"/>
    </row>
    <row r="279" spans="5:6" hidden="1">
      <c r="E279" s="278"/>
      <c r="F279" s="278"/>
    </row>
    <row r="280" spans="5:6" hidden="1">
      <c r="E280" s="278"/>
      <c r="F280" s="278"/>
    </row>
    <row r="281" spans="5:6" hidden="1">
      <c r="E281" s="278"/>
      <c r="F281" s="278"/>
    </row>
    <row r="282" spans="5:6" hidden="1">
      <c r="E282" s="278"/>
      <c r="F282" s="278"/>
    </row>
    <row r="283" spans="5:6" hidden="1">
      <c r="E283" s="278"/>
      <c r="F283" s="278"/>
    </row>
    <row r="284" spans="5:6" hidden="1">
      <c r="E284" s="278"/>
      <c r="F284" s="278"/>
    </row>
    <row r="285" spans="5:6" hidden="1">
      <c r="E285" s="278"/>
      <c r="F285" s="278"/>
    </row>
    <row r="286" spans="5:6" hidden="1">
      <c r="E286" s="278"/>
      <c r="F286" s="278"/>
    </row>
    <row r="287" spans="5:6" hidden="1">
      <c r="E287" s="278"/>
      <c r="F287" s="278"/>
    </row>
    <row r="288" spans="5:6" hidden="1">
      <c r="E288" s="278"/>
      <c r="F288" s="278"/>
    </row>
    <row r="289" spans="5:6" hidden="1">
      <c r="E289" s="278"/>
      <c r="F289" s="278"/>
    </row>
    <row r="290" spans="5:6" hidden="1">
      <c r="E290" s="278"/>
      <c r="F290" s="278"/>
    </row>
    <row r="291" spans="5:6" hidden="1">
      <c r="E291" s="278"/>
      <c r="F291" s="278"/>
    </row>
    <row r="292" spans="5:6" hidden="1">
      <c r="E292" s="278"/>
      <c r="F292" s="278"/>
    </row>
    <row r="293" spans="5:6" hidden="1">
      <c r="E293" s="278"/>
      <c r="F293" s="278"/>
    </row>
    <row r="294" spans="5:6" hidden="1">
      <c r="E294" s="278"/>
      <c r="F294" s="278"/>
    </row>
    <row r="295" spans="5:6" hidden="1">
      <c r="E295" s="278"/>
      <c r="F295" s="278"/>
    </row>
    <row r="296" spans="5:6" hidden="1">
      <c r="E296" s="278"/>
      <c r="F296" s="278"/>
    </row>
    <row r="297" spans="5:6" hidden="1">
      <c r="E297" s="278"/>
      <c r="F297" s="278"/>
    </row>
    <row r="298" spans="5:6" hidden="1">
      <c r="E298" s="278"/>
      <c r="F298" s="278"/>
    </row>
    <row r="299" spans="5:6" hidden="1">
      <c r="E299" s="278"/>
      <c r="F299" s="278"/>
    </row>
    <row r="300" spans="5:6" hidden="1">
      <c r="E300" s="278"/>
      <c r="F300" s="278"/>
    </row>
    <row r="301" spans="5:6" hidden="1">
      <c r="E301" s="278"/>
      <c r="F301" s="278"/>
    </row>
    <row r="302" spans="5:6" hidden="1">
      <c r="E302" s="278"/>
      <c r="F302" s="278"/>
    </row>
    <row r="303" spans="5:6" hidden="1">
      <c r="E303" s="278"/>
      <c r="F303" s="278"/>
    </row>
    <row r="304" spans="5:6" hidden="1">
      <c r="E304" s="278"/>
      <c r="F304" s="278"/>
    </row>
    <row r="305" spans="5:17" hidden="1">
      <c r="E305" s="278"/>
      <c r="F305" s="278"/>
    </row>
    <row r="306" spans="5:17" hidden="1">
      <c r="E306" s="278"/>
      <c r="F306" s="278"/>
    </row>
    <row r="307" spans="5:17" hidden="1">
      <c r="E307" s="278"/>
      <c r="F307" s="278"/>
    </row>
    <row r="308" spans="5:17" hidden="1">
      <c r="E308" s="278"/>
      <c r="F308" s="278"/>
    </row>
    <row r="309" spans="5:17" hidden="1">
      <c r="E309" s="278"/>
      <c r="F309" s="278"/>
    </row>
    <row r="310" spans="5:17" hidden="1">
      <c r="E310" s="278"/>
      <c r="F310" s="278"/>
    </row>
    <row r="311" spans="5:17" hidden="1">
      <c r="E311" s="278"/>
      <c r="F311" s="278"/>
    </row>
    <row r="312" spans="5:17" hidden="1">
      <c r="E312" s="278"/>
      <c r="F312" s="278"/>
    </row>
    <row r="313" spans="5:17" hidden="1">
      <c r="E313" s="278"/>
      <c r="F313" s="278"/>
    </row>
    <row r="314" spans="5:17" ht="21" hidden="1" customHeight="1">
      <c r="E314" s="278"/>
      <c r="F314" s="278"/>
      <c r="L314" s="329">
        <f>SUM(L13,L29,L75,)</f>
        <v>2423.0640000000003</v>
      </c>
      <c r="M314" s="329">
        <f t="shared" ref="M314:Q314" si="91">SUM(M13,M29,M75,)</f>
        <v>2857.2440000000001</v>
      </c>
      <c r="N314" s="329" t="e">
        <f t="shared" si="91"/>
        <v>#DIV/0!</v>
      </c>
      <c r="O314" s="329">
        <f t="shared" si="91"/>
        <v>1986.5150000000001</v>
      </c>
      <c r="P314" s="329">
        <f t="shared" si="91"/>
        <v>2496.2800000000002</v>
      </c>
      <c r="Q314" s="329">
        <f t="shared" si="91"/>
        <v>2074.5632500000002</v>
      </c>
    </row>
    <row r="315" spans="5:17" hidden="1">
      <c r="E315" s="278"/>
      <c r="F315" s="278"/>
      <c r="L315" s="329">
        <f>L89-L314</f>
        <v>0</v>
      </c>
      <c r="M315" s="329">
        <f t="shared" ref="M315:Q315" si="92">M89-M314</f>
        <v>0</v>
      </c>
      <c r="N315" s="329" t="e">
        <f t="shared" si="92"/>
        <v>#DIV/0!</v>
      </c>
      <c r="O315" s="329">
        <f t="shared" si="92"/>
        <v>0</v>
      </c>
      <c r="P315" s="329">
        <f t="shared" si="92"/>
        <v>0</v>
      </c>
      <c r="Q315" s="329">
        <f t="shared" si="92"/>
        <v>0</v>
      </c>
    </row>
    <row r="316" spans="5:17" hidden="1">
      <c r="E316" s="278"/>
      <c r="F316" s="278"/>
    </row>
    <row r="317" spans="5:17">
      <c r="E317" s="278"/>
      <c r="F317" s="278"/>
    </row>
    <row r="318" spans="5:17">
      <c r="E318" s="278"/>
      <c r="F318" s="278"/>
    </row>
    <row r="319" spans="5:17">
      <c r="E319" s="278"/>
      <c r="F319" s="278"/>
    </row>
    <row r="320" spans="5:17">
      <c r="E320" s="278"/>
      <c r="F320" s="278"/>
    </row>
    <row r="321" spans="5:6">
      <c r="E321" s="278"/>
      <c r="F321" s="278"/>
    </row>
    <row r="322" spans="5:6">
      <c r="E322" s="278"/>
      <c r="F322" s="278"/>
    </row>
    <row r="323" spans="5:6">
      <c r="E323" s="278"/>
      <c r="F323" s="278"/>
    </row>
    <row r="324" spans="5:6">
      <c r="E324" s="278"/>
      <c r="F324" s="278"/>
    </row>
    <row r="325" spans="5:6">
      <c r="E325" s="278"/>
      <c r="F325" s="278"/>
    </row>
    <row r="326" spans="5:6">
      <c r="E326" s="278"/>
      <c r="F326" s="278"/>
    </row>
    <row r="327" spans="5:6">
      <c r="E327" s="278"/>
      <c r="F327" s="278"/>
    </row>
    <row r="328" spans="5:6">
      <c r="E328" s="278"/>
      <c r="F328" s="278"/>
    </row>
    <row r="329" spans="5:6">
      <c r="E329" s="278"/>
      <c r="F329" s="278"/>
    </row>
    <row r="330" spans="5:6">
      <c r="E330" s="278"/>
      <c r="F330" s="278"/>
    </row>
    <row r="331" spans="5:6">
      <c r="E331" s="278"/>
      <c r="F331" s="278"/>
    </row>
    <row r="332" spans="5:6">
      <c r="E332" s="278"/>
      <c r="F332" s="278"/>
    </row>
    <row r="333" spans="5:6">
      <c r="E333" s="278"/>
      <c r="F333" s="278"/>
    </row>
    <row r="334" spans="5:6">
      <c r="E334" s="278"/>
      <c r="F334" s="278"/>
    </row>
    <row r="335" spans="5:6">
      <c r="E335" s="278"/>
      <c r="F335" s="278"/>
    </row>
    <row r="336" spans="5:6">
      <c r="E336" s="278"/>
      <c r="F336" s="278"/>
    </row>
    <row r="337" spans="5:6">
      <c r="E337" s="278"/>
      <c r="F337" s="278"/>
    </row>
    <row r="338" spans="5:6">
      <c r="E338" s="278"/>
      <c r="F338" s="278"/>
    </row>
    <row r="339" spans="5:6">
      <c r="E339" s="278"/>
      <c r="F339" s="278"/>
    </row>
    <row r="340" spans="5:6">
      <c r="E340" s="278"/>
      <c r="F340" s="278"/>
    </row>
    <row r="341" spans="5:6">
      <c r="E341" s="278"/>
      <c r="F341" s="278"/>
    </row>
    <row r="342" spans="5:6">
      <c r="E342" s="278"/>
      <c r="F342" s="278"/>
    </row>
    <row r="343" spans="5:6">
      <c r="E343" s="278"/>
      <c r="F343" s="278"/>
    </row>
    <row r="344" spans="5:6">
      <c r="E344" s="278"/>
      <c r="F344" s="278"/>
    </row>
    <row r="345" spans="5:6">
      <c r="E345" s="278"/>
      <c r="F345" s="278"/>
    </row>
    <row r="346" spans="5:6">
      <c r="E346" s="278"/>
      <c r="F346" s="278"/>
    </row>
    <row r="347" spans="5:6">
      <c r="E347" s="278"/>
      <c r="F347" s="278"/>
    </row>
    <row r="348" spans="5:6">
      <c r="E348" s="278"/>
      <c r="F348" s="278"/>
    </row>
    <row r="349" spans="5:6">
      <c r="E349" s="278"/>
      <c r="F349" s="278"/>
    </row>
    <row r="350" spans="5:6">
      <c r="E350" s="278"/>
      <c r="F350" s="278"/>
    </row>
    <row r="351" spans="5:6">
      <c r="E351" s="278"/>
      <c r="F351" s="278"/>
    </row>
    <row r="352" spans="5:6">
      <c r="E352" s="278"/>
      <c r="F352" s="278"/>
    </row>
    <row r="353" spans="5:6">
      <c r="E353" s="278"/>
      <c r="F353" s="278"/>
    </row>
    <row r="354" spans="5:6">
      <c r="E354" s="278"/>
      <c r="F354" s="278"/>
    </row>
    <row r="355" spans="5:6">
      <c r="E355" s="278"/>
      <c r="F355" s="278"/>
    </row>
    <row r="356" spans="5:6">
      <c r="E356" s="278"/>
      <c r="F356" s="278"/>
    </row>
    <row r="357" spans="5:6">
      <c r="E357" s="278"/>
      <c r="F357" s="278"/>
    </row>
    <row r="358" spans="5:6">
      <c r="E358" s="278"/>
      <c r="F358" s="278"/>
    </row>
    <row r="359" spans="5:6">
      <c r="E359" s="278"/>
      <c r="F359" s="278"/>
    </row>
    <row r="360" spans="5:6">
      <c r="E360" s="278"/>
      <c r="F360" s="278"/>
    </row>
    <row r="361" spans="5:6">
      <c r="E361" s="278"/>
      <c r="F361" s="278"/>
    </row>
    <row r="362" spans="5:6">
      <c r="E362" s="278"/>
      <c r="F362" s="278"/>
    </row>
    <row r="363" spans="5:6">
      <c r="E363" s="278"/>
      <c r="F363" s="278"/>
    </row>
    <row r="364" spans="5:6">
      <c r="E364" s="278"/>
      <c r="F364" s="278"/>
    </row>
    <row r="365" spans="5:6">
      <c r="E365" s="278"/>
      <c r="F365" s="278"/>
    </row>
    <row r="366" spans="5:6">
      <c r="E366" s="278"/>
      <c r="F366" s="278"/>
    </row>
    <row r="367" spans="5:6">
      <c r="E367" s="278"/>
      <c r="F367" s="278"/>
    </row>
    <row r="368" spans="5:6">
      <c r="E368" s="278"/>
      <c r="F368" s="278"/>
    </row>
    <row r="369" spans="5:6">
      <c r="E369" s="278"/>
      <c r="F369" s="278"/>
    </row>
    <row r="370" spans="5:6">
      <c r="E370" s="278"/>
      <c r="F370" s="278"/>
    </row>
    <row r="371" spans="5:6">
      <c r="E371" s="278"/>
      <c r="F371" s="278"/>
    </row>
    <row r="372" spans="5:6">
      <c r="E372" s="278"/>
      <c r="F372" s="278"/>
    </row>
    <row r="373" spans="5:6">
      <c r="E373" s="278"/>
      <c r="F373" s="278"/>
    </row>
    <row r="374" spans="5:6">
      <c r="E374" s="278"/>
      <c r="F374" s="278"/>
    </row>
    <row r="375" spans="5:6">
      <c r="E375" s="278"/>
      <c r="F375" s="278"/>
    </row>
    <row r="376" spans="5:6">
      <c r="E376" s="278"/>
      <c r="F376" s="278"/>
    </row>
    <row r="377" spans="5:6">
      <c r="E377" s="278"/>
      <c r="F377" s="278"/>
    </row>
    <row r="378" spans="5:6">
      <c r="E378" s="278"/>
      <c r="F378" s="278"/>
    </row>
    <row r="379" spans="5:6">
      <c r="E379" s="278"/>
      <c r="F379" s="278"/>
    </row>
    <row r="380" spans="5:6">
      <c r="E380" s="278"/>
      <c r="F380" s="278"/>
    </row>
    <row r="381" spans="5:6">
      <c r="E381" s="278"/>
      <c r="F381" s="278"/>
    </row>
    <row r="382" spans="5:6">
      <c r="E382" s="278"/>
      <c r="F382" s="278"/>
    </row>
    <row r="383" spans="5:6">
      <c r="E383" s="278"/>
      <c r="F383" s="278"/>
    </row>
    <row r="384" spans="5:6">
      <c r="E384" s="278"/>
      <c r="F384" s="278"/>
    </row>
    <row r="385" spans="5:6">
      <c r="E385" s="278"/>
      <c r="F385" s="278"/>
    </row>
    <row r="386" spans="5:6">
      <c r="E386" s="278"/>
      <c r="F386" s="278"/>
    </row>
    <row r="387" spans="5:6">
      <c r="E387" s="278"/>
      <c r="F387" s="278"/>
    </row>
    <row r="388" spans="5:6">
      <c r="E388" s="278"/>
      <c r="F388" s="278"/>
    </row>
    <row r="389" spans="5:6">
      <c r="E389" s="278"/>
      <c r="F389" s="278"/>
    </row>
    <row r="390" spans="5:6">
      <c r="E390" s="278"/>
      <c r="F390" s="278"/>
    </row>
    <row r="391" spans="5:6">
      <c r="E391" s="278"/>
      <c r="F391" s="278"/>
    </row>
    <row r="392" spans="5:6">
      <c r="E392" s="278"/>
      <c r="F392" s="278"/>
    </row>
    <row r="393" spans="5:6">
      <c r="E393" s="278"/>
      <c r="F393" s="278"/>
    </row>
    <row r="394" spans="5:6">
      <c r="E394" s="278"/>
      <c r="F394" s="278"/>
    </row>
    <row r="395" spans="5:6">
      <c r="E395" s="278"/>
      <c r="F395" s="278"/>
    </row>
    <row r="396" spans="5:6">
      <c r="E396" s="278"/>
      <c r="F396" s="278"/>
    </row>
    <row r="397" spans="5:6">
      <c r="E397" s="278"/>
      <c r="F397" s="278"/>
    </row>
    <row r="398" spans="5:6">
      <c r="E398" s="278"/>
      <c r="F398" s="278"/>
    </row>
    <row r="399" spans="5:6">
      <c r="E399" s="278"/>
      <c r="F399" s="278"/>
    </row>
    <row r="400" spans="5:6">
      <c r="E400" s="278"/>
      <c r="F400" s="278"/>
    </row>
    <row r="401" spans="5:6">
      <c r="E401" s="278"/>
      <c r="F401" s="278"/>
    </row>
    <row r="402" spans="5:6">
      <c r="E402" s="278"/>
      <c r="F402" s="278"/>
    </row>
    <row r="403" spans="5:6">
      <c r="E403" s="278"/>
      <c r="F403" s="278"/>
    </row>
    <row r="404" spans="5:6">
      <c r="E404" s="278"/>
      <c r="F404" s="278"/>
    </row>
    <row r="405" spans="5:6">
      <c r="E405" s="278"/>
      <c r="F405" s="278"/>
    </row>
    <row r="406" spans="5:6">
      <c r="E406" s="278"/>
      <c r="F406" s="278"/>
    </row>
    <row r="407" spans="5:6">
      <c r="E407" s="278"/>
      <c r="F407" s="278"/>
    </row>
    <row r="408" spans="5:6">
      <c r="E408" s="278"/>
      <c r="F408" s="278"/>
    </row>
    <row r="409" spans="5:6">
      <c r="E409" s="278"/>
      <c r="F409" s="278"/>
    </row>
    <row r="410" spans="5:6">
      <c r="E410" s="278"/>
      <c r="F410" s="278"/>
    </row>
    <row r="411" spans="5:6">
      <c r="E411" s="278"/>
      <c r="F411" s="278"/>
    </row>
    <row r="412" spans="5:6">
      <c r="E412" s="278"/>
      <c r="F412" s="278"/>
    </row>
    <row r="413" spans="5:6">
      <c r="E413" s="278"/>
      <c r="F413" s="278"/>
    </row>
    <row r="414" spans="5:6">
      <c r="E414" s="278"/>
      <c r="F414" s="278"/>
    </row>
    <row r="415" spans="5:6">
      <c r="E415" s="278"/>
      <c r="F415" s="278"/>
    </row>
    <row r="416" spans="5:6">
      <c r="E416" s="278"/>
      <c r="F416" s="278"/>
    </row>
    <row r="417" spans="5:6">
      <c r="E417" s="278"/>
      <c r="F417" s="278"/>
    </row>
    <row r="418" spans="5:6">
      <c r="E418" s="278"/>
      <c r="F418" s="278"/>
    </row>
    <row r="419" spans="5:6">
      <c r="E419" s="278"/>
      <c r="F419" s="278"/>
    </row>
    <row r="420" spans="5:6">
      <c r="E420" s="278"/>
      <c r="F420" s="278"/>
    </row>
    <row r="421" spans="5:6">
      <c r="E421" s="278"/>
      <c r="F421" s="278"/>
    </row>
    <row r="422" spans="5:6">
      <c r="E422" s="278"/>
      <c r="F422" s="278"/>
    </row>
    <row r="423" spans="5:6">
      <c r="E423" s="278"/>
      <c r="F423" s="278"/>
    </row>
    <row r="424" spans="5:6">
      <c r="E424" s="278"/>
      <c r="F424" s="278"/>
    </row>
    <row r="425" spans="5:6">
      <c r="E425" s="278"/>
      <c r="F425" s="278"/>
    </row>
    <row r="426" spans="5:6">
      <c r="E426" s="278"/>
      <c r="F426" s="278"/>
    </row>
    <row r="427" spans="5:6">
      <c r="E427" s="278"/>
      <c r="F427" s="278"/>
    </row>
    <row r="428" spans="5:6">
      <c r="E428" s="278"/>
      <c r="F428" s="278"/>
    </row>
    <row r="429" spans="5:6">
      <c r="E429" s="278"/>
      <c r="F429" s="278"/>
    </row>
    <row r="430" spans="5:6">
      <c r="E430" s="278"/>
      <c r="F430" s="278"/>
    </row>
    <row r="431" spans="5:6">
      <c r="E431" s="278"/>
      <c r="F431" s="278"/>
    </row>
    <row r="432" spans="5:6">
      <c r="E432" s="278"/>
      <c r="F432" s="278"/>
    </row>
    <row r="433" spans="5:6">
      <c r="E433" s="278"/>
      <c r="F433" s="278"/>
    </row>
    <row r="434" spans="5:6">
      <c r="E434" s="278"/>
      <c r="F434" s="278"/>
    </row>
    <row r="435" spans="5:6">
      <c r="E435" s="278"/>
      <c r="F435" s="278"/>
    </row>
    <row r="436" spans="5:6">
      <c r="E436" s="278"/>
      <c r="F436" s="278"/>
    </row>
    <row r="437" spans="5:6">
      <c r="E437" s="278"/>
      <c r="F437" s="278"/>
    </row>
    <row r="438" spans="5:6">
      <c r="E438" s="278"/>
      <c r="F438" s="278"/>
    </row>
    <row r="439" spans="5:6">
      <c r="E439" s="278"/>
      <c r="F439" s="278"/>
    </row>
    <row r="440" spans="5:6">
      <c r="E440" s="278"/>
      <c r="F440" s="278"/>
    </row>
    <row r="441" spans="5:6">
      <c r="E441" s="278"/>
      <c r="F441" s="278"/>
    </row>
    <row r="442" spans="5:6">
      <c r="E442" s="278"/>
      <c r="F442" s="278"/>
    </row>
    <row r="443" spans="5:6">
      <c r="E443" s="278"/>
      <c r="F443" s="278"/>
    </row>
    <row r="444" spans="5:6">
      <c r="E444" s="278"/>
      <c r="F444" s="278"/>
    </row>
    <row r="445" spans="5:6">
      <c r="E445" s="278"/>
      <c r="F445" s="278"/>
    </row>
    <row r="446" spans="5:6">
      <c r="E446" s="278"/>
      <c r="F446" s="278"/>
    </row>
    <row r="447" spans="5:6">
      <c r="E447" s="278"/>
      <c r="F447" s="278"/>
    </row>
    <row r="448" spans="5:6">
      <c r="E448" s="278"/>
      <c r="F448" s="278"/>
    </row>
    <row r="449" spans="5:6">
      <c r="E449" s="278"/>
      <c r="F449" s="278"/>
    </row>
    <row r="450" spans="5:6">
      <c r="E450" s="278"/>
      <c r="F450" s="278"/>
    </row>
    <row r="451" spans="5:6">
      <c r="E451" s="278"/>
      <c r="F451" s="278"/>
    </row>
    <row r="452" spans="5:6">
      <c r="E452" s="278"/>
      <c r="F452" s="278"/>
    </row>
    <row r="453" spans="5:6">
      <c r="E453" s="278"/>
      <c r="F453" s="278"/>
    </row>
    <row r="454" spans="5:6">
      <c r="E454" s="278"/>
      <c r="F454" s="278"/>
    </row>
    <row r="455" spans="5:6">
      <c r="E455" s="278"/>
      <c r="F455" s="278"/>
    </row>
    <row r="456" spans="5:6">
      <c r="E456" s="278"/>
      <c r="F456" s="278"/>
    </row>
    <row r="457" spans="5:6">
      <c r="E457" s="278"/>
      <c r="F457" s="278"/>
    </row>
    <row r="458" spans="5:6">
      <c r="E458" s="278"/>
      <c r="F458" s="278"/>
    </row>
    <row r="459" spans="5:6">
      <c r="E459" s="278"/>
      <c r="F459" s="278"/>
    </row>
    <row r="460" spans="5:6">
      <c r="E460" s="278"/>
      <c r="F460" s="278"/>
    </row>
    <row r="461" spans="5:6">
      <c r="E461" s="278"/>
      <c r="F461" s="278"/>
    </row>
    <row r="462" spans="5:6">
      <c r="E462" s="278"/>
      <c r="F462" s="278"/>
    </row>
    <row r="463" spans="5:6">
      <c r="E463" s="278"/>
      <c r="F463" s="278"/>
    </row>
    <row r="464" spans="5:6">
      <c r="E464" s="278"/>
      <c r="F464" s="278"/>
    </row>
    <row r="465" spans="5:6">
      <c r="E465" s="278"/>
      <c r="F465" s="278"/>
    </row>
    <row r="466" spans="5:6">
      <c r="E466" s="278"/>
      <c r="F466" s="278"/>
    </row>
    <row r="467" spans="5:6">
      <c r="E467" s="278"/>
      <c r="F467" s="278"/>
    </row>
    <row r="468" spans="5:6">
      <c r="E468" s="278"/>
      <c r="F468" s="278"/>
    </row>
    <row r="469" spans="5:6">
      <c r="E469" s="278"/>
      <c r="F469" s="278"/>
    </row>
    <row r="470" spans="5:6">
      <c r="E470" s="278"/>
      <c r="F470" s="278"/>
    </row>
    <row r="471" spans="5:6">
      <c r="E471" s="278"/>
      <c r="F471" s="278"/>
    </row>
    <row r="472" spans="5:6">
      <c r="E472" s="278"/>
      <c r="F472" s="278"/>
    </row>
    <row r="473" spans="5:6">
      <c r="E473" s="278"/>
      <c r="F473" s="278"/>
    </row>
    <row r="474" spans="5:6">
      <c r="E474" s="278"/>
      <c r="F474" s="278"/>
    </row>
    <row r="475" spans="5:6">
      <c r="E475" s="278"/>
      <c r="F475" s="278"/>
    </row>
    <row r="476" spans="5:6">
      <c r="E476" s="278"/>
      <c r="F476" s="278"/>
    </row>
    <row r="477" spans="5:6">
      <c r="E477" s="278"/>
      <c r="F477" s="278"/>
    </row>
    <row r="478" spans="5:6">
      <c r="E478" s="278"/>
      <c r="F478" s="278"/>
    </row>
    <row r="479" spans="5:6">
      <c r="E479" s="278"/>
      <c r="F479" s="278"/>
    </row>
    <row r="480" spans="5:6">
      <c r="E480" s="278"/>
      <c r="F480" s="278"/>
    </row>
    <row r="481" spans="5:6">
      <c r="E481" s="278"/>
      <c r="F481" s="278"/>
    </row>
    <row r="482" spans="5:6">
      <c r="E482" s="278"/>
      <c r="F482" s="278"/>
    </row>
    <row r="483" spans="5:6">
      <c r="E483" s="278"/>
      <c r="F483" s="278"/>
    </row>
    <row r="484" spans="5:6">
      <c r="E484" s="278"/>
      <c r="F484" s="278"/>
    </row>
    <row r="485" spans="5:6">
      <c r="E485" s="278"/>
      <c r="F485" s="278"/>
    </row>
    <row r="486" spans="5:6">
      <c r="E486" s="278"/>
      <c r="F486" s="278"/>
    </row>
    <row r="487" spans="5:6">
      <c r="E487" s="278"/>
      <c r="F487" s="278"/>
    </row>
    <row r="488" spans="5:6">
      <c r="E488" s="278"/>
      <c r="F488" s="278"/>
    </row>
    <row r="489" spans="5:6">
      <c r="E489" s="278"/>
      <c r="F489" s="278"/>
    </row>
    <row r="490" spans="5:6">
      <c r="E490" s="278"/>
      <c r="F490" s="278"/>
    </row>
    <row r="491" spans="5:6">
      <c r="E491" s="278"/>
      <c r="F491" s="278"/>
    </row>
    <row r="492" spans="5:6">
      <c r="E492" s="278"/>
      <c r="F492" s="278"/>
    </row>
    <row r="493" spans="5:6">
      <c r="E493" s="278"/>
      <c r="F493" s="278"/>
    </row>
    <row r="494" spans="5:6">
      <c r="E494" s="278"/>
      <c r="F494" s="278"/>
    </row>
    <row r="495" spans="5:6">
      <c r="E495" s="278"/>
      <c r="F495" s="278"/>
    </row>
    <row r="496" spans="5:6">
      <c r="E496" s="278"/>
      <c r="F496" s="278"/>
    </row>
    <row r="497" spans="5:6">
      <c r="E497" s="278"/>
      <c r="F497" s="278"/>
    </row>
    <row r="498" spans="5:6">
      <c r="E498" s="278"/>
      <c r="F498" s="278"/>
    </row>
    <row r="499" spans="5:6">
      <c r="E499" s="278"/>
      <c r="F499" s="278"/>
    </row>
    <row r="500" spans="5:6">
      <c r="E500" s="278"/>
      <c r="F500" s="278"/>
    </row>
    <row r="501" spans="5:6">
      <c r="E501" s="278"/>
      <c r="F501" s="278"/>
    </row>
    <row r="502" spans="5:6">
      <c r="E502" s="278"/>
      <c r="F502" s="278"/>
    </row>
    <row r="503" spans="5:6">
      <c r="E503" s="278"/>
      <c r="F503" s="278"/>
    </row>
    <row r="504" spans="5:6">
      <c r="E504" s="278"/>
      <c r="F504" s="278"/>
    </row>
    <row r="505" spans="5:6">
      <c r="E505" s="278"/>
      <c r="F505" s="278"/>
    </row>
    <row r="506" spans="5:6">
      <c r="E506" s="278"/>
      <c r="F506" s="278"/>
    </row>
    <row r="507" spans="5:6">
      <c r="E507" s="278"/>
      <c r="F507" s="278"/>
    </row>
    <row r="508" spans="5:6">
      <c r="E508" s="278"/>
      <c r="F508" s="278"/>
    </row>
    <row r="509" spans="5:6">
      <c r="E509" s="278"/>
      <c r="F509" s="278"/>
    </row>
    <row r="510" spans="5:6">
      <c r="E510" s="278"/>
      <c r="F510" s="278"/>
    </row>
    <row r="511" spans="5:6">
      <c r="E511" s="278"/>
      <c r="F511" s="278"/>
    </row>
    <row r="512" spans="5:6">
      <c r="E512" s="278"/>
      <c r="F512" s="278"/>
    </row>
    <row r="513" spans="5:6">
      <c r="E513" s="278"/>
      <c r="F513" s="278"/>
    </row>
    <row r="514" spans="5:6">
      <c r="E514" s="278"/>
      <c r="F514" s="278"/>
    </row>
    <row r="515" spans="5:6">
      <c r="E515" s="278"/>
      <c r="F515" s="278"/>
    </row>
    <row r="516" spans="5:6">
      <c r="E516" s="278"/>
      <c r="F516" s="278"/>
    </row>
    <row r="517" spans="5:6">
      <c r="E517" s="278"/>
      <c r="F517" s="278"/>
    </row>
    <row r="518" spans="5:6">
      <c r="E518" s="278"/>
      <c r="F518" s="278"/>
    </row>
    <row r="519" spans="5:6">
      <c r="E519" s="278"/>
      <c r="F519" s="278"/>
    </row>
    <row r="520" spans="5:6">
      <c r="E520" s="278"/>
      <c r="F520" s="278"/>
    </row>
    <row r="521" spans="5:6">
      <c r="E521" s="278"/>
      <c r="F521" s="278"/>
    </row>
    <row r="522" spans="5:6">
      <c r="E522" s="278"/>
      <c r="F522" s="278"/>
    </row>
    <row r="523" spans="5:6">
      <c r="E523" s="278"/>
      <c r="F523" s="278"/>
    </row>
    <row r="524" spans="5:6">
      <c r="E524" s="278"/>
      <c r="F524" s="278"/>
    </row>
    <row r="525" spans="5:6">
      <c r="E525" s="278"/>
      <c r="F525" s="278"/>
    </row>
    <row r="526" spans="5:6">
      <c r="E526" s="278"/>
      <c r="F526" s="278"/>
    </row>
    <row r="527" spans="5:6">
      <c r="E527" s="278"/>
      <c r="F527" s="278"/>
    </row>
    <row r="528" spans="5:6">
      <c r="E528" s="278"/>
      <c r="F528" s="278"/>
    </row>
    <row r="529" spans="5:6">
      <c r="E529" s="278"/>
      <c r="F529" s="278"/>
    </row>
    <row r="530" spans="5:6">
      <c r="E530" s="278"/>
      <c r="F530" s="278"/>
    </row>
    <row r="531" spans="5:6">
      <c r="E531" s="278"/>
      <c r="F531" s="278"/>
    </row>
    <row r="532" spans="5:6">
      <c r="E532" s="278"/>
      <c r="F532" s="278"/>
    </row>
    <row r="533" spans="5:6">
      <c r="E533" s="278"/>
      <c r="F533" s="278"/>
    </row>
    <row r="534" spans="5:6">
      <c r="E534" s="278"/>
      <c r="F534" s="278"/>
    </row>
    <row r="535" spans="5:6">
      <c r="E535" s="278"/>
      <c r="F535" s="278"/>
    </row>
    <row r="536" spans="5:6">
      <c r="E536" s="278"/>
      <c r="F536" s="278"/>
    </row>
    <row r="537" spans="5:6">
      <c r="E537" s="278"/>
      <c r="F537" s="278"/>
    </row>
    <row r="538" spans="5:6">
      <c r="E538" s="278"/>
      <c r="F538" s="278"/>
    </row>
    <row r="539" spans="5:6">
      <c r="E539" s="278"/>
      <c r="F539" s="278"/>
    </row>
    <row r="540" spans="5:6">
      <c r="E540" s="278"/>
      <c r="F540" s="278"/>
    </row>
    <row r="541" spans="5:6">
      <c r="E541" s="278"/>
      <c r="F541" s="278"/>
    </row>
    <row r="542" spans="5:6">
      <c r="E542" s="278"/>
      <c r="F542" s="278"/>
    </row>
    <row r="543" spans="5:6">
      <c r="E543" s="278"/>
      <c r="F543" s="278"/>
    </row>
    <row r="544" spans="5:6">
      <c r="E544" s="278"/>
      <c r="F544" s="278"/>
    </row>
    <row r="545" spans="5:6">
      <c r="E545" s="278"/>
      <c r="F545" s="278"/>
    </row>
    <row r="546" spans="5:6">
      <c r="E546" s="278"/>
      <c r="F546" s="278"/>
    </row>
    <row r="547" spans="5:6">
      <c r="E547" s="278"/>
      <c r="F547" s="278"/>
    </row>
    <row r="548" spans="5:6">
      <c r="E548" s="278"/>
      <c r="F548" s="278"/>
    </row>
    <row r="549" spans="5:6">
      <c r="E549" s="278"/>
      <c r="F549" s="278"/>
    </row>
    <row r="550" spans="5:6">
      <c r="E550" s="278"/>
      <c r="F550" s="278"/>
    </row>
    <row r="551" spans="5:6">
      <c r="E551" s="278"/>
      <c r="F551" s="278"/>
    </row>
    <row r="552" spans="5:6">
      <c r="E552" s="278"/>
      <c r="F552" s="278"/>
    </row>
    <row r="553" spans="5:6">
      <c r="E553" s="278"/>
      <c r="F553" s="278"/>
    </row>
    <row r="554" spans="5:6">
      <c r="E554" s="278"/>
      <c r="F554" s="278"/>
    </row>
    <row r="555" spans="5:6">
      <c r="E555" s="278"/>
      <c r="F555" s="278"/>
    </row>
    <row r="556" spans="5:6">
      <c r="E556" s="278"/>
      <c r="F556" s="278"/>
    </row>
    <row r="557" spans="5:6">
      <c r="E557" s="278"/>
      <c r="F557" s="278"/>
    </row>
    <row r="558" spans="5:6">
      <c r="E558" s="278"/>
      <c r="F558" s="278"/>
    </row>
    <row r="559" spans="5:6">
      <c r="E559" s="278"/>
      <c r="F559" s="278"/>
    </row>
    <row r="560" spans="5:6">
      <c r="E560" s="278"/>
      <c r="F560" s="278"/>
    </row>
    <row r="561" spans="5:6">
      <c r="E561" s="278"/>
      <c r="F561" s="278"/>
    </row>
    <row r="562" spans="5:6">
      <c r="E562" s="278"/>
      <c r="F562" s="278"/>
    </row>
    <row r="563" spans="5:6">
      <c r="E563" s="278"/>
      <c r="F563" s="278"/>
    </row>
    <row r="564" spans="5:6">
      <c r="E564" s="278"/>
      <c r="F564" s="278"/>
    </row>
    <row r="565" spans="5:6">
      <c r="E565" s="278"/>
      <c r="F565" s="278"/>
    </row>
    <row r="566" spans="5:6">
      <c r="E566" s="278"/>
      <c r="F566" s="278"/>
    </row>
    <row r="567" spans="5:6">
      <c r="E567" s="278"/>
      <c r="F567" s="278"/>
    </row>
    <row r="568" spans="5:6">
      <c r="E568" s="278"/>
      <c r="F568" s="278"/>
    </row>
    <row r="569" spans="5:6">
      <c r="E569" s="278"/>
      <c r="F569" s="278"/>
    </row>
    <row r="570" spans="5:6">
      <c r="E570" s="278"/>
      <c r="F570" s="278"/>
    </row>
    <row r="571" spans="5:6">
      <c r="E571" s="278"/>
      <c r="F571" s="278"/>
    </row>
    <row r="572" spans="5:6">
      <c r="E572" s="278"/>
      <c r="F572" s="278"/>
    </row>
    <row r="573" spans="5:6">
      <c r="E573" s="278"/>
      <c r="F573" s="278"/>
    </row>
    <row r="574" spans="5:6">
      <c r="E574" s="278"/>
      <c r="F574" s="278"/>
    </row>
    <row r="575" spans="5:6">
      <c r="E575" s="278"/>
      <c r="F575" s="278"/>
    </row>
    <row r="576" spans="5:6">
      <c r="E576" s="278"/>
      <c r="F576" s="278"/>
    </row>
    <row r="577" spans="5:6">
      <c r="E577" s="278"/>
      <c r="F577" s="278"/>
    </row>
    <row r="578" spans="5:6">
      <c r="E578" s="278"/>
      <c r="F578" s="278"/>
    </row>
    <row r="579" spans="5:6">
      <c r="E579" s="278"/>
      <c r="F579" s="278"/>
    </row>
    <row r="580" spans="5:6">
      <c r="E580" s="278"/>
      <c r="F580" s="278"/>
    </row>
    <row r="581" spans="5:6">
      <c r="E581" s="278"/>
      <c r="F581" s="278"/>
    </row>
    <row r="582" spans="5:6">
      <c r="E582" s="278"/>
      <c r="F582" s="278"/>
    </row>
    <row r="583" spans="5:6">
      <c r="E583" s="278"/>
      <c r="F583" s="278"/>
    </row>
    <row r="584" spans="5:6">
      <c r="E584" s="278"/>
      <c r="F584" s="278"/>
    </row>
    <row r="585" spans="5:6">
      <c r="E585" s="278"/>
      <c r="F585" s="278"/>
    </row>
    <row r="586" spans="5:6">
      <c r="E586" s="278"/>
      <c r="F586" s="278"/>
    </row>
    <row r="587" spans="5:6">
      <c r="E587" s="278"/>
      <c r="F587" s="278"/>
    </row>
    <row r="588" spans="5:6">
      <c r="E588" s="278"/>
      <c r="F588" s="278"/>
    </row>
    <row r="589" spans="5:6">
      <c r="E589" s="278"/>
      <c r="F589" s="278"/>
    </row>
    <row r="590" spans="5:6">
      <c r="E590" s="278"/>
      <c r="F590" s="278"/>
    </row>
    <row r="591" spans="5:6">
      <c r="E591" s="278"/>
      <c r="F591" s="278"/>
    </row>
    <row r="592" spans="5:6">
      <c r="E592" s="278"/>
      <c r="F592" s="278"/>
    </row>
    <row r="593" spans="5:6">
      <c r="E593" s="278"/>
      <c r="F593" s="278"/>
    </row>
    <row r="594" spans="5:6">
      <c r="E594" s="278"/>
      <c r="F594" s="278"/>
    </row>
    <row r="595" spans="5:6">
      <c r="E595" s="278"/>
      <c r="F595" s="278"/>
    </row>
    <row r="596" spans="5:6">
      <c r="E596" s="278"/>
      <c r="F596" s="278"/>
    </row>
    <row r="597" spans="5:6">
      <c r="E597" s="278"/>
      <c r="F597" s="278"/>
    </row>
    <row r="598" spans="5:6">
      <c r="E598" s="278"/>
      <c r="F598" s="278"/>
    </row>
    <row r="599" spans="5:6">
      <c r="E599" s="278"/>
      <c r="F599" s="278"/>
    </row>
    <row r="600" spans="5:6">
      <c r="E600" s="278"/>
      <c r="F600" s="278"/>
    </row>
    <row r="601" spans="5:6">
      <c r="E601" s="278"/>
      <c r="F601" s="278"/>
    </row>
    <row r="602" spans="5:6">
      <c r="E602" s="278"/>
      <c r="F602" s="278"/>
    </row>
    <row r="603" spans="5:6">
      <c r="E603" s="278"/>
      <c r="F603" s="278"/>
    </row>
    <row r="604" spans="5:6">
      <c r="E604" s="278"/>
      <c r="F604" s="278"/>
    </row>
    <row r="605" spans="5:6">
      <c r="E605" s="278"/>
      <c r="F605" s="278"/>
    </row>
    <row r="606" spans="5:6">
      <c r="E606" s="278"/>
      <c r="F606" s="278"/>
    </row>
    <row r="607" spans="5:6">
      <c r="E607" s="278"/>
      <c r="F607" s="278"/>
    </row>
    <row r="608" spans="5:6">
      <c r="E608" s="278"/>
      <c r="F608" s="278"/>
    </row>
    <row r="609" spans="5:6">
      <c r="E609" s="278"/>
      <c r="F609" s="278"/>
    </row>
    <row r="610" spans="5:6">
      <c r="E610" s="278"/>
      <c r="F610" s="278"/>
    </row>
    <row r="611" spans="5:6">
      <c r="E611" s="278"/>
      <c r="F611" s="278"/>
    </row>
    <row r="612" spans="5:6">
      <c r="E612" s="278"/>
      <c r="F612" s="278"/>
    </row>
    <row r="613" spans="5:6">
      <c r="E613" s="278"/>
      <c r="F613" s="278"/>
    </row>
    <row r="614" spans="5:6">
      <c r="E614" s="278"/>
      <c r="F614" s="278"/>
    </row>
    <row r="615" spans="5:6">
      <c r="E615" s="278"/>
      <c r="F615" s="278"/>
    </row>
    <row r="616" spans="5:6">
      <c r="E616" s="278"/>
      <c r="F616" s="278"/>
    </row>
    <row r="617" spans="5:6">
      <c r="E617" s="278"/>
      <c r="F617" s="278"/>
    </row>
    <row r="618" spans="5:6">
      <c r="E618" s="278"/>
      <c r="F618" s="278"/>
    </row>
    <row r="619" spans="5:6">
      <c r="E619" s="278"/>
      <c r="F619" s="278"/>
    </row>
    <row r="620" spans="5:6">
      <c r="E620" s="278"/>
      <c r="F620" s="278"/>
    </row>
    <row r="621" spans="5:6">
      <c r="E621" s="278"/>
      <c r="F621" s="278"/>
    </row>
    <row r="622" spans="5:6">
      <c r="E622" s="278"/>
      <c r="F622" s="278"/>
    </row>
    <row r="623" spans="5:6">
      <c r="E623" s="278"/>
      <c r="F623" s="278"/>
    </row>
    <row r="624" spans="5:6">
      <c r="E624" s="278"/>
      <c r="F624" s="278"/>
    </row>
    <row r="625" spans="5:6">
      <c r="E625" s="278"/>
      <c r="F625" s="278"/>
    </row>
    <row r="626" spans="5:6">
      <c r="E626" s="278"/>
      <c r="F626" s="278"/>
    </row>
    <row r="627" spans="5:6">
      <c r="E627" s="278"/>
      <c r="F627" s="278"/>
    </row>
    <row r="628" spans="5:6">
      <c r="E628" s="278"/>
      <c r="F628" s="278"/>
    </row>
    <row r="629" spans="5:6">
      <c r="E629" s="278"/>
      <c r="F629" s="278"/>
    </row>
    <row r="630" spans="5:6">
      <c r="E630" s="278"/>
      <c r="F630" s="278"/>
    </row>
    <row r="631" spans="5:6">
      <c r="E631" s="278"/>
      <c r="F631" s="278"/>
    </row>
    <row r="632" spans="5:6">
      <c r="E632" s="278"/>
      <c r="F632" s="278"/>
    </row>
    <row r="633" spans="5:6">
      <c r="E633" s="278"/>
      <c r="F633" s="278"/>
    </row>
    <row r="634" spans="5:6">
      <c r="E634" s="278"/>
      <c r="F634" s="278"/>
    </row>
    <row r="635" spans="5:6">
      <c r="E635" s="278"/>
      <c r="F635" s="278"/>
    </row>
    <row r="636" spans="5:6">
      <c r="E636" s="278"/>
      <c r="F636" s="278"/>
    </row>
    <row r="637" spans="5:6">
      <c r="E637" s="278"/>
      <c r="F637" s="278"/>
    </row>
    <row r="638" spans="5:6">
      <c r="E638" s="278"/>
      <c r="F638" s="278"/>
    </row>
    <row r="639" spans="5:6">
      <c r="E639" s="278"/>
      <c r="F639" s="278"/>
    </row>
    <row r="640" spans="5:6">
      <c r="E640" s="278"/>
      <c r="F640" s="278"/>
    </row>
    <row r="641" spans="5:6">
      <c r="E641" s="278"/>
      <c r="F641" s="278"/>
    </row>
    <row r="642" spans="5:6">
      <c r="E642" s="278"/>
      <c r="F642" s="278"/>
    </row>
    <row r="643" spans="5:6">
      <c r="E643" s="278"/>
      <c r="F643" s="278"/>
    </row>
    <row r="644" spans="5:6">
      <c r="E644" s="278"/>
      <c r="F644" s="278"/>
    </row>
    <row r="645" spans="5:6">
      <c r="E645" s="278"/>
      <c r="F645" s="278"/>
    </row>
    <row r="646" spans="5:6">
      <c r="E646" s="278"/>
      <c r="F646" s="278"/>
    </row>
    <row r="647" spans="5:6">
      <c r="E647" s="278"/>
      <c r="F647" s="278"/>
    </row>
    <row r="648" spans="5:6">
      <c r="E648" s="278"/>
      <c r="F648" s="278"/>
    </row>
    <row r="649" spans="5:6">
      <c r="E649" s="278"/>
      <c r="F649" s="278"/>
    </row>
    <row r="650" spans="5:6">
      <c r="E650" s="278"/>
      <c r="F650" s="278"/>
    </row>
    <row r="651" spans="5:6">
      <c r="E651" s="278"/>
      <c r="F651" s="278"/>
    </row>
    <row r="652" spans="5:6">
      <c r="E652" s="278"/>
      <c r="F652" s="278"/>
    </row>
    <row r="653" spans="5:6">
      <c r="E653" s="278"/>
      <c r="F653" s="278"/>
    </row>
    <row r="654" spans="5:6">
      <c r="E654" s="278"/>
      <c r="F654" s="278"/>
    </row>
    <row r="655" spans="5:6">
      <c r="E655" s="278"/>
      <c r="F655" s="278"/>
    </row>
    <row r="656" spans="5:6">
      <c r="E656" s="278"/>
      <c r="F656" s="278"/>
    </row>
    <row r="657" spans="5:6">
      <c r="E657" s="278"/>
      <c r="F657" s="278"/>
    </row>
    <row r="658" spans="5:6">
      <c r="E658" s="278"/>
      <c r="F658" s="278"/>
    </row>
    <row r="659" spans="5:6">
      <c r="E659" s="278"/>
      <c r="F659" s="278"/>
    </row>
    <row r="660" spans="5:6">
      <c r="E660" s="278"/>
      <c r="F660" s="278"/>
    </row>
    <row r="661" spans="5:6">
      <c r="E661" s="278"/>
      <c r="F661" s="278"/>
    </row>
    <row r="662" spans="5:6">
      <c r="E662" s="278"/>
      <c r="F662" s="278"/>
    </row>
    <row r="663" spans="5:6">
      <c r="E663" s="278"/>
      <c r="F663" s="278"/>
    </row>
    <row r="664" spans="5:6">
      <c r="E664" s="278"/>
      <c r="F664" s="278"/>
    </row>
    <row r="665" spans="5:6">
      <c r="E665" s="278"/>
      <c r="F665" s="278"/>
    </row>
    <row r="666" spans="5:6">
      <c r="E666" s="278"/>
      <c r="F666" s="278"/>
    </row>
    <row r="667" spans="5:6">
      <c r="E667" s="278"/>
      <c r="F667" s="278"/>
    </row>
    <row r="668" spans="5:6">
      <c r="E668" s="278"/>
      <c r="F668" s="278"/>
    </row>
    <row r="669" spans="5:6">
      <c r="E669" s="278"/>
      <c r="F669" s="278"/>
    </row>
    <row r="670" spans="5:6">
      <c r="E670" s="278"/>
      <c r="F670" s="278"/>
    </row>
    <row r="671" spans="5:6">
      <c r="E671" s="278"/>
      <c r="F671" s="278"/>
    </row>
    <row r="672" spans="5:6">
      <c r="E672" s="278"/>
      <c r="F672" s="278"/>
    </row>
    <row r="673" spans="5:6">
      <c r="E673" s="278"/>
      <c r="F673" s="278"/>
    </row>
    <row r="674" spans="5:6">
      <c r="E674" s="278"/>
      <c r="F674" s="278"/>
    </row>
    <row r="675" spans="5:6">
      <c r="E675" s="278"/>
      <c r="F675" s="278"/>
    </row>
    <row r="676" spans="5:6">
      <c r="E676" s="278"/>
      <c r="F676" s="278"/>
    </row>
    <row r="677" spans="5:6">
      <c r="E677" s="278"/>
      <c r="F677" s="278"/>
    </row>
    <row r="678" spans="5:6">
      <c r="E678" s="278"/>
      <c r="F678" s="278"/>
    </row>
    <row r="679" spans="5:6">
      <c r="E679" s="278"/>
      <c r="F679" s="278"/>
    </row>
    <row r="680" spans="5:6">
      <c r="E680" s="278"/>
      <c r="F680" s="278"/>
    </row>
    <row r="681" spans="5:6">
      <c r="E681" s="278"/>
      <c r="F681" s="278"/>
    </row>
    <row r="682" spans="5:6">
      <c r="E682" s="278"/>
      <c r="F682" s="278"/>
    </row>
    <row r="683" spans="5:6">
      <c r="E683" s="278"/>
      <c r="F683" s="278"/>
    </row>
    <row r="684" spans="5:6">
      <c r="E684" s="278"/>
      <c r="F684" s="278"/>
    </row>
    <row r="685" spans="5:6">
      <c r="E685" s="278"/>
      <c r="F685" s="278"/>
    </row>
    <row r="686" spans="5:6">
      <c r="E686" s="278"/>
      <c r="F686" s="278"/>
    </row>
    <row r="687" spans="5:6">
      <c r="E687" s="278"/>
      <c r="F687" s="278"/>
    </row>
    <row r="688" spans="5:6">
      <c r="E688" s="278"/>
      <c r="F688" s="278"/>
    </row>
    <row r="689" spans="5:6">
      <c r="E689" s="278"/>
      <c r="F689" s="278"/>
    </row>
    <row r="690" spans="5:6">
      <c r="E690" s="278"/>
      <c r="F690" s="278"/>
    </row>
    <row r="691" spans="5:6">
      <c r="E691" s="278"/>
      <c r="F691" s="278"/>
    </row>
    <row r="692" spans="5:6">
      <c r="E692" s="278"/>
      <c r="F692" s="278"/>
    </row>
    <row r="693" spans="5:6">
      <c r="E693" s="278"/>
      <c r="F693" s="278"/>
    </row>
    <row r="694" spans="5:6">
      <c r="E694" s="278"/>
      <c r="F694" s="278"/>
    </row>
    <row r="695" spans="5:6">
      <c r="E695" s="278"/>
      <c r="F695" s="278"/>
    </row>
    <row r="696" spans="5:6">
      <c r="E696" s="278"/>
      <c r="F696" s="278"/>
    </row>
    <row r="697" spans="5:6">
      <c r="E697" s="278"/>
      <c r="F697" s="278"/>
    </row>
    <row r="698" spans="5:6">
      <c r="E698" s="278"/>
      <c r="F698" s="278"/>
    </row>
    <row r="699" spans="5:6">
      <c r="E699" s="278"/>
      <c r="F699" s="278"/>
    </row>
    <row r="700" spans="5:6">
      <c r="E700" s="278"/>
      <c r="F700" s="278"/>
    </row>
    <row r="701" spans="5:6">
      <c r="E701" s="278"/>
      <c r="F701" s="278"/>
    </row>
    <row r="702" spans="5:6">
      <c r="E702" s="278"/>
      <c r="F702" s="278"/>
    </row>
    <row r="703" spans="5:6">
      <c r="E703" s="278"/>
      <c r="F703" s="278"/>
    </row>
    <row r="704" spans="5:6">
      <c r="E704" s="278"/>
      <c r="F704" s="278"/>
    </row>
    <row r="705" spans="5:6">
      <c r="E705" s="278"/>
      <c r="F705" s="278"/>
    </row>
    <row r="706" spans="5:6">
      <c r="E706" s="278"/>
      <c r="F706" s="278"/>
    </row>
    <row r="707" spans="5:6">
      <c r="E707" s="278"/>
      <c r="F707" s="278"/>
    </row>
    <row r="708" spans="5:6">
      <c r="E708" s="278"/>
      <c r="F708" s="278"/>
    </row>
    <row r="709" spans="5:6">
      <c r="E709" s="278"/>
      <c r="F709" s="278"/>
    </row>
    <row r="710" spans="5:6">
      <c r="E710" s="278"/>
      <c r="F710" s="278"/>
    </row>
    <row r="711" spans="5:6">
      <c r="E711" s="278"/>
      <c r="F711" s="278"/>
    </row>
    <row r="712" spans="5:6">
      <c r="E712" s="278"/>
      <c r="F712" s="278"/>
    </row>
    <row r="713" spans="5:6">
      <c r="E713" s="278"/>
      <c r="F713" s="278"/>
    </row>
    <row r="714" spans="5:6">
      <c r="E714" s="278"/>
      <c r="F714" s="278"/>
    </row>
    <row r="715" spans="5:6">
      <c r="E715" s="278"/>
      <c r="F715" s="278"/>
    </row>
    <row r="716" spans="5:6">
      <c r="E716" s="278"/>
      <c r="F716" s="278"/>
    </row>
    <row r="717" spans="5:6">
      <c r="E717" s="278"/>
      <c r="F717" s="278"/>
    </row>
    <row r="718" spans="5:6">
      <c r="E718" s="278"/>
      <c r="F718" s="278"/>
    </row>
    <row r="719" spans="5:6">
      <c r="E719" s="278"/>
      <c r="F719" s="278"/>
    </row>
    <row r="720" spans="5:6">
      <c r="E720" s="278"/>
      <c r="F720" s="278"/>
    </row>
    <row r="721" spans="5:6">
      <c r="E721" s="278"/>
      <c r="F721" s="278"/>
    </row>
    <row r="722" spans="5:6">
      <c r="E722" s="278"/>
      <c r="F722" s="278"/>
    </row>
    <row r="723" spans="5:6">
      <c r="E723" s="278"/>
      <c r="F723" s="278"/>
    </row>
    <row r="724" spans="5:6">
      <c r="E724" s="278"/>
      <c r="F724" s="278"/>
    </row>
    <row r="725" spans="5:6">
      <c r="E725" s="278"/>
      <c r="F725" s="278"/>
    </row>
    <row r="726" spans="5:6">
      <c r="E726" s="278"/>
      <c r="F726" s="278"/>
    </row>
    <row r="727" spans="5:6">
      <c r="E727" s="278"/>
      <c r="F727" s="278"/>
    </row>
    <row r="728" spans="5:6">
      <c r="E728" s="278"/>
      <c r="F728" s="278"/>
    </row>
    <row r="729" spans="5:6">
      <c r="E729" s="278"/>
      <c r="F729" s="278"/>
    </row>
    <row r="730" spans="5:6">
      <c r="E730" s="278"/>
      <c r="F730" s="278"/>
    </row>
    <row r="731" spans="5:6">
      <c r="E731" s="278"/>
      <c r="F731" s="278"/>
    </row>
    <row r="732" spans="5:6">
      <c r="E732" s="278"/>
      <c r="F732" s="278"/>
    </row>
    <row r="733" spans="5:6">
      <c r="E733" s="278"/>
      <c r="F733" s="278"/>
    </row>
    <row r="734" spans="5:6">
      <c r="E734" s="278"/>
      <c r="F734" s="278"/>
    </row>
    <row r="735" spans="5:6">
      <c r="E735" s="278"/>
      <c r="F735" s="278"/>
    </row>
    <row r="736" spans="5:6">
      <c r="E736" s="278"/>
      <c r="F736" s="278"/>
    </row>
    <row r="737" spans="5:6">
      <c r="E737" s="278"/>
      <c r="F737" s="278"/>
    </row>
    <row r="738" spans="5:6">
      <c r="E738" s="278"/>
      <c r="F738" s="278"/>
    </row>
    <row r="739" spans="5:6">
      <c r="E739" s="278"/>
      <c r="F739" s="278"/>
    </row>
    <row r="740" spans="5:6">
      <c r="E740" s="278"/>
      <c r="F740" s="278"/>
    </row>
    <row r="741" spans="5:6">
      <c r="E741" s="278"/>
      <c r="F741" s="278"/>
    </row>
    <row r="742" spans="5:6">
      <c r="E742" s="278"/>
      <c r="F742" s="278"/>
    </row>
    <row r="743" spans="5:6">
      <c r="E743" s="278"/>
      <c r="F743" s="278"/>
    </row>
    <row r="744" spans="5:6">
      <c r="E744" s="278"/>
      <c r="F744" s="278"/>
    </row>
    <row r="745" spans="5:6">
      <c r="E745" s="278"/>
      <c r="F745" s="278"/>
    </row>
    <row r="746" spans="5:6">
      <c r="E746" s="278"/>
      <c r="F746" s="278"/>
    </row>
    <row r="747" spans="5:6">
      <c r="E747" s="278"/>
      <c r="F747" s="278"/>
    </row>
    <row r="748" spans="5:6">
      <c r="E748" s="278"/>
      <c r="F748" s="278"/>
    </row>
    <row r="749" spans="5:6">
      <c r="E749" s="278"/>
      <c r="F749" s="278"/>
    </row>
    <row r="750" spans="5:6">
      <c r="E750" s="278"/>
      <c r="F750" s="278"/>
    </row>
    <row r="751" spans="5:6">
      <c r="E751" s="278"/>
      <c r="F751" s="278"/>
    </row>
    <row r="752" spans="5:6">
      <c r="E752" s="278"/>
      <c r="F752" s="278"/>
    </row>
    <row r="753" spans="5:6">
      <c r="E753" s="278"/>
      <c r="F753" s="278"/>
    </row>
    <row r="754" spans="5:6">
      <c r="E754" s="278"/>
      <c r="F754" s="278"/>
    </row>
    <row r="755" spans="5:6">
      <c r="E755" s="278"/>
      <c r="F755" s="278"/>
    </row>
    <row r="756" spans="5:6">
      <c r="E756" s="278"/>
      <c r="F756" s="278"/>
    </row>
    <row r="757" spans="5:6">
      <c r="E757" s="278"/>
      <c r="F757" s="278"/>
    </row>
    <row r="758" spans="5:6">
      <c r="E758" s="278"/>
      <c r="F758" s="278"/>
    </row>
    <row r="759" spans="5:6">
      <c r="E759" s="278"/>
      <c r="F759" s="278"/>
    </row>
    <row r="760" spans="5:6">
      <c r="E760" s="278"/>
      <c r="F760" s="278"/>
    </row>
    <row r="761" spans="5:6">
      <c r="E761" s="278"/>
      <c r="F761" s="278"/>
    </row>
    <row r="762" spans="5:6">
      <c r="E762" s="278"/>
      <c r="F762" s="278"/>
    </row>
    <row r="763" spans="5:6">
      <c r="E763" s="278"/>
      <c r="F763" s="278"/>
    </row>
    <row r="764" spans="5:6">
      <c r="E764" s="278"/>
      <c r="F764" s="278"/>
    </row>
    <row r="765" spans="5:6">
      <c r="E765" s="278"/>
      <c r="F765" s="278"/>
    </row>
    <row r="766" spans="5:6">
      <c r="E766" s="278"/>
      <c r="F766" s="278"/>
    </row>
    <row r="767" spans="5:6">
      <c r="E767" s="278"/>
      <c r="F767" s="278"/>
    </row>
    <row r="768" spans="5:6">
      <c r="E768" s="278"/>
      <c r="F768" s="278"/>
    </row>
    <row r="769" spans="5:6">
      <c r="E769" s="278"/>
      <c r="F769" s="278"/>
    </row>
    <row r="770" spans="5:6">
      <c r="E770" s="278"/>
      <c r="F770" s="278"/>
    </row>
    <row r="771" spans="5:6">
      <c r="E771" s="278"/>
      <c r="F771" s="278"/>
    </row>
    <row r="772" spans="5:6">
      <c r="E772" s="278"/>
      <c r="F772" s="278"/>
    </row>
    <row r="773" spans="5:6">
      <c r="E773" s="278"/>
      <c r="F773" s="278"/>
    </row>
    <row r="774" spans="5:6">
      <c r="E774" s="278"/>
      <c r="F774" s="278"/>
    </row>
    <row r="775" spans="5:6">
      <c r="E775" s="278"/>
      <c r="F775" s="278"/>
    </row>
    <row r="776" spans="5:6">
      <c r="E776" s="278"/>
      <c r="F776" s="278"/>
    </row>
    <row r="777" spans="5:6">
      <c r="E777" s="278"/>
      <c r="F777" s="278"/>
    </row>
    <row r="778" spans="5:6">
      <c r="E778" s="278"/>
      <c r="F778" s="278"/>
    </row>
    <row r="779" spans="5:6">
      <c r="E779" s="278"/>
      <c r="F779" s="278"/>
    </row>
    <row r="780" spans="5:6">
      <c r="E780" s="278"/>
      <c r="F780" s="278"/>
    </row>
    <row r="781" spans="5:6">
      <c r="E781" s="278"/>
      <c r="F781" s="278"/>
    </row>
    <row r="782" spans="5:6">
      <c r="E782" s="278"/>
      <c r="F782" s="278"/>
    </row>
    <row r="783" spans="5:6">
      <c r="E783" s="278"/>
      <c r="F783" s="278"/>
    </row>
    <row r="784" spans="5:6">
      <c r="E784" s="278"/>
      <c r="F784" s="278"/>
    </row>
    <row r="785" spans="5:6">
      <c r="E785" s="278"/>
      <c r="F785" s="278"/>
    </row>
    <row r="786" spans="5:6">
      <c r="E786" s="278"/>
      <c r="F786" s="278"/>
    </row>
    <row r="787" spans="5:6">
      <c r="E787" s="278"/>
      <c r="F787" s="278"/>
    </row>
    <row r="788" spans="5:6">
      <c r="E788" s="278"/>
      <c r="F788" s="278"/>
    </row>
    <row r="789" spans="5:6">
      <c r="E789" s="278"/>
      <c r="F789" s="278"/>
    </row>
    <row r="790" spans="5:6">
      <c r="E790" s="278"/>
      <c r="F790" s="278"/>
    </row>
    <row r="791" spans="5:6">
      <c r="E791" s="278"/>
      <c r="F791" s="278"/>
    </row>
    <row r="792" spans="5:6">
      <c r="E792" s="278"/>
      <c r="F792" s="278"/>
    </row>
    <row r="793" spans="5:6">
      <c r="E793" s="278"/>
      <c r="F793" s="278"/>
    </row>
    <row r="794" spans="5:6">
      <c r="E794" s="278"/>
      <c r="F794" s="278"/>
    </row>
    <row r="795" spans="5:6">
      <c r="E795" s="278"/>
      <c r="F795" s="278"/>
    </row>
    <row r="796" spans="5:6">
      <c r="E796" s="278"/>
      <c r="F796" s="278"/>
    </row>
    <row r="797" spans="5:6">
      <c r="E797" s="278"/>
      <c r="F797" s="278"/>
    </row>
    <row r="798" spans="5:6">
      <c r="E798" s="278"/>
      <c r="F798" s="278"/>
    </row>
    <row r="799" spans="5:6">
      <c r="E799" s="278"/>
      <c r="F799" s="278"/>
    </row>
    <row r="800" spans="5:6">
      <c r="E800" s="278"/>
      <c r="F800" s="278"/>
    </row>
    <row r="801" spans="5:6">
      <c r="E801" s="278"/>
      <c r="F801" s="278"/>
    </row>
    <row r="802" spans="5:6">
      <c r="E802" s="278"/>
      <c r="F802" s="278"/>
    </row>
    <row r="803" spans="5:6">
      <c r="E803" s="278"/>
      <c r="F803" s="278"/>
    </row>
    <row r="804" spans="5:6">
      <c r="E804" s="278"/>
      <c r="F804" s="278"/>
    </row>
    <row r="805" spans="5:6">
      <c r="E805" s="278"/>
      <c r="F805" s="278"/>
    </row>
    <row r="806" spans="5:6">
      <c r="E806" s="278"/>
      <c r="F806" s="278"/>
    </row>
    <row r="807" spans="5:6">
      <c r="E807" s="278"/>
      <c r="F807" s="278"/>
    </row>
    <row r="808" spans="5:6">
      <c r="E808" s="278"/>
      <c r="F808" s="278"/>
    </row>
    <row r="809" spans="5:6">
      <c r="E809" s="278"/>
      <c r="F809" s="278"/>
    </row>
    <row r="810" spans="5:6">
      <c r="E810" s="278"/>
      <c r="F810" s="278"/>
    </row>
    <row r="811" spans="5:6">
      <c r="E811" s="278"/>
      <c r="F811" s="278"/>
    </row>
    <row r="812" spans="5:6">
      <c r="E812" s="278"/>
      <c r="F812" s="278"/>
    </row>
    <row r="813" spans="5:6">
      <c r="E813" s="278"/>
      <c r="F813" s="278"/>
    </row>
    <row r="814" spans="5:6">
      <c r="E814" s="278"/>
      <c r="F814" s="278"/>
    </row>
    <row r="815" spans="5:6">
      <c r="E815" s="278"/>
      <c r="F815" s="278"/>
    </row>
    <row r="816" spans="5:6">
      <c r="E816" s="278"/>
      <c r="F816" s="278"/>
    </row>
    <row r="817" spans="5:6">
      <c r="E817" s="278"/>
      <c r="F817" s="278"/>
    </row>
    <row r="818" spans="5:6">
      <c r="E818" s="278"/>
      <c r="F818" s="278"/>
    </row>
    <row r="819" spans="5:6">
      <c r="E819" s="278"/>
      <c r="F819" s="278"/>
    </row>
    <row r="820" spans="5:6">
      <c r="E820" s="278"/>
      <c r="F820" s="278"/>
    </row>
    <row r="821" spans="5:6">
      <c r="E821" s="278"/>
      <c r="F821" s="278"/>
    </row>
    <row r="822" spans="5:6">
      <c r="E822" s="278"/>
      <c r="F822" s="278"/>
    </row>
    <row r="823" spans="5:6">
      <c r="E823" s="278"/>
      <c r="F823" s="278"/>
    </row>
    <row r="824" spans="5:6">
      <c r="E824" s="278"/>
      <c r="F824" s="278"/>
    </row>
    <row r="825" spans="5:6">
      <c r="E825" s="278"/>
      <c r="F825" s="278"/>
    </row>
    <row r="826" spans="5:6">
      <c r="E826" s="278"/>
      <c r="F826" s="278"/>
    </row>
    <row r="827" spans="5:6">
      <c r="E827" s="278"/>
      <c r="F827" s="278"/>
    </row>
    <row r="828" spans="5:6">
      <c r="E828" s="278"/>
      <c r="F828" s="278"/>
    </row>
    <row r="829" spans="5:6">
      <c r="E829" s="278"/>
      <c r="F829" s="278"/>
    </row>
    <row r="830" spans="5:6">
      <c r="E830" s="278"/>
      <c r="F830" s="278"/>
    </row>
    <row r="831" spans="5:6">
      <c r="E831" s="278"/>
      <c r="F831" s="278"/>
    </row>
    <row r="832" spans="5:6">
      <c r="E832" s="278"/>
      <c r="F832" s="278"/>
    </row>
    <row r="833" spans="5:6">
      <c r="E833" s="278"/>
      <c r="F833" s="278"/>
    </row>
    <row r="834" spans="5:6">
      <c r="E834" s="278"/>
      <c r="F834" s="278"/>
    </row>
    <row r="835" spans="5:6">
      <c r="E835" s="278"/>
      <c r="F835" s="278"/>
    </row>
    <row r="836" spans="5:6">
      <c r="E836" s="278"/>
      <c r="F836" s="278"/>
    </row>
    <row r="837" spans="5:6">
      <c r="E837" s="278"/>
      <c r="F837" s="278"/>
    </row>
    <row r="838" spans="5:6">
      <c r="E838" s="278"/>
      <c r="F838" s="278"/>
    </row>
    <row r="839" spans="5:6">
      <c r="E839" s="278"/>
      <c r="F839" s="278"/>
    </row>
    <row r="840" spans="5:6">
      <c r="E840" s="278"/>
      <c r="F840" s="278"/>
    </row>
    <row r="841" spans="5:6">
      <c r="E841" s="278"/>
      <c r="F841" s="278"/>
    </row>
    <row r="842" spans="5:6">
      <c r="E842" s="278"/>
      <c r="F842" s="278"/>
    </row>
    <row r="843" spans="5:6">
      <c r="E843" s="278"/>
      <c r="F843" s="278"/>
    </row>
    <row r="844" spans="5:6">
      <c r="E844" s="278"/>
      <c r="F844" s="278"/>
    </row>
    <row r="845" spans="5:6">
      <c r="E845" s="278"/>
      <c r="F845" s="278"/>
    </row>
    <row r="846" spans="5:6">
      <c r="E846" s="278"/>
      <c r="F846" s="278"/>
    </row>
    <row r="847" spans="5:6">
      <c r="E847" s="278"/>
      <c r="F847" s="278"/>
    </row>
    <row r="848" spans="5:6">
      <c r="E848" s="278"/>
      <c r="F848" s="278"/>
    </row>
    <row r="849" spans="5:6">
      <c r="E849" s="278"/>
      <c r="F849" s="278"/>
    </row>
    <row r="850" spans="5:6">
      <c r="E850" s="278"/>
      <c r="F850" s="278"/>
    </row>
    <row r="851" spans="5:6">
      <c r="E851" s="278"/>
      <c r="F851" s="278"/>
    </row>
    <row r="852" spans="5:6">
      <c r="E852" s="278"/>
      <c r="F852" s="278"/>
    </row>
    <row r="853" spans="5:6">
      <c r="E853" s="278"/>
      <c r="F853" s="278"/>
    </row>
    <row r="854" spans="5:6">
      <c r="E854" s="278"/>
      <c r="F854" s="278"/>
    </row>
    <row r="855" spans="5:6">
      <c r="E855" s="278"/>
      <c r="F855" s="278"/>
    </row>
    <row r="856" spans="5:6">
      <c r="E856" s="278"/>
      <c r="F856" s="278"/>
    </row>
    <row r="857" spans="5:6">
      <c r="E857" s="278"/>
      <c r="F857" s="278"/>
    </row>
    <row r="858" spans="5:6">
      <c r="E858" s="278"/>
      <c r="F858" s="278"/>
    </row>
    <row r="859" spans="5:6">
      <c r="E859" s="278"/>
      <c r="F859" s="278"/>
    </row>
    <row r="860" spans="5:6">
      <c r="E860" s="278"/>
      <c r="F860" s="278"/>
    </row>
    <row r="861" spans="5:6">
      <c r="E861" s="278"/>
      <c r="F861" s="278"/>
    </row>
    <row r="862" spans="5:6">
      <c r="E862" s="278"/>
      <c r="F862" s="278"/>
    </row>
    <row r="863" spans="5:6">
      <c r="E863" s="278"/>
      <c r="F863" s="278"/>
    </row>
    <row r="864" spans="5:6">
      <c r="E864" s="278"/>
      <c r="F864" s="278"/>
    </row>
    <row r="865" spans="5:6">
      <c r="E865" s="278"/>
      <c r="F865" s="278"/>
    </row>
    <row r="866" spans="5:6">
      <c r="E866" s="278"/>
      <c r="F866" s="278"/>
    </row>
    <row r="867" spans="5:6">
      <c r="E867" s="278"/>
      <c r="F867" s="278"/>
    </row>
    <row r="868" spans="5:6">
      <c r="E868" s="278"/>
      <c r="F868" s="278"/>
    </row>
    <row r="869" spans="5:6">
      <c r="E869" s="278"/>
      <c r="F869" s="278"/>
    </row>
    <row r="870" spans="5:6">
      <c r="E870" s="278"/>
      <c r="F870" s="278"/>
    </row>
    <row r="871" spans="5:6">
      <c r="E871" s="278"/>
      <c r="F871" s="278"/>
    </row>
    <row r="872" spans="5:6">
      <c r="E872" s="278"/>
      <c r="F872" s="278"/>
    </row>
    <row r="873" spans="5:6">
      <c r="E873" s="278"/>
      <c r="F873" s="278"/>
    </row>
    <row r="874" spans="5:6">
      <c r="E874" s="278"/>
      <c r="F874" s="278"/>
    </row>
    <row r="875" spans="5:6">
      <c r="E875" s="278"/>
      <c r="F875" s="278"/>
    </row>
    <row r="876" spans="5:6">
      <c r="E876" s="278"/>
      <c r="F876" s="278"/>
    </row>
    <row r="877" spans="5:6">
      <c r="E877" s="278"/>
      <c r="F877" s="278"/>
    </row>
    <row r="878" spans="5:6">
      <c r="E878" s="278"/>
      <c r="F878" s="278"/>
    </row>
    <row r="879" spans="5:6">
      <c r="E879" s="278"/>
      <c r="F879" s="278"/>
    </row>
    <row r="880" spans="5:6">
      <c r="E880" s="278"/>
      <c r="F880" s="278"/>
    </row>
    <row r="881" spans="5:6">
      <c r="E881" s="278"/>
      <c r="F881" s="278"/>
    </row>
    <row r="882" spans="5:6">
      <c r="E882" s="278"/>
      <c r="F882" s="278"/>
    </row>
    <row r="883" spans="5:6">
      <c r="E883" s="278"/>
      <c r="F883" s="278"/>
    </row>
    <row r="884" spans="5:6">
      <c r="E884" s="278"/>
      <c r="F884" s="278"/>
    </row>
    <row r="885" spans="5:6">
      <c r="E885" s="278"/>
      <c r="F885" s="278"/>
    </row>
    <row r="886" spans="5:6">
      <c r="E886" s="278"/>
      <c r="F886" s="278"/>
    </row>
    <row r="887" spans="5:6">
      <c r="E887" s="278"/>
      <c r="F887" s="278"/>
    </row>
    <row r="888" spans="5:6">
      <c r="E888" s="278"/>
      <c r="F888" s="278"/>
    </row>
    <row r="889" spans="5:6">
      <c r="E889" s="278"/>
      <c r="F889" s="278"/>
    </row>
    <row r="890" spans="5:6">
      <c r="E890" s="278"/>
      <c r="F890" s="278"/>
    </row>
    <row r="891" spans="5:6">
      <c r="E891" s="278"/>
      <c r="F891" s="278"/>
    </row>
    <row r="892" spans="5:6">
      <c r="E892" s="278"/>
      <c r="F892" s="278"/>
    </row>
    <row r="893" spans="5:6">
      <c r="E893" s="278"/>
      <c r="F893" s="278"/>
    </row>
    <row r="894" spans="5:6">
      <c r="E894" s="278"/>
      <c r="F894" s="278"/>
    </row>
    <row r="895" spans="5:6">
      <c r="E895" s="278"/>
      <c r="F895" s="278"/>
    </row>
    <row r="896" spans="5:6">
      <c r="E896" s="278"/>
      <c r="F896" s="278"/>
    </row>
    <row r="897" spans="5:6">
      <c r="E897" s="278"/>
      <c r="F897" s="278"/>
    </row>
    <row r="898" spans="5:6">
      <c r="E898" s="278"/>
      <c r="F898" s="278"/>
    </row>
    <row r="899" spans="5:6">
      <c r="E899" s="278"/>
      <c r="F899" s="278"/>
    </row>
    <row r="900" spans="5:6">
      <c r="E900" s="278"/>
      <c r="F900" s="278"/>
    </row>
    <row r="901" spans="5:6">
      <c r="E901" s="278"/>
      <c r="F901" s="278"/>
    </row>
    <row r="902" spans="5:6">
      <c r="E902" s="278"/>
      <c r="F902" s="278"/>
    </row>
    <row r="903" spans="5:6">
      <c r="E903" s="278"/>
      <c r="F903" s="278"/>
    </row>
    <row r="904" spans="5:6">
      <c r="E904" s="278"/>
      <c r="F904" s="278"/>
    </row>
    <row r="905" spans="5:6">
      <c r="E905" s="278"/>
      <c r="F905" s="278"/>
    </row>
    <row r="906" spans="5:6">
      <c r="E906" s="278"/>
      <c r="F906" s="278"/>
    </row>
    <row r="907" spans="5:6">
      <c r="E907" s="278"/>
      <c r="F907" s="278"/>
    </row>
    <row r="908" spans="5:6">
      <c r="E908" s="278"/>
      <c r="F908" s="278"/>
    </row>
    <row r="909" spans="5:6">
      <c r="E909" s="278"/>
      <c r="F909" s="278"/>
    </row>
    <row r="910" spans="5:6">
      <c r="E910" s="278"/>
      <c r="F910" s="278"/>
    </row>
    <row r="911" spans="5:6">
      <c r="E911" s="278"/>
      <c r="F911" s="278"/>
    </row>
    <row r="912" spans="5:6">
      <c r="E912" s="278"/>
      <c r="F912" s="278"/>
    </row>
    <row r="913" spans="5:6">
      <c r="E913" s="278"/>
      <c r="F913" s="278"/>
    </row>
    <row r="914" spans="5:6">
      <c r="E914" s="278"/>
      <c r="F914" s="278"/>
    </row>
    <row r="915" spans="5:6">
      <c r="E915" s="278"/>
      <c r="F915" s="278"/>
    </row>
    <row r="916" spans="5:6">
      <c r="E916" s="278"/>
      <c r="F916" s="278"/>
    </row>
    <row r="917" spans="5:6">
      <c r="E917" s="278"/>
      <c r="F917" s="278"/>
    </row>
    <row r="918" spans="5:6">
      <c r="E918" s="278"/>
      <c r="F918" s="278"/>
    </row>
    <row r="919" spans="5:6">
      <c r="E919" s="278"/>
      <c r="F919" s="278"/>
    </row>
    <row r="920" spans="5:6">
      <c r="E920" s="278"/>
      <c r="F920" s="278"/>
    </row>
    <row r="921" spans="5:6">
      <c r="E921" s="278"/>
      <c r="F921" s="278"/>
    </row>
    <row r="922" spans="5:6">
      <c r="E922" s="278"/>
      <c r="F922" s="278"/>
    </row>
    <row r="923" spans="5:6">
      <c r="E923" s="278"/>
      <c r="F923" s="278"/>
    </row>
    <row r="924" spans="5:6">
      <c r="E924" s="278"/>
      <c r="F924" s="278"/>
    </row>
    <row r="925" spans="5:6">
      <c r="E925" s="278"/>
      <c r="F925" s="278"/>
    </row>
    <row r="926" spans="5:6">
      <c r="E926" s="278"/>
      <c r="F926" s="278"/>
    </row>
    <row r="927" spans="5:6">
      <c r="E927" s="278"/>
      <c r="F927" s="278"/>
    </row>
    <row r="928" spans="5:6">
      <c r="E928" s="278"/>
      <c r="F928" s="278"/>
    </row>
    <row r="929" spans="5:6">
      <c r="E929" s="278"/>
      <c r="F929" s="278"/>
    </row>
    <row r="930" spans="5:6">
      <c r="E930" s="278"/>
      <c r="F930" s="278"/>
    </row>
    <row r="931" spans="5:6">
      <c r="E931" s="278"/>
      <c r="F931" s="278"/>
    </row>
    <row r="932" spans="5:6">
      <c r="E932" s="278"/>
      <c r="F932" s="278"/>
    </row>
    <row r="933" spans="5:6">
      <c r="E933" s="278"/>
      <c r="F933" s="278"/>
    </row>
    <row r="934" spans="5:6">
      <c r="E934" s="278"/>
      <c r="F934" s="278"/>
    </row>
    <row r="935" spans="5:6">
      <c r="E935" s="278"/>
      <c r="F935" s="278"/>
    </row>
    <row r="936" spans="5:6">
      <c r="E936" s="278"/>
      <c r="F936" s="278"/>
    </row>
    <row r="937" spans="5:6">
      <c r="E937" s="278"/>
      <c r="F937" s="278"/>
    </row>
    <row r="938" spans="5:6">
      <c r="E938" s="278"/>
      <c r="F938" s="278"/>
    </row>
    <row r="939" spans="5:6">
      <c r="E939" s="278"/>
      <c r="F939" s="278"/>
    </row>
    <row r="940" spans="5:6">
      <c r="E940" s="278"/>
      <c r="F940" s="278"/>
    </row>
    <row r="941" spans="5:6">
      <c r="E941" s="278"/>
      <c r="F941" s="278"/>
    </row>
    <row r="942" spans="5:6">
      <c r="E942" s="278"/>
      <c r="F942" s="278"/>
    </row>
    <row r="943" spans="5:6">
      <c r="E943" s="278"/>
      <c r="F943" s="278"/>
    </row>
    <row r="944" spans="5:6">
      <c r="E944" s="278"/>
      <c r="F944" s="278"/>
    </row>
    <row r="945" spans="5:6">
      <c r="E945" s="278"/>
      <c r="F945" s="278"/>
    </row>
    <row r="946" spans="5:6">
      <c r="E946" s="278"/>
      <c r="F946" s="278"/>
    </row>
    <row r="947" spans="5:6">
      <c r="E947" s="278"/>
      <c r="F947" s="278"/>
    </row>
    <row r="948" spans="5:6">
      <c r="E948" s="278"/>
      <c r="F948" s="278"/>
    </row>
    <row r="949" spans="5:6">
      <c r="E949" s="278"/>
      <c r="F949" s="278"/>
    </row>
    <row r="950" spans="5:6">
      <c r="E950" s="278"/>
      <c r="F950" s="278"/>
    </row>
    <row r="951" spans="5:6">
      <c r="E951" s="278"/>
      <c r="F951" s="278"/>
    </row>
    <row r="952" spans="5:6">
      <c r="E952" s="278"/>
      <c r="F952" s="278"/>
    </row>
    <row r="953" spans="5:6">
      <c r="E953" s="278"/>
      <c r="F953" s="278"/>
    </row>
    <row r="954" spans="5:6">
      <c r="E954" s="278"/>
      <c r="F954" s="278"/>
    </row>
    <row r="955" spans="5:6">
      <c r="E955" s="278"/>
      <c r="F955" s="278"/>
    </row>
    <row r="956" spans="5:6">
      <c r="E956" s="278"/>
      <c r="F956" s="278"/>
    </row>
    <row r="957" spans="5:6">
      <c r="E957" s="278"/>
      <c r="F957" s="278"/>
    </row>
    <row r="958" spans="5:6">
      <c r="E958" s="278"/>
      <c r="F958" s="278"/>
    </row>
    <row r="959" spans="5:6">
      <c r="E959" s="278"/>
      <c r="F959" s="278"/>
    </row>
    <row r="960" spans="5:6">
      <c r="E960" s="278"/>
      <c r="F960" s="278"/>
    </row>
    <row r="961" spans="5:6">
      <c r="E961" s="278"/>
      <c r="F961" s="278"/>
    </row>
    <row r="962" spans="5:6">
      <c r="E962" s="278"/>
      <c r="F962" s="278"/>
    </row>
    <row r="963" spans="5:6">
      <c r="E963" s="278"/>
      <c r="F963" s="278"/>
    </row>
    <row r="964" spans="5:6">
      <c r="E964" s="278"/>
      <c r="F964" s="278"/>
    </row>
    <row r="965" spans="5:6">
      <c r="E965" s="278"/>
      <c r="F965" s="278"/>
    </row>
    <row r="966" spans="5:6">
      <c r="E966" s="278"/>
      <c r="F966" s="278"/>
    </row>
    <row r="967" spans="5:6">
      <c r="E967" s="278"/>
      <c r="F967" s="278"/>
    </row>
    <row r="968" spans="5:6">
      <c r="E968" s="278"/>
      <c r="F968" s="278"/>
    </row>
    <row r="969" spans="5:6">
      <c r="E969" s="278"/>
      <c r="F969" s="278"/>
    </row>
    <row r="970" spans="5:6">
      <c r="E970" s="278"/>
      <c r="F970" s="278"/>
    </row>
    <row r="971" spans="5:6">
      <c r="E971" s="278"/>
      <c r="F971" s="278"/>
    </row>
    <row r="972" spans="5:6">
      <c r="E972" s="278"/>
      <c r="F972" s="278"/>
    </row>
    <row r="973" spans="5:6">
      <c r="E973" s="278"/>
      <c r="F973" s="278"/>
    </row>
    <row r="974" spans="5:6">
      <c r="E974" s="278"/>
      <c r="F974" s="278"/>
    </row>
    <row r="975" spans="5:6">
      <c r="E975" s="278"/>
      <c r="F975" s="278"/>
    </row>
    <row r="976" spans="5:6">
      <c r="E976" s="278"/>
      <c r="F976" s="278"/>
    </row>
    <row r="977" spans="5:6">
      <c r="E977" s="278"/>
      <c r="F977" s="278"/>
    </row>
    <row r="978" spans="5:6">
      <c r="E978" s="278"/>
      <c r="F978" s="278"/>
    </row>
    <row r="979" spans="5:6">
      <c r="E979" s="278"/>
      <c r="F979" s="278"/>
    </row>
    <row r="980" spans="5:6">
      <c r="E980" s="278"/>
      <c r="F980" s="278"/>
    </row>
    <row r="981" spans="5:6">
      <c r="E981" s="278"/>
      <c r="F981" s="278"/>
    </row>
    <row r="982" spans="5:6">
      <c r="E982" s="278"/>
      <c r="F982" s="278"/>
    </row>
    <row r="983" spans="5:6">
      <c r="E983" s="278"/>
      <c r="F983" s="278"/>
    </row>
    <row r="984" spans="5:6">
      <c r="E984" s="278"/>
      <c r="F984" s="278"/>
    </row>
    <row r="985" spans="5:6">
      <c r="E985" s="278"/>
      <c r="F985" s="278"/>
    </row>
    <row r="986" spans="5:6">
      <c r="E986" s="278"/>
      <c r="F986" s="278"/>
    </row>
    <row r="987" spans="5:6">
      <c r="E987" s="278"/>
      <c r="F987" s="278"/>
    </row>
    <row r="988" spans="5:6">
      <c r="E988" s="278"/>
      <c r="F988" s="278"/>
    </row>
    <row r="989" spans="5:6">
      <c r="E989" s="278"/>
      <c r="F989" s="278"/>
    </row>
    <row r="990" spans="5:6">
      <c r="E990" s="278"/>
      <c r="F990" s="278"/>
    </row>
    <row r="991" spans="5:6">
      <c r="E991" s="278"/>
      <c r="F991" s="278"/>
    </row>
    <row r="992" spans="5:6">
      <c r="E992" s="278"/>
      <c r="F992" s="278"/>
    </row>
    <row r="993" spans="5:6">
      <c r="E993" s="278"/>
      <c r="F993" s="278"/>
    </row>
    <row r="994" spans="5:6">
      <c r="E994" s="278"/>
      <c r="F994" s="278"/>
    </row>
    <row r="995" spans="5:6">
      <c r="E995" s="278"/>
      <c r="F995" s="278"/>
    </row>
    <row r="996" spans="5:6">
      <c r="E996" s="278"/>
      <c r="F996" s="278"/>
    </row>
    <row r="997" spans="5:6">
      <c r="E997" s="278"/>
      <c r="F997" s="278"/>
    </row>
    <row r="998" spans="5:6">
      <c r="E998" s="278"/>
      <c r="F998" s="278"/>
    </row>
    <row r="999" spans="5:6">
      <c r="E999" s="278"/>
      <c r="F999" s="278"/>
    </row>
    <row r="1000" spans="5:6">
      <c r="E1000" s="278"/>
      <c r="F1000" s="278"/>
    </row>
    <row r="1001" spans="5:6">
      <c r="E1001" s="278"/>
      <c r="F1001" s="278"/>
    </row>
    <row r="1002" spans="5:6">
      <c r="E1002" s="278"/>
      <c r="F1002" s="278"/>
    </row>
    <row r="1003" spans="5:6">
      <c r="E1003" s="278"/>
      <c r="F1003" s="278"/>
    </row>
    <row r="1004" spans="5:6">
      <c r="E1004" s="278"/>
      <c r="F1004" s="278"/>
    </row>
    <row r="1005" spans="5:6">
      <c r="E1005" s="278"/>
      <c r="F1005" s="278"/>
    </row>
    <row r="1006" spans="5:6">
      <c r="E1006" s="278"/>
      <c r="F1006" s="278"/>
    </row>
    <row r="1007" spans="5:6">
      <c r="E1007" s="278"/>
      <c r="F1007" s="278"/>
    </row>
    <row r="1008" spans="5:6">
      <c r="E1008" s="278"/>
      <c r="F1008" s="278"/>
    </row>
    <row r="1009" spans="5:6">
      <c r="E1009" s="278"/>
      <c r="F1009" s="278"/>
    </row>
    <row r="1010" spans="5:6">
      <c r="E1010" s="278"/>
      <c r="F1010" s="278"/>
    </row>
    <row r="1011" spans="5:6">
      <c r="E1011" s="278"/>
      <c r="F1011" s="278"/>
    </row>
    <row r="1012" spans="5:6">
      <c r="E1012" s="278"/>
      <c r="F1012" s="278"/>
    </row>
    <row r="1013" spans="5:6">
      <c r="E1013" s="278"/>
      <c r="F1013" s="278"/>
    </row>
    <row r="1014" spans="5:6">
      <c r="E1014" s="278"/>
      <c r="F1014" s="278"/>
    </row>
    <row r="1015" spans="5:6">
      <c r="E1015" s="278"/>
      <c r="F1015" s="278"/>
    </row>
    <row r="1016" spans="5:6">
      <c r="E1016" s="278"/>
      <c r="F1016" s="278"/>
    </row>
    <row r="1017" spans="5:6">
      <c r="E1017" s="278"/>
      <c r="F1017" s="278"/>
    </row>
    <row r="1018" spans="5:6">
      <c r="E1018" s="278"/>
      <c r="F1018" s="278"/>
    </row>
    <row r="1019" spans="5:6">
      <c r="E1019" s="278"/>
      <c r="F1019" s="278"/>
    </row>
    <row r="1020" spans="5:6">
      <c r="E1020" s="278"/>
      <c r="F1020" s="278"/>
    </row>
    <row r="1021" spans="5:6">
      <c r="E1021" s="278"/>
      <c r="F1021" s="278"/>
    </row>
    <row r="1022" spans="5:6">
      <c r="E1022" s="278"/>
      <c r="F1022" s="278"/>
    </row>
    <row r="1023" spans="5:6">
      <c r="E1023" s="278"/>
      <c r="F1023" s="278"/>
    </row>
    <row r="1024" spans="5:6">
      <c r="E1024" s="278"/>
      <c r="F1024" s="278"/>
    </row>
    <row r="1025" spans="5:6">
      <c r="E1025" s="278"/>
      <c r="F1025" s="278"/>
    </row>
    <row r="1026" spans="5:6">
      <c r="E1026" s="278"/>
      <c r="F1026" s="278"/>
    </row>
    <row r="1027" spans="5:6">
      <c r="E1027" s="278"/>
      <c r="F1027" s="278"/>
    </row>
    <row r="1028" spans="5:6">
      <c r="E1028" s="278"/>
      <c r="F1028" s="278"/>
    </row>
    <row r="1029" spans="5:6">
      <c r="E1029" s="278"/>
      <c r="F1029" s="278"/>
    </row>
    <row r="1030" spans="5:6">
      <c r="E1030" s="278"/>
      <c r="F1030" s="278"/>
    </row>
    <row r="1031" spans="5:6">
      <c r="E1031" s="278"/>
      <c r="F1031" s="278"/>
    </row>
    <row r="1032" spans="5:6">
      <c r="E1032" s="278"/>
      <c r="F1032" s="278"/>
    </row>
    <row r="1033" spans="5:6">
      <c r="E1033" s="278"/>
      <c r="F1033" s="278"/>
    </row>
    <row r="1034" spans="5:6">
      <c r="E1034" s="278"/>
      <c r="F1034" s="278"/>
    </row>
    <row r="1035" spans="5:6">
      <c r="E1035" s="278"/>
      <c r="F1035" s="278"/>
    </row>
    <row r="1036" spans="5:6">
      <c r="E1036" s="278"/>
      <c r="F1036" s="278"/>
    </row>
    <row r="1037" spans="5:6">
      <c r="E1037" s="278"/>
      <c r="F1037" s="278"/>
    </row>
    <row r="1038" spans="5:6">
      <c r="E1038" s="278"/>
      <c r="F1038" s="278"/>
    </row>
    <row r="1039" spans="5:6">
      <c r="E1039" s="278"/>
      <c r="F1039" s="278"/>
    </row>
    <row r="1040" spans="5:6">
      <c r="E1040" s="278"/>
      <c r="F1040" s="278"/>
    </row>
    <row r="1041" spans="5:6">
      <c r="E1041" s="278"/>
      <c r="F1041" s="278"/>
    </row>
    <row r="1042" spans="5:6">
      <c r="E1042" s="278"/>
      <c r="F1042" s="278"/>
    </row>
    <row r="1043" spans="5:6">
      <c r="E1043" s="278"/>
      <c r="F1043" s="278"/>
    </row>
    <row r="1044" spans="5:6">
      <c r="E1044" s="278"/>
      <c r="F1044" s="278"/>
    </row>
    <row r="1045" spans="5:6">
      <c r="E1045" s="278"/>
      <c r="F1045" s="278"/>
    </row>
    <row r="1046" spans="5:6">
      <c r="E1046" s="278"/>
      <c r="F1046" s="278"/>
    </row>
    <row r="1047" spans="5:6">
      <c r="E1047" s="278"/>
      <c r="F1047" s="278"/>
    </row>
    <row r="1048" spans="5:6">
      <c r="E1048" s="278"/>
      <c r="F1048" s="278"/>
    </row>
    <row r="1049" spans="5:6">
      <c r="E1049" s="278"/>
      <c r="F1049" s="278"/>
    </row>
    <row r="1050" spans="5:6">
      <c r="E1050" s="278"/>
      <c r="F1050" s="278"/>
    </row>
    <row r="1051" spans="5:6">
      <c r="E1051" s="278"/>
      <c r="F1051" s="278"/>
    </row>
    <row r="1052" spans="5:6">
      <c r="E1052" s="278"/>
      <c r="F1052" s="278"/>
    </row>
    <row r="1053" spans="5:6">
      <c r="E1053" s="278"/>
      <c r="F1053" s="278"/>
    </row>
    <row r="1054" spans="5:6">
      <c r="E1054" s="278"/>
      <c r="F1054" s="278"/>
    </row>
    <row r="1055" spans="5:6">
      <c r="E1055" s="278"/>
      <c r="F1055" s="278"/>
    </row>
    <row r="1056" spans="5:6">
      <c r="E1056" s="278"/>
      <c r="F1056" s="278"/>
    </row>
    <row r="1057" spans="5:6">
      <c r="E1057" s="278"/>
      <c r="F1057" s="278"/>
    </row>
    <row r="1058" spans="5:6">
      <c r="E1058" s="278"/>
      <c r="F1058" s="278"/>
    </row>
    <row r="1059" spans="5:6">
      <c r="E1059" s="278"/>
      <c r="F1059" s="278"/>
    </row>
    <row r="1060" spans="5:6">
      <c r="E1060" s="278"/>
      <c r="F1060" s="278"/>
    </row>
    <row r="1061" spans="5:6">
      <c r="E1061" s="278"/>
      <c r="F1061" s="278"/>
    </row>
    <row r="1062" spans="5:6">
      <c r="E1062" s="278"/>
      <c r="F1062" s="278"/>
    </row>
    <row r="1063" spans="5:6">
      <c r="E1063" s="278"/>
      <c r="F1063" s="278"/>
    </row>
    <row r="1064" spans="5:6">
      <c r="E1064" s="278"/>
      <c r="F1064" s="278"/>
    </row>
    <row r="1065" spans="5:6">
      <c r="E1065" s="278"/>
      <c r="F1065" s="278"/>
    </row>
    <row r="1066" spans="5:6">
      <c r="E1066" s="278"/>
      <c r="F1066" s="278"/>
    </row>
    <row r="1067" spans="5:6">
      <c r="E1067" s="278"/>
      <c r="F1067" s="278"/>
    </row>
    <row r="1068" spans="5:6">
      <c r="E1068" s="278"/>
      <c r="F1068" s="278"/>
    </row>
    <row r="1069" spans="5:6">
      <c r="E1069" s="278"/>
      <c r="F1069" s="278"/>
    </row>
    <row r="1070" spans="5:6">
      <c r="E1070" s="278"/>
      <c r="F1070" s="278"/>
    </row>
    <row r="1071" spans="5:6">
      <c r="E1071" s="278"/>
      <c r="F1071" s="278"/>
    </row>
    <row r="1072" spans="5:6">
      <c r="E1072" s="278"/>
      <c r="F1072" s="278"/>
    </row>
    <row r="1073" spans="5:6">
      <c r="E1073" s="278"/>
      <c r="F1073" s="278"/>
    </row>
    <row r="1074" spans="5:6">
      <c r="E1074" s="278"/>
      <c r="F1074" s="278"/>
    </row>
    <row r="1075" spans="5:6">
      <c r="E1075" s="278"/>
      <c r="F1075" s="278"/>
    </row>
    <row r="1076" spans="5:6">
      <c r="E1076" s="278"/>
      <c r="F1076" s="278"/>
    </row>
    <row r="1077" spans="5:6">
      <c r="E1077" s="278"/>
      <c r="F1077" s="278"/>
    </row>
    <row r="1078" spans="5:6">
      <c r="E1078" s="278"/>
      <c r="F1078" s="278"/>
    </row>
    <row r="1079" spans="5:6">
      <c r="E1079" s="278"/>
      <c r="F1079" s="278"/>
    </row>
    <row r="1080" spans="5:6">
      <c r="E1080" s="278"/>
      <c r="F1080" s="278"/>
    </row>
    <row r="1081" spans="5:6">
      <c r="E1081" s="278"/>
      <c r="F1081" s="278"/>
    </row>
    <row r="1082" spans="5:6">
      <c r="E1082" s="278"/>
      <c r="F1082" s="278"/>
    </row>
    <row r="1083" spans="5:6">
      <c r="E1083" s="278"/>
      <c r="F1083" s="278"/>
    </row>
    <row r="1084" spans="5:6">
      <c r="E1084" s="278"/>
      <c r="F1084" s="278"/>
    </row>
    <row r="1085" spans="5:6">
      <c r="E1085" s="278"/>
      <c r="F1085" s="278"/>
    </row>
    <row r="1086" spans="5:6">
      <c r="E1086" s="278"/>
      <c r="F1086" s="278"/>
    </row>
    <row r="1087" spans="5:6">
      <c r="E1087" s="278"/>
      <c r="F1087" s="278"/>
    </row>
    <row r="1088" spans="5:6">
      <c r="E1088" s="278"/>
      <c r="F1088" s="278"/>
    </row>
    <row r="1089" spans="5:6">
      <c r="E1089" s="278"/>
      <c r="F1089" s="278"/>
    </row>
    <row r="1090" spans="5:6">
      <c r="E1090" s="278"/>
      <c r="F1090" s="278"/>
    </row>
    <row r="1091" spans="5:6">
      <c r="E1091" s="278"/>
      <c r="F1091" s="278"/>
    </row>
    <row r="1092" spans="5:6">
      <c r="E1092" s="278"/>
      <c r="F1092" s="278"/>
    </row>
    <row r="1093" spans="5:6">
      <c r="E1093" s="278"/>
      <c r="F1093" s="278"/>
    </row>
    <row r="1094" spans="5:6">
      <c r="E1094" s="278"/>
      <c r="F1094" s="278"/>
    </row>
    <row r="1095" spans="5:6">
      <c r="E1095" s="278"/>
      <c r="F1095" s="278"/>
    </row>
    <row r="1096" spans="5:6">
      <c r="E1096" s="278"/>
      <c r="F1096" s="278"/>
    </row>
    <row r="1097" spans="5:6">
      <c r="E1097" s="278"/>
      <c r="F1097" s="278"/>
    </row>
    <row r="1098" spans="5:6">
      <c r="E1098" s="278"/>
      <c r="F1098" s="278"/>
    </row>
    <row r="1099" spans="5:6">
      <c r="E1099" s="278"/>
      <c r="F1099" s="278"/>
    </row>
    <row r="1100" spans="5:6">
      <c r="E1100" s="278"/>
      <c r="F1100" s="278"/>
    </row>
    <row r="1101" spans="5:6">
      <c r="E1101" s="278"/>
      <c r="F1101" s="278"/>
    </row>
    <row r="1102" spans="5:6">
      <c r="E1102" s="278"/>
      <c r="F1102" s="278"/>
    </row>
    <row r="1103" spans="5:6">
      <c r="E1103" s="278"/>
      <c r="F1103" s="278"/>
    </row>
    <row r="1104" spans="5:6">
      <c r="E1104" s="278"/>
      <c r="F1104" s="278"/>
    </row>
    <row r="1105" spans="5:6">
      <c r="E1105" s="278"/>
      <c r="F1105" s="278"/>
    </row>
    <row r="1106" spans="5:6">
      <c r="E1106" s="278"/>
      <c r="F1106" s="278"/>
    </row>
    <row r="1107" spans="5:6">
      <c r="E1107" s="278"/>
      <c r="F1107" s="278"/>
    </row>
    <row r="1108" spans="5:6">
      <c r="E1108" s="278"/>
      <c r="F1108" s="278"/>
    </row>
    <row r="1109" spans="5:6">
      <c r="E1109" s="278"/>
      <c r="F1109" s="278"/>
    </row>
    <row r="1110" spans="5:6">
      <c r="E1110" s="278"/>
      <c r="F1110" s="278"/>
    </row>
    <row r="1111" spans="5:6">
      <c r="E1111" s="278"/>
      <c r="F1111" s="278"/>
    </row>
    <row r="1112" spans="5:6">
      <c r="E1112" s="278"/>
      <c r="F1112" s="278"/>
    </row>
    <row r="1113" spans="5:6">
      <c r="E1113" s="278"/>
      <c r="F1113" s="278"/>
    </row>
    <row r="1114" spans="5:6">
      <c r="E1114" s="278"/>
      <c r="F1114" s="278"/>
    </row>
    <row r="1115" spans="5:6">
      <c r="E1115" s="278"/>
      <c r="F1115" s="278"/>
    </row>
    <row r="1116" spans="5:6">
      <c r="E1116" s="278"/>
      <c r="F1116" s="278"/>
    </row>
    <row r="1117" spans="5:6">
      <c r="E1117" s="278"/>
      <c r="F1117" s="278"/>
    </row>
    <row r="1118" spans="5:6">
      <c r="E1118" s="278"/>
      <c r="F1118" s="278"/>
    </row>
    <row r="1119" spans="5:6">
      <c r="E1119" s="278"/>
      <c r="F1119" s="278"/>
    </row>
    <row r="1120" spans="5:6">
      <c r="E1120" s="278"/>
      <c r="F1120" s="278"/>
    </row>
    <row r="1121" spans="5:6">
      <c r="E1121" s="278"/>
      <c r="F1121" s="278"/>
    </row>
    <row r="1122" spans="5:6">
      <c r="E1122" s="278"/>
      <c r="F1122" s="278"/>
    </row>
    <row r="1123" spans="5:6">
      <c r="E1123" s="278"/>
      <c r="F1123" s="278"/>
    </row>
    <row r="1124" spans="5:6">
      <c r="E1124" s="278"/>
      <c r="F1124" s="278"/>
    </row>
    <row r="1125" spans="5:6">
      <c r="E1125" s="278"/>
      <c r="F1125" s="278"/>
    </row>
    <row r="1126" spans="5:6">
      <c r="E1126" s="278"/>
      <c r="F1126" s="278"/>
    </row>
    <row r="1127" spans="5:6">
      <c r="E1127" s="278"/>
      <c r="F1127" s="278"/>
    </row>
  </sheetData>
  <sheetProtection algorithmName="SHA-512" hashValue="dtFHrk3/FZYKbGkHF7/lOpPfQFhuuWiuuuHd/6tGksUkCnCYuQFsPfvbTLHIE76XDkDCfMZ6v0RhF8jZJHGYsA==" saltValue="WtC3kG/8rZGBcN3aWxt+8A==" spinCount="100000" sheet="1" objects="1" scenarios="1"/>
  <mergeCells count="173">
    <mergeCell ref="AB43:AB74"/>
    <mergeCell ref="V49:V50"/>
    <mergeCell ref="W49:W50"/>
    <mergeCell ref="X49:X50"/>
    <mergeCell ref="V43:V44"/>
    <mergeCell ref="W43:W44"/>
    <mergeCell ref="X43:X44"/>
    <mergeCell ref="V73:V74"/>
    <mergeCell ref="W73:W74"/>
    <mergeCell ref="X73:X74"/>
    <mergeCell ref="Y43:Y44"/>
    <mergeCell ref="V45:V46"/>
    <mergeCell ref="W45:W46"/>
    <mergeCell ref="X45:X46"/>
    <mergeCell ref="AA73:AA74"/>
    <mergeCell ref="Y49:Y50"/>
    <mergeCell ref="Y45:Y46"/>
    <mergeCell ref="Z45:Z46"/>
    <mergeCell ref="Z49:Z50"/>
    <mergeCell ref="C45:C46"/>
    <mergeCell ref="T45:T46"/>
    <mergeCell ref="U45:U46"/>
    <mergeCell ref="U43:U44"/>
    <mergeCell ref="T53:T58"/>
    <mergeCell ref="T60:T63"/>
    <mergeCell ref="B30:B32"/>
    <mergeCell ref="C30:C32"/>
    <mergeCell ref="U69:AA72"/>
    <mergeCell ref="AA30:AA32"/>
    <mergeCell ref="AA43:AA44"/>
    <mergeCell ref="U53:U63"/>
    <mergeCell ref="V53:V63"/>
    <mergeCell ref="Y53:Y63"/>
    <mergeCell ref="Z53:Z63"/>
    <mergeCell ref="AA53:AA63"/>
    <mergeCell ref="B90:D90"/>
    <mergeCell ref="B79:D79"/>
    <mergeCell ref="A78:D78"/>
    <mergeCell ref="B82:D82"/>
    <mergeCell ref="B80:D80"/>
    <mergeCell ref="B89:D89"/>
    <mergeCell ref="A69:A72"/>
    <mergeCell ref="B69:B72"/>
    <mergeCell ref="C69:C72"/>
    <mergeCell ref="A76:A77"/>
    <mergeCell ref="B76:B77"/>
    <mergeCell ref="C76:C77"/>
    <mergeCell ref="B83:D83"/>
    <mergeCell ref="A73:A74"/>
    <mergeCell ref="B73:B74"/>
    <mergeCell ref="A53:A58"/>
    <mergeCell ref="U30:U32"/>
    <mergeCell ref="F11:F12"/>
    <mergeCell ref="S11:S12"/>
    <mergeCell ref="I11:I12"/>
    <mergeCell ref="J11:J12"/>
    <mergeCell ref="V30:V32"/>
    <mergeCell ref="A11:A12"/>
    <mergeCell ref="B11:B12"/>
    <mergeCell ref="A49:A50"/>
    <mergeCell ref="B49:B50"/>
    <mergeCell ref="B60:B63"/>
    <mergeCell ref="C49:C50"/>
    <mergeCell ref="A19:A20"/>
    <mergeCell ref="B19:B20"/>
    <mergeCell ref="B14:B18"/>
    <mergeCell ref="G11:G12"/>
    <mergeCell ref="B45:B46"/>
    <mergeCell ref="B43:B44"/>
    <mergeCell ref="C43:C44"/>
    <mergeCell ref="S30:S32"/>
    <mergeCell ref="S43:S74"/>
    <mergeCell ref="B53:B58"/>
    <mergeCell ref="T49:T50"/>
    <mergeCell ref="U49:U50"/>
    <mergeCell ref="B86:D86"/>
    <mergeCell ref="B87:D87"/>
    <mergeCell ref="B88:D88"/>
    <mergeCell ref="B81:D81"/>
    <mergeCell ref="B84:D84"/>
    <mergeCell ref="B85:D85"/>
    <mergeCell ref="T69:T72"/>
    <mergeCell ref="AB76:AB77"/>
    <mergeCell ref="W1:AB1"/>
    <mergeCell ref="AB11:AB12"/>
    <mergeCell ref="T11:T12"/>
    <mergeCell ref="U11:U12"/>
    <mergeCell ref="V11:V12"/>
    <mergeCell ref="U14:U18"/>
    <mergeCell ref="V14:V18"/>
    <mergeCell ref="W14:W18"/>
    <mergeCell ref="Y30:Y32"/>
    <mergeCell ref="X30:X32"/>
    <mergeCell ref="Z73:Z74"/>
    <mergeCell ref="Y73:Y74"/>
    <mergeCell ref="X76:X77"/>
    <mergeCell ref="Y76:Y77"/>
    <mergeCell ref="Z76:Z77"/>
    <mergeCell ref="W30:W32"/>
    <mergeCell ref="Z30:Z32"/>
    <mergeCell ref="Z43:Z44"/>
    <mergeCell ref="AA45:AA46"/>
    <mergeCell ref="AA49:AA50"/>
    <mergeCell ref="AB14:AB18"/>
    <mergeCell ref="AB30:AB32"/>
    <mergeCell ref="T73:T74"/>
    <mergeCell ref="A1:L1"/>
    <mergeCell ref="A8:E8"/>
    <mergeCell ref="H11:H12"/>
    <mergeCell ref="A2:AB2"/>
    <mergeCell ref="A9:T9"/>
    <mergeCell ref="A10:AB10"/>
    <mergeCell ref="C11:C12"/>
    <mergeCell ref="B5:T5"/>
    <mergeCell ref="B6:T6"/>
    <mergeCell ref="M11:M12"/>
    <mergeCell ref="P11:P12"/>
    <mergeCell ref="Q11:Q12"/>
    <mergeCell ref="R11:R12"/>
    <mergeCell ref="W11:AA11"/>
    <mergeCell ref="N11:N12"/>
    <mergeCell ref="B4:T4"/>
    <mergeCell ref="O11:O12"/>
    <mergeCell ref="K11:K12"/>
    <mergeCell ref="L11:L12"/>
    <mergeCell ref="D11:D12"/>
    <mergeCell ref="E11:E12"/>
    <mergeCell ref="A45:A46"/>
    <mergeCell ref="Y14:Y18"/>
    <mergeCell ref="A14:A18"/>
    <mergeCell ref="A43:A44"/>
    <mergeCell ref="Y51:Y52"/>
    <mergeCell ref="AA76:AA77"/>
    <mergeCell ref="C14:C18"/>
    <mergeCell ref="T14:T18"/>
    <mergeCell ref="T43:T44"/>
    <mergeCell ref="X14:X18"/>
    <mergeCell ref="C60:C63"/>
    <mergeCell ref="S76:S77"/>
    <mergeCell ref="T76:T77"/>
    <mergeCell ref="U76:U77"/>
    <mergeCell ref="V76:V77"/>
    <mergeCell ref="W76:W77"/>
    <mergeCell ref="T64:T68"/>
    <mergeCell ref="T30:T32"/>
    <mergeCell ref="Z51:Z52"/>
    <mergeCell ref="AA51:AA52"/>
    <mergeCell ref="U64:AA68"/>
    <mergeCell ref="C73:C74"/>
    <mergeCell ref="A23:A24"/>
    <mergeCell ref="B23:B24"/>
    <mergeCell ref="S14:S18"/>
    <mergeCell ref="AA14:AA18"/>
    <mergeCell ref="L102:L104"/>
    <mergeCell ref="A51:A52"/>
    <mergeCell ref="B51:B52"/>
    <mergeCell ref="C51:C52"/>
    <mergeCell ref="T51:T52"/>
    <mergeCell ref="U51:U52"/>
    <mergeCell ref="V51:V52"/>
    <mergeCell ref="W51:W52"/>
    <mergeCell ref="X51:X52"/>
    <mergeCell ref="A60:A63"/>
    <mergeCell ref="A64:A68"/>
    <mergeCell ref="B64:B68"/>
    <mergeCell ref="C64:C68"/>
    <mergeCell ref="B91:D91"/>
    <mergeCell ref="Z14:Z18"/>
    <mergeCell ref="B21:B22"/>
    <mergeCell ref="A30:A32"/>
    <mergeCell ref="A94:C94"/>
    <mergeCell ref="U73:U74"/>
    <mergeCell ref="C53:C58"/>
  </mergeCells>
  <conditionalFormatting sqref="E11:G11 S13 G12 H11:H12 S11:T11 K11:L12">
    <cfRule type="dataBar" priority="13">
      <dataBar>
        <cfvo type="min"/>
        <cfvo type="max"/>
        <color rgb="FF638EC6"/>
      </dataBar>
      <extLst>
        <ext xmlns:x14="http://schemas.microsoft.com/office/spreadsheetml/2009/9/main" uri="{B025F937-C7B1-47D3-B67F-A62EFF666E3E}">
          <x14:id>{623EC25E-24C5-413C-ACA5-BDA91C468272}</x14:id>
        </ext>
      </extLst>
    </cfRule>
  </conditionalFormatting>
  <conditionalFormatting sqref="I11:J11">
    <cfRule type="dataBar" priority="12">
      <dataBar>
        <cfvo type="min"/>
        <cfvo type="max"/>
        <color rgb="FF638EC6"/>
      </dataBar>
      <extLst>
        <ext xmlns:x14="http://schemas.microsoft.com/office/spreadsheetml/2009/9/main" uri="{B025F937-C7B1-47D3-B67F-A62EFF666E3E}">
          <x14:id>{5E814624-33B8-454B-83FE-58A571E59BAC}</x14:id>
        </ext>
      </extLst>
    </cfRule>
  </conditionalFormatting>
  <conditionalFormatting sqref="J12">
    <cfRule type="dataBar" priority="11">
      <dataBar>
        <cfvo type="min"/>
        <cfvo type="max"/>
        <color rgb="FF638EC6"/>
      </dataBar>
      <extLst>
        <ext xmlns:x14="http://schemas.microsoft.com/office/spreadsheetml/2009/9/main" uri="{B025F937-C7B1-47D3-B67F-A62EFF666E3E}">
          <x14:id>{50FE46B7-0616-4D77-AD91-CBDD0ACEB24A}</x14:id>
        </ext>
      </extLst>
    </cfRule>
  </conditionalFormatting>
  <conditionalFormatting sqref="M12">
    <cfRule type="dataBar" priority="7">
      <dataBar>
        <cfvo type="min"/>
        <cfvo type="max"/>
        <color rgb="FF638EC6"/>
      </dataBar>
      <extLst>
        <ext xmlns:x14="http://schemas.microsoft.com/office/spreadsheetml/2009/9/main" uri="{B025F937-C7B1-47D3-B67F-A62EFF666E3E}">
          <x14:id>{18925A30-6797-4092-9E9E-8DB80C6BA80C}</x14:id>
        </ext>
      </extLst>
    </cfRule>
  </conditionalFormatting>
  <conditionalFormatting sqref="M11:N11">
    <cfRule type="dataBar" priority="8">
      <dataBar>
        <cfvo type="min"/>
        <cfvo type="max"/>
        <color rgb="FF638EC6"/>
      </dataBar>
      <extLst>
        <ext xmlns:x14="http://schemas.microsoft.com/office/spreadsheetml/2009/9/main" uri="{B025F937-C7B1-47D3-B67F-A62EFF666E3E}">
          <x14:id>{9609423E-0C52-48B4-8705-F1F00271C7E9}</x14:id>
        </ext>
      </extLst>
    </cfRule>
  </conditionalFormatting>
  <conditionalFormatting sqref="O11">
    <cfRule type="dataBar" priority="10">
      <dataBar>
        <cfvo type="min"/>
        <cfvo type="max"/>
        <color rgb="FF638EC6"/>
      </dataBar>
      <extLst>
        <ext xmlns:x14="http://schemas.microsoft.com/office/spreadsheetml/2009/9/main" uri="{B025F937-C7B1-47D3-B67F-A62EFF666E3E}">
          <x14:id>{EDE6A819-4050-466F-8CAD-BD81CC1772DA}</x14:id>
        </ext>
      </extLst>
    </cfRule>
  </conditionalFormatting>
  <conditionalFormatting sqref="O12">
    <cfRule type="dataBar" priority="9">
      <dataBar>
        <cfvo type="min"/>
        <cfvo type="max"/>
        <color rgb="FF638EC6"/>
      </dataBar>
      <extLst>
        <ext xmlns:x14="http://schemas.microsoft.com/office/spreadsheetml/2009/9/main" uri="{B025F937-C7B1-47D3-B67F-A62EFF666E3E}">
          <x14:id>{88D21044-1A44-4296-AAEB-69F67E1416EB}</x14:id>
        </ext>
      </extLst>
    </cfRule>
  </conditionalFormatting>
  <conditionalFormatting sqref="P11">
    <cfRule type="dataBar" priority="6">
      <dataBar>
        <cfvo type="min"/>
        <cfvo type="max"/>
        <color rgb="FF638EC6"/>
      </dataBar>
      <extLst>
        <ext xmlns:x14="http://schemas.microsoft.com/office/spreadsheetml/2009/9/main" uri="{B025F937-C7B1-47D3-B67F-A62EFF666E3E}">
          <x14:id>{AF29BD2D-CE2A-44CE-97B3-704ADE6A96B6}</x14:id>
        </ext>
      </extLst>
    </cfRule>
  </conditionalFormatting>
  <conditionalFormatting sqref="P12">
    <cfRule type="dataBar" priority="5">
      <dataBar>
        <cfvo type="min"/>
        <cfvo type="max"/>
        <color rgb="FF638EC6"/>
      </dataBar>
      <extLst>
        <ext xmlns:x14="http://schemas.microsoft.com/office/spreadsheetml/2009/9/main" uri="{B025F937-C7B1-47D3-B67F-A62EFF666E3E}">
          <x14:id>{168F38B8-1A12-49EF-BB17-911625E46309}</x14:id>
        </ext>
      </extLst>
    </cfRule>
  </conditionalFormatting>
  <conditionalFormatting sqref="Q11">
    <cfRule type="dataBar" priority="4">
      <dataBar>
        <cfvo type="min"/>
        <cfvo type="max"/>
        <color rgb="FF638EC6"/>
      </dataBar>
      <extLst>
        <ext xmlns:x14="http://schemas.microsoft.com/office/spreadsheetml/2009/9/main" uri="{B025F937-C7B1-47D3-B67F-A62EFF666E3E}">
          <x14:id>{67601DFC-6AFE-455D-ACF2-912F64F42D76}</x14:id>
        </ext>
      </extLst>
    </cfRule>
  </conditionalFormatting>
  <conditionalFormatting sqref="Q12">
    <cfRule type="dataBar" priority="3">
      <dataBar>
        <cfvo type="min"/>
        <cfvo type="max"/>
        <color rgb="FF638EC6"/>
      </dataBar>
      <extLst>
        <ext xmlns:x14="http://schemas.microsoft.com/office/spreadsheetml/2009/9/main" uri="{B025F937-C7B1-47D3-B67F-A62EFF666E3E}">
          <x14:id>{E8D3B1A2-633C-434C-B919-B992B553BD15}</x14:id>
        </ext>
      </extLst>
    </cfRule>
  </conditionalFormatting>
  <conditionalFormatting sqref="R11">
    <cfRule type="dataBar" priority="2">
      <dataBar>
        <cfvo type="min"/>
        <cfvo type="max"/>
        <color rgb="FF638EC6"/>
      </dataBar>
      <extLst>
        <ext xmlns:x14="http://schemas.microsoft.com/office/spreadsheetml/2009/9/main" uri="{B025F937-C7B1-47D3-B67F-A62EFF666E3E}">
          <x14:id>{BC8C1268-E3C7-459B-BF77-4C7CF0DAA8D8}</x14:id>
        </ext>
      </extLst>
    </cfRule>
  </conditionalFormatting>
  <conditionalFormatting sqref="R12">
    <cfRule type="dataBar" priority="1">
      <dataBar>
        <cfvo type="min"/>
        <cfvo type="max"/>
        <color rgb="FF638EC6"/>
      </dataBar>
      <extLst>
        <ext xmlns:x14="http://schemas.microsoft.com/office/spreadsheetml/2009/9/main" uri="{B025F937-C7B1-47D3-B67F-A62EFF666E3E}">
          <x14:id>{666DB618-0F2F-4C8D-AAFF-CFE6519B893F}</x14:id>
        </ext>
      </extLst>
    </cfRule>
  </conditionalFormatting>
  <pageMargins left="0.70866141732283472" right="0.70866141732283472" top="0.74803149606299213" bottom="0.74803149606299213" header="0.31496062992125984" footer="0.31496062992125984"/>
  <pageSetup paperSize="8" scale="62" fitToHeight="0" pageOrder="overThenDown" orientation="landscape" r:id="rId1"/>
  <extLst>
    <ext xmlns:x14="http://schemas.microsoft.com/office/spreadsheetml/2009/9/main" uri="{78C0D931-6437-407d-A8EE-F0AAD7539E65}">
      <x14:conditionalFormattings>
        <x14:conditionalFormatting xmlns:xm="http://schemas.microsoft.com/office/excel/2006/main">
          <x14:cfRule type="dataBar" id="{623EC25E-24C5-413C-ACA5-BDA91C468272}">
            <x14:dataBar minLength="0" maxLength="100" border="1" negativeBarBorderColorSameAsPositive="0">
              <x14:cfvo type="autoMin"/>
              <x14:cfvo type="autoMax"/>
              <x14:borderColor rgb="FF638EC6"/>
              <x14:negativeFillColor rgb="FFFF0000"/>
              <x14:negativeBorderColor rgb="FFFF0000"/>
              <x14:axisColor rgb="FF000000"/>
            </x14:dataBar>
          </x14:cfRule>
          <xm:sqref>E11:G11 S13 G12 H11:H12 S11:T11 K11:L12</xm:sqref>
        </x14:conditionalFormatting>
        <x14:conditionalFormatting xmlns:xm="http://schemas.microsoft.com/office/excel/2006/main">
          <x14:cfRule type="dataBar" id="{5E814624-33B8-454B-83FE-58A571E59BAC}">
            <x14:dataBar minLength="0" maxLength="100" border="1" negativeBarBorderColorSameAsPositive="0">
              <x14:cfvo type="autoMin"/>
              <x14:cfvo type="autoMax"/>
              <x14:borderColor rgb="FF638EC6"/>
              <x14:negativeFillColor rgb="FFFF0000"/>
              <x14:negativeBorderColor rgb="FFFF0000"/>
              <x14:axisColor rgb="FF000000"/>
            </x14:dataBar>
          </x14:cfRule>
          <xm:sqref>I11:J11</xm:sqref>
        </x14:conditionalFormatting>
        <x14:conditionalFormatting xmlns:xm="http://schemas.microsoft.com/office/excel/2006/main">
          <x14:cfRule type="dataBar" id="{50FE46B7-0616-4D77-AD91-CBDD0ACEB24A}">
            <x14:dataBar minLength="0" maxLength="100" border="1" negativeBarBorderColorSameAsPositive="0">
              <x14:cfvo type="autoMin"/>
              <x14:cfvo type="autoMax"/>
              <x14:borderColor rgb="FF638EC6"/>
              <x14:negativeFillColor rgb="FFFF0000"/>
              <x14:negativeBorderColor rgb="FFFF0000"/>
              <x14:axisColor rgb="FF000000"/>
            </x14:dataBar>
          </x14:cfRule>
          <xm:sqref>J12</xm:sqref>
        </x14:conditionalFormatting>
        <x14:conditionalFormatting xmlns:xm="http://schemas.microsoft.com/office/excel/2006/main">
          <x14:cfRule type="dataBar" id="{18925A30-6797-4092-9E9E-8DB80C6BA80C}">
            <x14:dataBar minLength="0" maxLength="100" border="1" negativeBarBorderColorSameAsPositive="0">
              <x14:cfvo type="autoMin"/>
              <x14:cfvo type="autoMax"/>
              <x14:borderColor rgb="FF638EC6"/>
              <x14:negativeFillColor rgb="FFFF0000"/>
              <x14:negativeBorderColor rgb="FFFF0000"/>
              <x14:axisColor rgb="FF000000"/>
            </x14:dataBar>
          </x14:cfRule>
          <xm:sqref>M12</xm:sqref>
        </x14:conditionalFormatting>
        <x14:conditionalFormatting xmlns:xm="http://schemas.microsoft.com/office/excel/2006/main">
          <x14:cfRule type="dataBar" id="{9609423E-0C52-48B4-8705-F1F00271C7E9}">
            <x14:dataBar minLength="0" maxLength="100" border="1" negativeBarBorderColorSameAsPositive="0">
              <x14:cfvo type="autoMin"/>
              <x14:cfvo type="autoMax"/>
              <x14:borderColor rgb="FF638EC6"/>
              <x14:negativeFillColor rgb="FFFF0000"/>
              <x14:negativeBorderColor rgb="FFFF0000"/>
              <x14:axisColor rgb="FF000000"/>
            </x14:dataBar>
          </x14:cfRule>
          <xm:sqref>M11:N11</xm:sqref>
        </x14:conditionalFormatting>
        <x14:conditionalFormatting xmlns:xm="http://schemas.microsoft.com/office/excel/2006/main">
          <x14:cfRule type="dataBar" id="{EDE6A819-4050-466F-8CAD-BD81CC1772DA}">
            <x14:dataBar minLength="0" maxLength="100" border="1" negativeBarBorderColorSameAsPositive="0">
              <x14:cfvo type="autoMin"/>
              <x14:cfvo type="autoMax"/>
              <x14:borderColor rgb="FF638EC6"/>
              <x14:negativeFillColor rgb="FFFF0000"/>
              <x14:negativeBorderColor rgb="FFFF0000"/>
              <x14:axisColor rgb="FF000000"/>
            </x14:dataBar>
          </x14:cfRule>
          <xm:sqref>O11</xm:sqref>
        </x14:conditionalFormatting>
        <x14:conditionalFormatting xmlns:xm="http://schemas.microsoft.com/office/excel/2006/main">
          <x14:cfRule type="dataBar" id="{88D21044-1A44-4296-AAEB-69F67E1416EB}">
            <x14:dataBar minLength="0" maxLength="100" border="1" negativeBarBorderColorSameAsPositive="0">
              <x14:cfvo type="autoMin"/>
              <x14:cfvo type="autoMax"/>
              <x14:borderColor rgb="FF638EC6"/>
              <x14:negativeFillColor rgb="FFFF0000"/>
              <x14:negativeBorderColor rgb="FFFF0000"/>
              <x14:axisColor rgb="FF000000"/>
            </x14:dataBar>
          </x14:cfRule>
          <xm:sqref>O12</xm:sqref>
        </x14:conditionalFormatting>
        <x14:conditionalFormatting xmlns:xm="http://schemas.microsoft.com/office/excel/2006/main">
          <x14:cfRule type="dataBar" id="{AF29BD2D-CE2A-44CE-97B3-704ADE6A96B6}">
            <x14:dataBar minLength="0" maxLength="100" border="1" negativeBarBorderColorSameAsPositive="0">
              <x14:cfvo type="autoMin"/>
              <x14:cfvo type="autoMax"/>
              <x14:borderColor rgb="FF638EC6"/>
              <x14:negativeFillColor rgb="FFFF0000"/>
              <x14:negativeBorderColor rgb="FFFF0000"/>
              <x14:axisColor rgb="FF000000"/>
            </x14:dataBar>
          </x14:cfRule>
          <xm:sqref>P11</xm:sqref>
        </x14:conditionalFormatting>
        <x14:conditionalFormatting xmlns:xm="http://schemas.microsoft.com/office/excel/2006/main">
          <x14:cfRule type="dataBar" id="{168F38B8-1A12-49EF-BB17-911625E46309}">
            <x14:dataBar minLength="0" maxLength="100" border="1" negativeBarBorderColorSameAsPositive="0">
              <x14:cfvo type="autoMin"/>
              <x14:cfvo type="autoMax"/>
              <x14:borderColor rgb="FF638EC6"/>
              <x14:negativeFillColor rgb="FFFF0000"/>
              <x14:negativeBorderColor rgb="FFFF0000"/>
              <x14:axisColor rgb="FF000000"/>
            </x14:dataBar>
          </x14:cfRule>
          <xm:sqref>P12</xm:sqref>
        </x14:conditionalFormatting>
        <x14:conditionalFormatting xmlns:xm="http://schemas.microsoft.com/office/excel/2006/main">
          <x14:cfRule type="dataBar" id="{67601DFC-6AFE-455D-ACF2-912F64F42D76}">
            <x14:dataBar minLength="0" maxLength="100" border="1" negativeBarBorderColorSameAsPositive="0">
              <x14:cfvo type="autoMin"/>
              <x14:cfvo type="autoMax"/>
              <x14:borderColor rgb="FF638EC6"/>
              <x14:negativeFillColor rgb="FFFF0000"/>
              <x14:negativeBorderColor rgb="FFFF0000"/>
              <x14:axisColor rgb="FF000000"/>
            </x14:dataBar>
          </x14:cfRule>
          <xm:sqref>Q11</xm:sqref>
        </x14:conditionalFormatting>
        <x14:conditionalFormatting xmlns:xm="http://schemas.microsoft.com/office/excel/2006/main">
          <x14:cfRule type="dataBar" id="{E8D3B1A2-633C-434C-B919-B992B553BD15}">
            <x14:dataBar minLength="0" maxLength="100" border="1" negativeBarBorderColorSameAsPositive="0">
              <x14:cfvo type="autoMin"/>
              <x14:cfvo type="autoMax"/>
              <x14:borderColor rgb="FF638EC6"/>
              <x14:negativeFillColor rgb="FFFF0000"/>
              <x14:negativeBorderColor rgb="FFFF0000"/>
              <x14:axisColor rgb="FF000000"/>
            </x14:dataBar>
          </x14:cfRule>
          <xm:sqref>Q12</xm:sqref>
        </x14:conditionalFormatting>
        <x14:conditionalFormatting xmlns:xm="http://schemas.microsoft.com/office/excel/2006/main">
          <x14:cfRule type="dataBar" id="{BC8C1268-E3C7-459B-BF77-4C7CF0DAA8D8}">
            <x14:dataBar minLength="0" maxLength="100" border="1" negativeBarBorderColorSameAsPositive="0">
              <x14:cfvo type="autoMin"/>
              <x14:cfvo type="autoMax"/>
              <x14:borderColor rgb="FF638EC6"/>
              <x14:negativeFillColor rgb="FFFF0000"/>
              <x14:negativeBorderColor rgb="FFFF0000"/>
              <x14:axisColor rgb="FF000000"/>
            </x14:dataBar>
          </x14:cfRule>
          <xm:sqref>R11</xm:sqref>
        </x14:conditionalFormatting>
        <x14:conditionalFormatting xmlns:xm="http://schemas.microsoft.com/office/excel/2006/main">
          <x14:cfRule type="dataBar" id="{666DB618-0F2F-4C8D-AAFF-CFE6519B893F}">
            <x14:dataBar minLength="0" maxLength="100" border="1" negativeBarBorderColorSameAsPositive="0">
              <x14:cfvo type="autoMin"/>
              <x14:cfvo type="autoMax"/>
              <x14:borderColor rgb="FF638EC6"/>
              <x14:negativeFillColor rgb="FFFF0000"/>
              <x14:negativeBorderColor rgb="FFFF0000"/>
              <x14:axisColor rgb="FF000000"/>
            </x14:dataBar>
          </x14:cfRule>
          <xm:sqref>R12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7E3DF-58E4-4084-942B-E33220C0A008}">
  <sheetPr>
    <pageSetUpPr fitToPage="1"/>
  </sheetPr>
  <dimension ref="A2:Q55"/>
  <sheetViews>
    <sheetView zoomScale="93" zoomScaleNormal="93" zoomScaleSheetLayoutView="89" workbookViewId="0">
      <selection activeCell="S11" sqref="S11"/>
    </sheetView>
  </sheetViews>
  <sheetFormatPr defaultRowHeight="13.2"/>
  <cols>
    <col min="1" max="1" width="7.33203125" customWidth="1"/>
    <col min="2" max="2" width="35.33203125" customWidth="1"/>
    <col min="3" max="3" width="15.33203125" customWidth="1"/>
    <col min="4" max="4" width="18.33203125" hidden="1" customWidth="1"/>
    <col min="5" max="5" width="14.33203125" hidden="1" customWidth="1"/>
    <col min="6" max="6" width="14.88671875" hidden="1" customWidth="1"/>
    <col min="7" max="7" width="16.5546875" style="84" customWidth="1"/>
    <col min="8" max="9" width="15.5546875" style="84" customWidth="1"/>
    <col min="10" max="10" width="32.109375" customWidth="1"/>
  </cols>
  <sheetData>
    <row r="2" spans="1:17" ht="33" customHeight="1">
      <c r="A2" s="2917" t="s">
        <v>3333</v>
      </c>
      <c r="B2" s="2917"/>
      <c r="C2" s="2917"/>
      <c r="D2" s="2917"/>
      <c r="E2" s="2917"/>
      <c r="F2" s="2917"/>
      <c r="G2" s="2917"/>
      <c r="H2" s="2917"/>
      <c r="I2" s="2917"/>
      <c r="J2" s="2917"/>
      <c r="K2" s="181"/>
      <c r="L2" s="181"/>
      <c r="M2" s="181"/>
      <c r="N2" s="181"/>
      <c r="O2" s="181"/>
      <c r="P2" s="181"/>
      <c r="Q2" s="181"/>
    </row>
    <row r="3" spans="1:17" ht="26.25" customHeight="1"/>
    <row r="4" spans="1:17" ht="63" customHeight="1">
      <c r="A4" s="184" t="s">
        <v>718</v>
      </c>
      <c r="B4" s="184" t="s">
        <v>1762</v>
      </c>
      <c r="C4" s="184" t="s">
        <v>1763</v>
      </c>
      <c r="D4" s="184" t="s">
        <v>2507</v>
      </c>
      <c r="E4" s="184" t="s">
        <v>3329</v>
      </c>
      <c r="F4" s="184" t="s">
        <v>3330</v>
      </c>
      <c r="G4" s="184" t="s">
        <v>3331</v>
      </c>
      <c r="H4" s="184" t="s">
        <v>3332</v>
      </c>
      <c r="I4" s="184" t="s">
        <v>3829</v>
      </c>
      <c r="J4" s="184" t="s">
        <v>1764</v>
      </c>
    </row>
    <row r="5" spans="1:17" ht="17.25" customHeight="1">
      <c r="A5" s="185" t="s">
        <v>734</v>
      </c>
      <c r="B5" s="185" t="s">
        <v>1765</v>
      </c>
      <c r="C5" s="185"/>
      <c r="D5" s="185"/>
      <c r="E5" s="185"/>
      <c r="F5" s="185"/>
      <c r="G5" s="185"/>
      <c r="H5" s="185"/>
      <c r="I5" s="185"/>
      <c r="J5" s="185"/>
    </row>
    <row r="6" spans="1:17" ht="22.8">
      <c r="A6" s="183" t="s">
        <v>769</v>
      </c>
      <c r="B6" s="183" t="s">
        <v>1766</v>
      </c>
      <c r="C6" s="183" t="s">
        <v>1767</v>
      </c>
      <c r="D6" s="183" t="s">
        <v>2508</v>
      </c>
      <c r="E6" s="183">
        <v>115</v>
      </c>
      <c r="F6" s="183">
        <v>115</v>
      </c>
      <c r="G6" s="183">
        <v>90</v>
      </c>
      <c r="H6" s="183">
        <v>90</v>
      </c>
      <c r="I6" s="183">
        <v>90</v>
      </c>
      <c r="J6" s="183" t="s">
        <v>3097</v>
      </c>
    </row>
    <row r="7" spans="1:17">
      <c r="A7" s="185" t="s">
        <v>783</v>
      </c>
      <c r="B7" s="2829" t="s">
        <v>1769</v>
      </c>
      <c r="C7" s="2829"/>
      <c r="D7" s="2829"/>
      <c r="E7" s="2829"/>
      <c r="F7" s="2829"/>
      <c r="G7" s="2829"/>
      <c r="H7" s="2829"/>
      <c r="I7" s="2829"/>
      <c r="J7" s="2829"/>
    </row>
    <row r="8" spans="1:17" ht="22.8">
      <c r="A8" s="183" t="s">
        <v>1770</v>
      </c>
      <c r="B8" s="183" t="s">
        <v>1771</v>
      </c>
      <c r="C8" s="183" t="s">
        <v>1772</v>
      </c>
      <c r="D8" s="183">
        <v>115</v>
      </c>
      <c r="E8" s="183">
        <v>112</v>
      </c>
      <c r="F8" s="183">
        <v>110</v>
      </c>
      <c r="G8" s="183">
        <v>110</v>
      </c>
      <c r="H8" s="183">
        <v>105</v>
      </c>
      <c r="I8" s="183">
        <v>105</v>
      </c>
      <c r="J8" s="183" t="s">
        <v>1773</v>
      </c>
    </row>
    <row r="9" spans="1:17" ht="22.8">
      <c r="A9" s="183" t="s">
        <v>1774</v>
      </c>
      <c r="B9" s="183" t="s">
        <v>1775</v>
      </c>
      <c r="C9" s="183" t="s">
        <v>1772</v>
      </c>
      <c r="D9" s="183">
        <v>189</v>
      </c>
      <c r="E9" s="183">
        <v>185</v>
      </c>
      <c r="F9" s="183">
        <v>180</v>
      </c>
      <c r="G9" s="183">
        <v>175</v>
      </c>
      <c r="H9" s="183">
        <v>170</v>
      </c>
      <c r="I9" s="183">
        <v>170</v>
      </c>
      <c r="J9" s="183" t="s">
        <v>1773</v>
      </c>
    </row>
    <row r="10" spans="1:17" ht="22.8">
      <c r="A10" s="183" t="s">
        <v>1776</v>
      </c>
      <c r="B10" s="183" t="s">
        <v>1777</v>
      </c>
      <c r="C10" s="183" t="s">
        <v>1772</v>
      </c>
      <c r="D10" s="183">
        <v>443</v>
      </c>
      <c r="E10" s="183">
        <v>430</v>
      </c>
      <c r="F10" s="183">
        <v>425</v>
      </c>
      <c r="G10" s="183">
        <v>425</v>
      </c>
      <c r="H10" s="183">
        <v>425</v>
      </c>
      <c r="I10" s="183">
        <v>420</v>
      </c>
      <c r="J10" s="183" t="s">
        <v>1773</v>
      </c>
    </row>
    <row r="11" spans="1:17" ht="22.8">
      <c r="A11" s="183" t="s">
        <v>1778</v>
      </c>
      <c r="B11" s="183" t="s">
        <v>1779</v>
      </c>
      <c r="C11" s="183" t="s">
        <v>1772</v>
      </c>
      <c r="D11" s="183">
        <v>106</v>
      </c>
      <c r="E11" s="183">
        <v>105</v>
      </c>
      <c r="F11" s="183">
        <v>108</v>
      </c>
      <c r="G11" s="183">
        <v>110</v>
      </c>
      <c r="H11" s="183">
        <v>105</v>
      </c>
      <c r="I11" s="183">
        <v>105</v>
      </c>
      <c r="J11" s="183" t="s">
        <v>1780</v>
      </c>
    </row>
    <row r="12" spans="1:17">
      <c r="A12" s="185" t="s">
        <v>784</v>
      </c>
      <c r="B12" s="2908" t="s">
        <v>1781</v>
      </c>
      <c r="C12" s="2908"/>
      <c r="D12" s="2908"/>
      <c r="E12" s="2908"/>
      <c r="F12" s="2908"/>
      <c r="G12" s="2908"/>
      <c r="H12" s="2908"/>
      <c r="I12" s="2908"/>
      <c r="J12" s="2908"/>
    </row>
    <row r="13" spans="1:17" ht="43.5" customHeight="1">
      <c r="A13" s="183" t="s">
        <v>1782</v>
      </c>
      <c r="B13" s="183" t="s">
        <v>1747</v>
      </c>
      <c r="C13" s="183" t="s">
        <v>1783</v>
      </c>
      <c r="D13" s="183">
        <v>36</v>
      </c>
      <c r="E13" s="183">
        <v>42</v>
      </c>
      <c r="F13" s="183">
        <v>38</v>
      </c>
      <c r="G13" s="183">
        <v>40</v>
      </c>
      <c r="H13" s="183">
        <v>42</v>
      </c>
      <c r="I13" s="183">
        <v>43</v>
      </c>
      <c r="J13" s="183" t="s">
        <v>1784</v>
      </c>
    </row>
    <row r="14" spans="1:17" ht="22.8">
      <c r="A14" s="183" t="s">
        <v>1785</v>
      </c>
      <c r="B14" s="183" t="s">
        <v>1753</v>
      </c>
      <c r="C14" s="183" t="s">
        <v>1783</v>
      </c>
      <c r="D14" s="183">
        <v>26</v>
      </c>
      <c r="E14" s="183">
        <v>32</v>
      </c>
      <c r="F14" s="183">
        <v>28</v>
      </c>
      <c r="G14" s="183">
        <v>29</v>
      </c>
      <c r="H14" s="183">
        <v>30</v>
      </c>
      <c r="I14" s="183">
        <v>31</v>
      </c>
      <c r="J14" s="183" t="s">
        <v>1786</v>
      </c>
    </row>
    <row r="15" spans="1:17" ht="22.8">
      <c r="A15" s="183" t="s">
        <v>1787</v>
      </c>
      <c r="B15" s="183" t="s">
        <v>1748</v>
      </c>
      <c r="C15" s="183" t="s">
        <v>1783</v>
      </c>
      <c r="D15" s="183">
        <v>1931</v>
      </c>
      <c r="E15" s="183">
        <v>1919</v>
      </c>
      <c r="F15" s="183">
        <v>1930</v>
      </c>
      <c r="G15" s="183">
        <v>1870</v>
      </c>
      <c r="H15" s="183">
        <v>1860</v>
      </c>
      <c r="I15" s="183">
        <v>1850</v>
      </c>
      <c r="J15" s="183" t="s">
        <v>1788</v>
      </c>
    </row>
    <row r="16" spans="1:17" ht="22.8">
      <c r="A16" s="183" t="s">
        <v>1789</v>
      </c>
      <c r="B16" s="183" t="s">
        <v>1749</v>
      </c>
      <c r="C16" s="183" t="s">
        <v>1783</v>
      </c>
      <c r="D16" s="183">
        <v>759</v>
      </c>
      <c r="E16" s="183">
        <v>668</v>
      </c>
      <c r="F16" s="183">
        <v>700</v>
      </c>
      <c r="G16" s="183">
        <v>605</v>
      </c>
      <c r="H16" s="183">
        <v>595</v>
      </c>
      <c r="I16" s="183">
        <v>590</v>
      </c>
      <c r="J16" s="183" t="s">
        <v>1790</v>
      </c>
    </row>
    <row r="17" spans="1:10" ht="22.8">
      <c r="A17" s="183" t="s">
        <v>1791</v>
      </c>
      <c r="B17" s="183" t="s">
        <v>1750</v>
      </c>
      <c r="C17" s="183" t="s">
        <v>1772</v>
      </c>
      <c r="D17" s="183">
        <v>2263</v>
      </c>
      <c r="E17" s="183">
        <v>2053</v>
      </c>
      <c r="F17" s="183">
        <v>2100</v>
      </c>
      <c r="G17" s="183">
        <v>2100</v>
      </c>
      <c r="H17" s="183">
        <v>2090</v>
      </c>
      <c r="I17" s="183">
        <v>2080</v>
      </c>
      <c r="J17" s="183" t="s">
        <v>1792</v>
      </c>
    </row>
    <row r="18" spans="1:10" ht="22.8">
      <c r="A18" s="183" t="s">
        <v>1793</v>
      </c>
      <c r="B18" s="186" t="s">
        <v>1754</v>
      </c>
      <c r="C18" s="186" t="s">
        <v>1772</v>
      </c>
      <c r="D18" s="186">
        <v>10.5</v>
      </c>
      <c r="E18" s="186">
        <v>10.5</v>
      </c>
      <c r="F18" s="186">
        <v>10.5</v>
      </c>
      <c r="G18" s="186">
        <v>10.5</v>
      </c>
      <c r="H18" s="186">
        <v>10.5</v>
      </c>
      <c r="I18" s="186">
        <v>10.3</v>
      </c>
      <c r="J18" s="186" t="s">
        <v>1794</v>
      </c>
    </row>
    <row r="19" spans="1:10" ht="46.95" customHeight="1">
      <c r="A19" s="183" t="s">
        <v>1795</v>
      </c>
      <c r="B19" s="183" t="s">
        <v>1755</v>
      </c>
      <c r="C19" s="183" t="s">
        <v>1783</v>
      </c>
      <c r="D19" s="183">
        <v>0</v>
      </c>
      <c r="E19" s="183">
        <v>0</v>
      </c>
      <c r="F19" s="183">
        <v>0</v>
      </c>
      <c r="G19" s="183">
        <v>0</v>
      </c>
      <c r="H19" s="183">
        <v>0</v>
      </c>
      <c r="I19" s="183">
        <v>0</v>
      </c>
      <c r="J19" s="183" t="s">
        <v>1790</v>
      </c>
    </row>
    <row r="20" spans="1:10" ht="34.200000000000003">
      <c r="A20" s="183" t="s">
        <v>1797</v>
      </c>
      <c r="B20" s="183" t="s">
        <v>1756</v>
      </c>
      <c r="C20" s="183" t="s">
        <v>1783</v>
      </c>
      <c r="D20" s="183">
        <v>0</v>
      </c>
      <c r="E20" s="183">
        <v>0</v>
      </c>
      <c r="F20" s="183">
        <v>0</v>
      </c>
      <c r="G20" s="183">
        <v>0</v>
      </c>
      <c r="H20" s="183">
        <v>0</v>
      </c>
      <c r="I20" s="183">
        <v>0</v>
      </c>
      <c r="J20" s="183" t="s">
        <v>1790</v>
      </c>
    </row>
    <row r="21" spans="1:10" ht="45.6">
      <c r="A21" s="183" t="s">
        <v>1798</v>
      </c>
      <c r="B21" s="183" t="s">
        <v>1757</v>
      </c>
      <c r="C21" s="183" t="s">
        <v>1783</v>
      </c>
      <c r="D21" s="183">
        <v>0</v>
      </c>
      <c r="E21" s="183">
        <v>0</v>
      </c>
      <c r="F21" s="183">
        <v>0</v>
      </c>
      <c r="G21" s="183">
        <v>0</v>
      </c>
      <c r="H21" s="183">
        <v>0</v>
      </c>
      <c r="I21" s="183">
        <v>0</v>
      </c>
      <c r="J21" s="183" t="s">
        <v>1790</v>
      </c>
    </row>
    <row r="22" spans="1:10" ht="68.400000000000006">
      <c r="A22" s="183" t="s">
        <v>1799</v>
      </c>
      <c r="B22" s="183" t="s">
        <v>1758</v>
      </c>
      <c r="C22" s="183" t="s">
        <v>1783</v>
      </c>
      <c r="D22" s="183">
        <v>0</v>
      </c>
      <c r="E22" s="183">
        <v>0</v>
      </c>
      <c r="F22" s="183">
        <v>0</v>
      </c>
      <c r="G22" s="183">
        <v>0</v>
      </c>
      <c r="H22" s="183">
        <v>0</v>
      </c>
      <c r="I22" s="183">
        <v>0</v>
      </c>
      <c r="J22" s="183" t="s">
        <v>1790</v>
      </c>
    </row>
    <row r="23" spans="1:10">
      <c r="A23" s="185" t="s">
        <v>1698</v>
      </c>
      <c r="B23" s="2908" t="s">
        <v>1800</v>
      </c>
      <c r="C23" s="2908"/>
      <c r="D23" s="2908"/>
      <c r="E23" s="2908"/>
      <c r="F23" s="2908"/>
      <c r="G23" s="2908"/>
      <c r="H23" s="2908"/>
      <c r="I23" s="2908"/>
      <c r="J23" s="2908"/>
    </row>
    <row r="24" spans="1:10" ht="34.200000000000003">
      <c r="A24" s="183" t="s">
        <v>1801</v>
      </c>
      <c r="B24" s="183" t="s">
        <v>2625</v>
      </c>
      <c r="C24" s="2828" t="s">
        <v>1772</v>
      </c>
      <c r="D24" s="186" t="s">
        <v>2626</v>
      </c>
      <c r="E24" s="2911" t="s">
        <v>3098</v>
      </c>
      <c r="F24" s="186" t="s">
        <v>2628</v>
      </c>
      <c r="G24" s="186" t="s">
        <v>2629</v>
      </c>
      <c r="H24" s="186" t="s">
        <v>2627</v>
      </c>
      <c r="I24" s="186" t="s">
        <v>2632</v>
      </c>
      <c r="J24" s="2828" t="s">
        <v>1802</v>
      </c>
    </row>
    <row r="25" spans="1:10">
      <c r="A25" s="183" t="s">
        <v>1803</v>
      </c>
      <c r="B25" s="183" t="s">
        <v>1759</v>
      </c>
      <c r="C25" s="2828"/>
      <c r="D25" s="186" t="s">
        <v>2630</v>
      </c>
      <c r="E25" s="2918"/>
      <c r="F25" s="186" t="s">
        <v>2632</v>
      </c>
      <c r="G25" s="186" t="s">
        <v>2627</v>
      </c>
      <c r="H25" s="186" t="s">
        <v>2627</v>
      </c>
      <c r="I25" s="186" t="s">
        <v>2631</v>
      </c>
      <c r="J25" s="2828"/>
    </row>
    <row r="26" spans="1:10">
      <c r="A26" s="183" t="s">
        <v>1804</v>
      </c>
      <c r="B26" s="183" t="s">
        <v>1760</v>
      </c>
      <c r="C26" s="2828"/>
      <c r="D26" s="186" t="s">
        <v>2633</v>
      </c>
      <c r="E26" s="2918"/>
      <c r="F26" s="186" t="s">
        <v>2634</v>
      </c>
      <c r="G26" s="186" t="s">
        <v>2631</v>
      </c>
      <c r="H26" s="186" t="s">
        <v>2631</v>
      </c>
      <c r="I26" s="186" t="s">
        <v>2631</v>
      </c>
      <c r="J26" s="2828"/>
    </row>
    <row r="27" spans="1:10">
      <c r="A27" s="183" t="s">
        <v>1805</v>
      </c>
      <c r="B27" s="183" t="s">
        <v>1761</v>
      </c>
      <c r="C27" s="2828"/>
      <c r="D27" s="186" t="s">
        <v>2635</v>
      </c>
      <c r="E27" s="2919"/>
      <c r="F27" s="186" t="s">
        <v>2636</v>
      </c>
      <c r="G27" s="186" t="s">
        <v>2637</v>
      </c>
      <c r="H27" s="186" t="s">
        <v>2637</v>
      </c>
      <c r="I27" s="186" t="s">
        <v>2637</v>
      </c>
      <c r="J27" s="2828"/>
    </row>
    <row r="28" spans="1:10" ht="24" customHeight="1">
      <c r="A28" s="183" t="s">
        <v>1806</v>
      </c>
      <c r="B28" s="187" t="s">
        <v>1807</v>
      </c>
      <c r="C28" s="2907" t="s">
        <v>1772</v>
      </c>
      <c r="D28" s="186"/>
      <c r="E28" s="2911" t="s">
        <v>3099</v>
      </c>
      <c r="F28" s="186"/>
      <c r="G28" s="186"/>
      <c r="H28" s="186"/>
      <c r="I28" s="186"/>
      <c r="J28" s="2828" t="s">
        <v>1790</v>
      </c>
    </row>
    <row r="29" spans="1:10" ht="12.75" customHeight="1">
      <c r="A29" s="183" t="s">
        <v>1808</v>
      </c>
      <c r="B29" s="187" t="s">
        <v>1759</v>
      </c>
      <c r="C29" s="2907"/>
      <c r="D29" s="186" t="s">
        <v>2638</v>
      </c>
      <c r="E29" s="2912"/>
      <c r="F29" s="186">
        <v>94</v>
      </c>
      <c r="G29" s="186">
        <v>94</v>
      </c>
      <c r="H29" s="183">
        <v>95</v>
      </c>
      <c r="I29" s="183">
        <v>95</v>
      </c>
      <c r="J29" s="2828"/>
    </row>
    <row r="30" spans="1:10" ht="12.75" customHeight="1">
      <c r="A30" s="183" t="s">
        <v>1809</v>
      </c>
      <c r="B30" s="187" t="s">
        <v>1760</v>
      </c>
      <c r="C30" s="2907"/>
      <c r="D30" s="186" t="s">
        <v>2639</v>
      </c>
      <c r="E30" s="2912"/>
      <c r="F30" s="186">
        <v>93</v>
      </c>
      <c r="G30" s="186">
        <v>92</v>
      </c>
      <c r="H30" s="183">
        <v>92</v>
      </c>
      <c r="I30" s="183">
        <v>94</v>
      </c>
      <c r="J30" s="2828"/>
    </row>
    <row r="31" spans="1:10" ht="12.75" customHeight="1">
      <c r="A31" s="183" t="s">
        <v>1810</v>
      </c>
      <c r="B31" s="186" t="s">
        <v>1761</v>
      </c>
      <c r="C31" s="2907"/>
      <c r="D31" s="186">
        <v>85</v>
      </c>
      <c r="E31" s="2913"/>
      <c r="F31" s="186">
        <v>82</v>
      </c>
      <c r="G31" s="186">
        <v>80</v>
      </c>
      <c r="H31" s="183">
        <v>82</v>
      </c>
      <c r="I31" s="183">
        <v>85</v>
      </c>
      <c r="J31" s="2828"/>
    </row>
    <row r="32" spans="1:10" ht="34.200000000000003">
      <c r="A32" s="183" t="s">
        <v>1811</v>
      </c>
      <c r="B32" s="188" t="s">
        <v>1812</v>
      </c>
      <c r="C32" s="183" t="s">
        <v>1772</v>
      </c>
      <c r="D32" s="183">
        <v>1</v>
      </c>
      <c r="E32" s="183">
        <v>0</v>
      </c>
      <c r="F32" s="183">
        <v>0</v>
      </c>
      <c r="G32" s="183">
        <v>1</v>
      </c>
      <c r="H32" s="183">
        <v>0</v>
      </c>
      <c r="I32" s="183">
        <v>0</v>
      </c>
      <c r="J32" s="183" t="s">
        <v>3998</v>
      </c>
    </row>
    <row r="33" spans="1:10" ht="22.8">
      <c r="A33" s="183" t="s">
        <v>1813</v>
      </c>
      <c r="B33" s="187" t="s">
        <v>1122</v>
      </c>
      <c r="C33" s="186" t="s">
        <v>1772</v>
      </c>
      <c r="D33" s="186" t="s">
        <v>1768</v>
      </c>
      <c r="E33" s="186">
        <v>10.5</v>
      </c>
      <c r="F33" s="186">
        <v>10.5</v>
      </c>
      <c r="G33" s="186">
        <v>10.6</v>
      </c>
      <c r="H33" s="186">
        <v>10.5</v>
      </c>
      <c r="I33" s="186">
        <v>10.5</v>
      </c>
      <c r="J33" s="183" t="s">
        <v>1814</v>
      </c>
    </row>
    <row r="34" spans="1:10">
      <c r="A34" s="185" t="s">
        <v>785</v>
      </c>
      <c r="B34" s="2908" t="s">
        <v>1815</v>
      </c>
      <c r="C34" s="2908"/>
      <c r="D34" s="2908"/>
      <c r="E34" s="2908"/>
      <c r="F34" s="2908"/>
      <c r="G34" s="2908"/>
      <c r="H34" s="2908"/>
      <c r="I34" s="2908"/>
      <c r="J34" s="2908"/>
    </row>
    <row r="35" spans="1:10" ht="22.8">
      <c r="A35" s="183" t="s">
        <v>1816</v>
      </c>
      <c r="B35" s="183" t="s">
        <v>1751</v>
      </c>
      <c r="C35" s="183" t="s">
        <v>1783</v>
      </c>
      <c r="D35" s="183" t="s">
        <v>1796</v>
      </c>
      <c r="E35" s="186">
        <v>87.5</v>
      </c>
      <c r="F35" s="186">
        <v>90</v>
      </c>
      <c r="G35" s="186">
        <v>92</v>
      </c>
      <c r="H35" s="186">
        <v>90</v>
      </c>
      <c r="I35" s="186">
        <v>90</v>
      </c>
      <c r="J35" s="186" t="s">
        <v>1790</v>
      </c>
    </row>
    <row r="36" spans="1:10" ht="60" customHeight="1">
      <c r="A36" s="183" t="s">
        <v>1817</v>
      </c>
      <c r="B36" s="183" t="s">
        <v>1752</v>
      </c>
      <c r="C36" s="183" t="s">
        <v>1783</v>
      </c>
      <c r="D36" s="183">
        <v>9.0500000000000007</v>
      </c>
      <c r="E36" s="183">
        <v>15.1</v>
      </c>
      <c r="F36" s="183">
        <v>10</v>
      </c>
      <c r="G36" s="183">
        <v>10</v>
      </c>
      <c r="H36" s="183">
        <v>10</v>
      </c>
      <c r="I36" s="183">
        <v>10</v>
      </c>
      <c r="J36" s="183" t="s">
        <v>1790</v>
      </c>
    </row>
    <row r="37" spans="1:10" ht="22.8">
      <c r="A37" s="183" t="s">
        <v>1818</v>
      </c>
      <c r="B37" s="183" t="s">
        <v>2512</v>
      </c>
      <c r="C37" s="183" t="s">
        <v>1783</v>
      </c>
      <c r="D37" s="183">
        <v>0</v>
      </c>
      <c r="E37" s="183">
        <v>3.4</v>
      </c>
      <c r="F37" s="183">
        <v>0.5</v>
      </c>
      <c r="G37" s="183">
        <v>0.5</v>
      </c>
      <c r="H37" s="183">
        <v>0.5</v>
      </c>
      <c r="I37" s="183">
        <v>0.5</v>
      </c>
      <c r="J37" s="183" t="s">
        <v>1790</v>
      </c>
    </row>
    <row r="38" spans="1:10">
      <c r="A38" s="185" t="s">
        <v>786</v>
      </c>
      <c r="B38" s="2829" t="s">
        <v>1819</v>
      </c>
      <c r="C38" s="2829"/>
      <c r="D38" s="2829"/>
      <c r="E38" s="2829"/>
      <c r="F38" s="2829"/>
      <c r="G38" s="2829"/>
      <c r="H38" s="2829"/>
      <c r="I38" s="2829"/>
      <c r="J38" s="2829"/>
    </row>
    <row r="39" spans="1:10" ht="12.75" customHeight="1">
      <c r="A39" s="2828" t="s">
        <v>1820</v>
      </c>
      <c r="B39" s="2909" t="s">
        <v>1849</v>
      </c>
      <c r="C39" s="2828" t="s">
        <v>1783</v>
      </c>
      <c r="D39" s="2828" t="s">
        <v>1796</v>
      </c>
      <c r="E39" s="2914">
        <v>0.94</v>
      </c>
      <c r="F39" s="2914">
        <v>0.7</v>
      </c>
      <c r="G39" s="2914">
        <v>0.7</v>
      </c>
      <c r="H39" s="2914">
        <v>0.7</v>
      </c>
      <c r="I39" s="2914">
        <v>0.7</v>
      </c>
      <c r="J39" s="2828" t="s">
        <v>1790</v>
      </c>
    </row>
    <row r="40" spans="1:10" ht="30" customHeight="1">
      <c r="A40" s="2828"/>
      <c r="B40" s="2910"/>
      <c r="C40" s="2828"/>
      <c r="D40" s="2828"/>
      <c r="E40" s="2915"/>
      <c r="F40" s="2915"/>
      <c r="G40" s="2915"/>
      <c r="H40" s="2915"/>
      <c r="I40" s="2915"/>
      <c r="J40" s="2828"/>
    </row>
    <row r="41" spans="1:10" ht="12.75" customHeight="1">
      <c r="A41" s="2828" t="s">
        <v>1821</v>
      </c>
      <c r="B41" s="2909" t="s">
        <v>2509</v>
      </c>
      <c r="C41" s="2828" t="s">
        <v>1783</v>
      </c>
      <c r="D41" s="2828" t="s">
        <v>2510</v>
      </c>
      <c r="E41" s="2909" t="s">
        <v>3100</v>
      </c>
      <c r="F41" s="2909">
        <v>3.5</v>
      </c>
      <c r="G41" s="2909">
        <v>3.5</v>
      </c>
      <c r="H41" s="2909">
        <v>3.5</v>
      </c>
      <c r="I41" s="2909">
        <v>3.5</v>
      </c>
      <c r="J41" s="2828" t="s">
        <v>1790</v>
      </c>
    </row>
    <row r="42" spans="1:10" ht="27.75" customHeight="1">
      <c r="A42" s="2828"/>
      <c r="B42" s="2910"/>
      <c r="C42" s="2828"/>
      <c r="D42" s="2828"/>
      <c r="E42" s="2910"/>
      <c r="F42" s="2910"/>
      <c r="G42" s="2910"/>
      <c r="H42" s="2910"/>
      <c r="I42" s="2910"/>
      <c r="J42" s="2828"/>
    </row>
    <row r="43" spans="1:10" ht="22.2" customHeight="1">
      <c r="A43" s="2828" t="s">
        <v>1822</v>
      </c>
      <c r="B43" s="2916" t="s">
        <v>2736</v>
      </c>
      <c r="C43" s="2828" t="s">
        <v>1783</v>
      </c>
      <c r="D43" s="2828">
        <v>100</v>
      </c>
      <c r="E43" s="2909">
        <v>96.5</v>
      </c>
      <c r="F43" s="2909">
        <v>97</v>
      </c>
      <c r="G43" s="2909">
        <v>98</v>
      </c>
      <c r="H43" s="2909">
        <v>99</v>
      </c>
      <c r="I43" s="2909">
        <v>100</v>
      </c>
      <c r="J43" s="2909" t="s">
        <v>2513</v>
      </c>
    </row>
    <row r="44" spans="1:10" ht="28.5" customHeight="1">
      <c r="A44" s="2828"/>
      <c r="B44" s="2916"/>
      <c r="C44" s="2828"/>
      <c r="D44" s="2828"/>
      <c r="E44" s="2910"/>
      <c r="F44" s="2910"/>
      <c r="G44" s="2910"/>
      <c r="H44" s="2910"/>
      <c r="I44" s="2910"/>
      <c r="J44" s="2910"/>
    </row>
    <row r="45" spans="1:10" ht="34.200000000000003">
      <c r="A45" s="183" t="s">
        <v>1824</v>
      </c>
      <c r="B45" s="183" t="s">
        <v>1825</v>
      </c>
      <c r="C45" s="183" t="s">
        <v>1783</v>
      </c>
      <c r="D45" s="183" t="s">
        <v>2511</v>
      </c>
      <c r="E45" s="183" t="s">
        <v>3101</v>
      </c>
      <c r="F45" s="183">
        <v>100</v>
      </c>
      <c r="G45" s="183">
        <v>100</v>
      </c>
      <c r="H45" s="183">
        <v>100</v>
      </c>
      <c r="I45" s="183">
        <v>100</v>
      </c>
      <c r="J45" s="183" t="s">
        <v>1790</v>
      </c>
    </row>
    <row r="46" spans="1:10" ht="34.200000000000003">
      <c r="A46" s="183" t="s">
        <v>1826</v>
      </c>
      <c r="B46" s="183" t="s">
        <v>1827</v>
      </c>
      <c r="C46" s="183" t="s">
        <v>1783</v>
      </c>
      <c r="D46" s="183">
        <v>100</v>
      </c>
      <c r="E46" s="183" t="s">
        <v>3102</v>
      </c>
      <c r="F46" s="183">
        <v>100</v>
      </c>
      <c r="G46" s="183">
        <v>100</v>
      </c>
      <c r="H46" s="183">
        <v>100</v>
      </c>
      <c r="I46" s="183">
        <v>100</v>
      </c>
      <c r="J46" s="183" t="s">
        <v>1790</v>
      </c>
    </row>
    <row r="47" spans="1:10" ht="28.5" customHeight="1">
      <c r="A47" s="185" t="s">
        <v>787</v>
      </c>
      <c r="B47" s="2829" t="s">
        <v>1828</v>
      </c>
      <c r="C47" s="2829"/>
      <c r="D47" s="2829"/>
      <c r="E47" s="2829"/>
      <c r="F47" s="2829"/>
      <c r="G47" s="2829"/>
      <c r="H47" s="2829"/>
      <c r="I47" s="2829"/>
      <c r="J47" s="2829"/>
    </row>
    <row r="48" spans="1:10" ht="22.8">
      <c r="A48" s="183" t="s">
        <v>1829</v>
      </c>
      <c r="B48" s="183" t="s">
        <v>1830</v>
      </c>
      <c r="C48" s="183" t="s">
        <v>1772</v>
      </c>
      <c r="D48" s="183">
        <v>73.53</v>
      </c>
      <c r="E48" s="183">
        <v>69.099999999999994</v>
      </c>
      <c r="F48" s="183">
        <v>70</v>
      </c>
      <c r="G48" s="183">
        <v>70</v>
      </c>
      <c r="H48" s="183">
        <v>70</v>
      </c>
      <c r="I48" s="183">
        <v>70</v>
      </c>
      <c r="J48" s="183" t="s">
        <v>1831</v>
      </c>
    </row>
    <row r="49" spans="1:10" ht="34.200000000000003">
      <c r="A49" s="183" t="s">
        <v>1832</v>
      </c>
      <c r="B49" s="183" t="s">
        <v>1833</v>
      </c>
      <c r="C49" s="183" t="s">
        <v>1772</v>
      </c>
      <c r="D49" s="186">
        <v>63.6</v>
      </c>
      <c r="E49" s="186">
        <v>64.099999999999994</v>
      </c>
      <c r="F49" s="186">
        <v>65</v>
      </c>
      <c r="G49" s="186">
        <v>65</v>
      </c>
      <c r="H49" s="186">
        <v>66</v>
      </c>
      <c r="I49" s="186">
        <v>66</v>
      </c>
      <c r="J49" s="183" t="s">
        <v>1823</v>
      </c>
    </row>
    <row r="50" spans="1:10" ht="34.200000000000003">
      <c r="A50" s="183" t="s">
        <v>1834</v>
      </c>
      <c r="B50" s="183" t="s">
        <v>1835</v>
      </c>
      <c r="C50" s="183" t="s">
        <v>1772</v>
      </c>
      <c r="D50" s="183">
        <v>690</v>
      </c>
      <c r="E50" s="183">
        <v>784</v>
      </c>
      <c r="F50" s="183">
        <v>705</v>
      </c>
      <c r="G50" s="183">
        <v>820</v>
      </c>
      <c r="H50" s="183">
        <v>825</v>
      </c>
      <c r="I50" s="183">
        <v>830</v>
      </c>
      <c r="J50" s="183" t="s">
        <v>1836</v>
      </c>
    </row>
    <row r="51" spans="1:10" ht="30" customHeight="1">
      <c r="A51" s="183" t="s">
        <v>1837</v>
      </c>
      <c r="B51" s="183" t="s">
        <v>1838</v>
      </c>
      <c r="C51" s="183" t="s">
        <v>1772</v>
      </c>
      <c r="D51" s="183">
        <v>26</v>
      </c>
      <c r="E51" s="183">
        <v>27</v>
      </c>
      <c r="F51" s="183">
        <v>28</v>
      </c>
      <c r="G51" s="183">
        <v>28</v>
      </c>
      <c r="H51" s="183">
        <v>30</v>
      </c>
      <c r="I51" s="183">
        <v>30</v>
      </c>
      <c r="J51" s="2828" t="s">
        <v>1839</v>
      </c>
    </row>
    <row r="52" spans="1:10" ht="22.8">
      <c r="A52" s="183" t="s">
        <v>1840</v>
      </c>
      <c r="B52" s="183" t="s">
        <v>1841</v>
      </c>
      <c r="C52" s="183" t="s">
        <v>1772</v>
      </c>
      <c r="D52" s="183">
        <v>522</v>
      </c>
      <c r="E52" s="183">
        <v>530</v>
      </c>
      <c r="F52" s="183">
        <v>535</v>
      </c>
      <c r="G52" s="183">
        <v>500</v>
      </c>
      <c r="H52" s="183">
        <v>550</v>
      </c>
      <c r="I52" s="183">
        <v>550</v>
      </c>
      <c r="J52" s="2828"/>
    </row>
    <row r="53" spans="1:10">
      <c r="A53" s="185" t="s">
        <v>788</v>
      </c>
      <c r="B53" s="2829" t="s">
        <v>1842</v>
      </c>
      <c r="C53" s="2829"/>
      <c r="D53" s="2829"/>
      <c r="E53" s="402"/>
      <c r="F53" s="185"/>
      <c r="G53" s="185"/>
      <c r="H53" s="185"/>
      <c r="I53" s="185"/>
      <c r="J53" s="185"/>
    </row>
    <row r="54" spans="1:10" ht="45.6">
      <c r="A54" s="183" t="s">
        <v>1843</v>
      </c>
      <c r="B54" s="183" t="s">
        <v>1844</v>
      </c>
      <c r="C54" s="183" t="s">
        <v>1783</v>
      </c>
      <c r="D54" s="183" t="s">
        <v>1796</v>
      </c>
      <c r="E54" s="186">
        <v>75</v>
      </c>
      <c r="F54" s="186">
        <v>75</v>
      </c>
      <c r="G54" s="186">
        <v>77</v>
      </c>
      <c r="H54" s="186" t="s">
        <v>3301</v>
      </c>
      <c r="I54" s="186" t="s">
        <v>3301</v>
      </c>
      <c r="J54" s="183" t="s">
        <v>1845</v>
      </c>
    </row>
    <row r="55" spans="1:10" ht="22.8">
      <c r="A55" s="183" t="s">
        <v>1846</v>
      </c>
      <c r="B55" s="183" t="s">
        <v>1847</v>
      </c>
      <c r="C55" s="183" t="s">
        <v>1783</v>
      </c>
      <c r="D55" s="183" t="s">
        <v>1796</v>
      </c>
      <c r="E55" s="186">
        <v>93.6</v>
      </c>
      <c r="F55" s="186">
        <v>94</v>
      </c>
      <c r="G55" s="186">
        <v>95</v>
      </c>
      <c r="H55" s="186">
        <v>44.9</v>
      </c>
      <c r="I55" s="186">
        <v>44.9</v>
      </c>
      <c r="J55" s="183" t="s">
        <v>1848</v>
      </c>
    </row>
  </sheetData>
  <sheetProtection algorithmName="SHA-512" hashValue="0E3ekUhrK/EvOTrSFuWdkf5J+DFCO3A1E4eA46KrVgH+IKjZlSzjafDfG2bWmWcoVr5iRqetL7V8Ny9mOxb72w==" saltValue="EqLSKzCqgatvj9MhpfqhNg==" spinCount="100000" sheet="1" objects="1" scenarios="1"/>
  <mergeCells count="45">
    <mergeCell ref="A2:J2"/>
    <mergeCell ref="B7:J7"/>
    <mergeCell ref="B12:J12"/>
    <mergeCell ref="B23:J23"/>
    <mergeCell ref="C24:C27"/>
    <mergeCell ref="J24:J27"/>
    <mergeCell ref="E24:E27"/>
    <mergeCell ref="A39:A40"/>
    <mergeCell ref="C39:C40"/>
    <mergeCell ref="D39:D40"/>
    <mergeCell ref="J39:J40"/>
    <mergeCell ref="B39:B40"/>
    <mergeCell ref="E39:E40"/>
    <mergeCell ref="F39:F40"/>
    <mergeCell ref="G39:G40"/>
    <mergeCell ref="H39:H40"/>
    <mergeCell ref="B47:J47"/>
    <mergeCell ref="J51:J52"/>
    <mergeCell ref="B53:D53"/>
    <mergeCell ref="A41:A42"/>
    <mergeCell ref="C41:C42"/>
    <mergeCell ref="D41:D42"/>
    <mergeCell ref="J41:J42"/>
    <mergeCell ref="A43:A44"/>
    <mergeCell ref="B43:B44"/>
    <mergeCell ref="C43:C44"/>
    <mergeCell ref="D43:D44"/>
    <mergeCell ref="H41:H42"/>
    <mergeCell ref="H43:H44"/>
    <mergeCell ref="C28:C31"/>
    <mergeCell ref="J28:J31"/>
    <mergeCell ref="B34:J34"/>
    <mergeCell ref="B38:J38"/>
    <mergeCell ref="J43:J44"/>
    <mergeCell ref="B41:B42"/>
    <mergeCell ref="E41:E42"/>
    <mergeCell ref="F41:F42"/>
    <mergeCell ref="G41:G42"/>
    <mergeCell ref="E43:E44"/>
    <mergeCell ref="F43:F44"/>
    <mergeCell ref="G43:G44"/>
    <mergeCell ref="E28:E31"/>
    <mergeCell ref="I39:I40"/>
    <mergeCell ref="I41:I42"/>
    <mergeCell ref="I43:I44"/>
  </mergeCells>
  <pageMargins left="0.7" right="0.7" top="0.75" bottom="0.75" header="0.3" footer="0.3"/>
  <pageSetup paperSize="9" scale="72"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2AA0C-A947-47D3-986E-93671AAB61EB}">
  <sheetPr>
    <pageSetUpPr fitToPage="1"/>
  </sheetPr>
  <dimension ref="A1:BH1164"/>
  <sheetViews>
    <sheetView zoomScale="96" zoomScaleNormal="96" zoomScaleSheetLayoutView="100" workbookViewId="0">
      <selection activeCell="AG16" sqref="AG16"/>
    </sheetView>
  </sheetViews>
  <sheetFormatPr defaultColWidth="9.109375" defaultRowHeight="25.5" customHeight="1"/>
  <cols>
    <col min="1" max="1" width="15.33203125" style="89" customWidth="1"/>
    <col min="2" max="2" width="34.88671875" style="89" customWidth="1"/>
    <col min="3" max="3" width="4.33203125" style="89" customWidth="1"/>
    <col min="4" max="4" width="7.6640625" style="89" customWidth="1"/>
    <col min="5" max="6" width="10.6640625" style="90" hidden="1" customWidth="1"/>
    <col min="7" max="7" width="10.6640625" style="89" hidden="1" customWidth="1"/>
    <col min="8" max="8" width="15.44140625" style="89" hidden="1" customWidth="1"/>
    <col min="9" max="10" width="15.44140625" style="479" hidden="1" customWidth="1"/>
    <col min="11" max="11" width="14.6640625" style="89" hidden="1" customWidth="1"/>
    <col min="12" max="12" width="15.33203125" style="89" customWidth="1"/>
    <col min="13" max="13" width="15.33203125" style="1632" hidden="1" customWidth="1"/>
    <col min="14" max="14" width="11.33203125" style="89" hidden="1" customWidth="1"/>
    <col min="15" max="15" width="15.33203125" style="89" customWidth="1"/>
    <col min="16" max="16" width="15.33203125" style="1632" hidden="1" customWidth="1"/>
    <col min="17" max="17" width="15.33203125" style="89" customWidth="1"/>
    <col min="18" max="18" width="15.33203125" style="1632" hidden="1" customWidth="1"/>
    <col min="19" max="19" width="12.33203125" style="202" customWidth="1"/>
    <col min="20" max="20" width="53.88671875" style="89" customWidth="1"/>
    <col min="21" max="21" width="15.5546875" style="89" customWidth="1"/>
    <col min="22" max="22" width="30.5546875" style="89" customWidth="1"/>
    <col min="23" max="24" width="6.33203125" style="202" hidden="1" customWidth="1"/>
    <col min="25" max="27" width="6.33203125" style="202" customWidth="1"/>
    <col min="28" max="28" width="29.44140625" style="89" customWidth="1"/>
    <col min="29" max="29" width="9.109375" style="89" customWidth="1"/>
    <col min="30" max="30" width="9.109375" style="89"/>
    <col min="31" max="31" width="8.88671875" style="89" customWidth="1"/>
    <col min="32" max="32" width="17" style="89" customWidth="1"/>
    <col min="33" max="16384" width="9.109375" style="89"/>
  </cols>
  <sheetData>
    <row r="1" spans="1:31" ht="19.2" customHeight="1">
      <c r="A1" s="2927" t="s">
        <v>1861</v>
      </c>
      <c r="B1" s="2927"/>
      <c r="C1" s="2927"/>
      <c r="D1" s="2927"/>
      <c r="E1" s="2927"/>
      <c r="F1" s="2927"/>
      <c r="G1" s="2927"/>
      <c r="H1" s="2927"/>
      <c r="I1" s="2927"/>
      <c r="J1" s="2927"/>
      <c r="K1" s="2927"/>
      <c r="L1" s="2927"/>
      <c r="M1" s="2927"/>
      <c r="N1" s="2927"/>
      <c r="O1" s="2927"/>
      <c r="P1" s="2927"/>
      <c r="Q1" s="2927"/>
      <c r="R1" s="2927"/>
      <c r="S1" s="2927"/>
      <c r="T1" s="2927"/>
      <c r="W1" s="2926"/>
      <c r="X1" s="2926"/>
      <c r="Y1" s="2926"/>
      <c r="Z1" s="2926"/>
      <c r="AA1" s="2926"/>
      <c r="AB1" s="2926"/>
    </row>
    <row r="2" spans="1:31" ht="41.4" customHeight="1">
      <c r="A2" s="2920" t="s">
        <v>2688</v>
      </c>
      <c r="B2" s="2920"/>
      <c r="C2" s="2920"/>
      <c r="D2" s="2920"/>
      <c r="E2" s="2920"/>
      <c r="F2" s="2920"/>
      <c r="G2" s="2920"/>
      <c r="H2" s="2920"/>
      <c r="I2" s="2920"/>
      <c r="J2" s="2920"/>
      <c r="K2" s="2920"/>
      <c r="L2" s="2920"/>
      <c r="M2" s="2920"/>
      <c r="N2" s="2920"/>
      <c r="O2" s="2920"/>
      <c r="P2" s="2920"/>
      <c r="Q2" s="2920"/>
      <c r="R2" s="2920"/>
      <c r="S2" s="2920"/>
      <c r="T2" s="2920"/>
      <c r="U2" s="2920"/>
      <c r="V2" s="2920"/>
      <c r="W2" s="2920"/>
      <c r="X2" s="2920"/>
      <c r="Y2" s="2920"/>
      <c r="Z2" s="2920"/>
      <c r="AA2" s="2920"/>
      <c r="AB2" s="2920"/>
    </row>
    <row r="3" spans="1:31" ht="10.8" customHeight="1">
      <c r="A3" s="87"/>
      <c r="B3" s="87"/>
      <c r="C3" s="87"/>
      <c r="D3" s="87"/>
      <c r="E3" s="87"/>
      <c r="F3" s="87"/>
      <c r="G3" s="87"/>
      <c r="H3" s="87"/>
      <c r="I3" s="409"/>
      <c r="J3" s="409"/>
      <c r="K3" s="87"/>
      <c r="L3" s="87"/>
      <c r="M3" s="1633"/>
      <c r="N3" s="87"/>
      <c r="O3" s="87"/>
      <c r="P3" s="1633"/>
      <c r="Q3" s="87"/>
      <c r="R3" s="1633"/>
      <c r="T3" s="87"/>
    </row>
    <row r="4" spans="1:31" ht="16.8" customHeight="1">
      <c r="A4" s="89" t="str">
        <f>A16</f>
        <v>04.01.01. (T)</v>
      </c>
      <c r="B4" s="2920" t="str">
        <f>B16</f>
        <v>Užtikrinti efektyvią kultūros įstaigų veiklą</v>
      </c>
      <c r="C4" s="2920"/>
      <c r="D4" s="2920"/>
      <c r="E4" s="2920"/>
      <c r="F4" s="2920"/>
      <c r="G4" s="2920"/>
      <c r="H4" s="2920"/>
      <c r="I4" s="2920"/>
      <c r="J4" s="2920"/>
      <c r="K4" s="2920"/>
      <c r="L4" s="2920"/>
      <c r="M4" s="2920"/>
      <c r="N4" s="2920"/>
      <c r="O4" s="2920"/>
      <c r="P4" s="2920"/>
      <c r="Q4" s="2920"/>
      <c r="R4" s="2920"/>
      <c r="S4" s="2920"/>
      <c r="T4" s="2920"/>
      <c r="U4" s="2920"/>
      <c r="V4" s="2920"/>
      <c r="W4" s="2920"/>
      <c r="X4" s="2920"/>
      <c r="Y4" s="2920"/>
      <c r="Z4" s="2920"/>
      <c r="AA4" s="2920"/>
      <c r="AB4" s="2920"/>
    </row>
    <row r="5" spans="1:31" ht="31.2" customHeight="1">
      <c r="A5" s="198" t="str">
        <f>A41</f>
        <v>04.02.01. (T)</v>
      </c>
      <c r="B5" s="2920" t="str">
        <f>B41</f>
        <v>Sąlygų Dainų švenčių tradicijos tęstinumui Visagino savivaldybėje sudarymas, mėgėjų meno kolektyvų pasirengimo ir dalyvavimo Dainų šventėse,  vietiniuose, regioniniuose, respublikiniuose ir tarptautiniuose renginiuose užtikrinimas, mėgėjų meną populiarinančių renginių organizavimas, tautinių mažumų kultūrų įvairovės pristatymas</v>
      </c>
      <c r="C5" s="2920"/>
      <c r="D5" s="2920"/>
      <c r="E5" s="2920"/>
      <c r="F5" s="2920"/>
      <c r="G5" s="2920"/>
      <c r="H5" s="2920"/>
      <c r="I5" s="2920"/>
      <c r="J5" s="2920"/>
      <c r="K5" s="2920"/>
      <c r="L5" s="2920"/>
      <c r="M5" s="2920"/>
      <c r="N5" s="2920"/>
      <c r="O5" s="2920"/>
      <c r="P5" s="2920"/>
      <c r="Q5" s="2920"/>
      <c r="R5" s="2920"/>
      <c r="S5" s="2920"/>
      <c r="T5" s="2920"/>
      <c r="U5" s="2920"/>
      <c r="V5" s="2920"/>
      <c r="W5" s="2920"/>
      <c r="X5" s="2920"/>
      <c r="Y5" s="2920"/>
      <c r="Z5" s="2920"/>
      <c r="AA5" s="2920"/>
      <c r="AB5" s="2920"/>
      <c r="AC5" s="198"/>
      <c r="AD5" s="198"/>
      <c r="AE5" s="198"/>
    </row>
    <row r="6" spans="1:31" ht="39.6" customHeight="1">
      <c r="A6" s="89" t="str">
        <f>A63</f>
        <v>04.02.02. (T)</v>
      </c>
      <c r="B6" s="2920" t="str">
        <f>B63</f>
        <v>Siekiant formuoti regioninį išskirtinumą, kurti savitus, aktualaus turinio, kokybiškus kultūros produktus ir paslaugas, sudaryti sąlygas savivaldybės kultūros lauko veikėjų kultūrinių,  kūrybinių iniciatyvų įgyvendinimui, tam pasitelkti kūrybiškos vietokūros metodo teikiamas galimybes bei sudaryti sąlygas profesionalaus meno prieinamumui</v>
      </c>
      <c r="C6" s="2920"/>
      <c r="D6" s="2920"/>
      <c r="E6" s="2920"/>
      <c r="F6" s="2920"/>
      <c r="G6" s="2920"/>
      <c r="H6" s="2920"/>
      <c r="I6" s="2920"/>
      <c r="J6" s="2920"/>
      <c r="K6" s="2920"/>
      <c r="L6" s="2920"/>
      <c r="M6" s="2920"/>
      <c r="N6" s="2920"/>
      <c r="O6" s="2920"/>
      <c r="P6" s="2920"/>
      <c r="Q6" s="2920"/>
      <c r="R6" s="2920"/>
      <c r="S6" s="2920"/>
      <c r="T6" s="2920"/>
      <c r="U6" s="2920"/>
      <c r="V6" s="2920"/>
      <c r="W6" s="2920"/>
      <c r="X6" s="2920"/>
      <c r="Y6" s="2920"/>
      <c r="Z6" s="2920"/>
      <c r="AA6" s="2920"/>
      <c r="AB6" s="2920"/>
    </row>
    <row r="7" spans="1:31" ht="19.8" customHeight="1">
      <c r="A7" s="198" t="str">
        <f>A90</f>
        <v>04.02.03. (T)</v>
      </c>
      <c r="B7" s="2920" t="str">
        <f>B90</f>
        <v>Valstybės švenčių, sukakčių, įvykių minėjimas, visuomenės pilietiškumo, patriotiškumo ir nacionalinės savivertės stiprinimas</v>
      </c>
      <c r="C7" s="2920"/>
      <c r="D7" s="2920"/>
      <c r="E7" s="2920"/>
      <c r="F7" s="2920"/>
      <c r="G7" s="2920"/>
      <c r="H7" s="2920"/>
      <c r="I7" s="2920"/>
      <c r="J7" s="2920"/>
      <c r="K7" s="2920"/>
      <c r="L7" s="2920"/>
      <c r="M7" s="2920"/>
      <c r="N7" s="2920"/>
      <c r="O7" s="2920"/>
      <c r="P7" s="2920"/>
      <c r="Q7" s="2920"/>
      <c r="R7" s="2920"/>
      <c r="S7" s="2920"/>
      <c r="T7" s="2920"/>
      <c r="U7" s="2920"/>
      <c r="V7" s="2920"/>
      <c r="W7" s="2920"/>
      <c r="X7" s="2920"/>
      <c r="Y7" s="2920"/>
      <c r="Z7" s="2920"/>
      <c r="AA7" s="2920"/>
      <c r="AB7" s="2920"/>
    </row>
    <row r="8" spans="1:31" ht="15.6" customHeight="1">
      <c r="A8" s="198" t="str">
        <f>A100</f>
        <v>04.02.04. (T)</v>
      </c>
      <c r="B8" s="2920" t="str">
        <f>B100</f>
        <v>Sociokultūrinių bendruomenės poreikių tenkinimas, laisvalaikio, neformaliojo švietimo programų, kultūrinių edukacijų, ugdančių gyventojų kultūrines kompetencijas ir kūrybiškumą, organizavimas įtraukiant skirtingo amžiaus, pomėgių ir poreikių visuomenės grupes</v>
      </c>
      <c r="C8" s="2920"/>
      <c r="D8" s="2920"/>
      <c r="E8" s="2920"/>
      <c r="F8" s="2920"/>
      <c r="G8" s="2920"/>
      <c r="H8" s="2920"/>
      <c r="I8" s="2920"/>
      <c r="J8" s="2920"/>
      <c r="K8" s="2920"/>
      <c r="L8" s="2920"/>
      <c r="M8" s="2920"/>
      <c r="N8" s="2920"/>
      <c r="O8" s="2920"/>
      <c r="P8" s="2920"/>
      <c r="Q8" s="2920"/>
      <c r="R8" s="2920"/>
      <c r="S8" s="2920"/>
      <c r="T8" s="2920"/>
      <c r="U8" s="2920"/>
      <c r="V8" s="2920"/>
      <c r="W8" s="2920"/>
      <c r="X8" s="2920"/>
      <c r="Y8" s="2920"/>
      <c r="Z8" s="2920"/>
      <c r="AA8" s="2920"/>
      <c r="AB8" s="2920"/>
    </row>
    <row r="9" spans="1:31" ht="15.6" customHeight="1">
      <c r="A9" s="87"/>
      <c r="B9" s="87"/>
      <c r="C9" s="87"/>
      <c r="D9" s="87"/>
      <c r="E9" s="87"/>
      <c r="F9" s="87"/>
      <c r="G9" s="87"/>
      <c r="H9" s="87"/>
      <c r="I9" s="409"/>
      <c r="J9" s="409"/>
      <c r="K9" s="87"/>
      <c r="L9" s="87"/>
      <c r="M9" s="1633"/>
      <c r="N9" s="87"/>
      <c r="O9" s="87"/>
      <c r="P9" s="1633"/>
      <c r="Q9" s="87"/>
      <c r="R9" s="1633"/>
      <c r="T9" s="87"/>
    </row>
    <row r="10" spans="1:31" s="84" customFormat="1" ht="21" customHeight="1">
      <c r="A10" s="2920" t="s">
        <v>3827</v>
      </c>
      <c r="B10" s="2920"/>
      <c r="C10" s="2920"/>
      <c r="D10" s="2920"/>
      <c r="E10" s="2920"/>
      <c r="F10" s="112"/>
      <c r="G10" s="112"/>
      <c r="H10" s="112"/>
      <c r="I10" s="511"/>
      <c r="J10" s="511"/>
      <c r="K10" s="98"/>
      <c r="L10" s="98"/>
      <c r="M10" s="1685"/>
      <c r="N10" s="98"/>
      <c r="O10" s="98"/>
      <c r="P10" s="1685"/>
      <c r="Q10" s="98"/>
      <c r="R10" s="1685"/>
      <c r="S10" s="200"/>
      <c r="T10" s="98"/>
      <c r="W10" s="201"/>
      <c r="X10" s="201"/>
      <c r="Y10" s="201"/>
      <c r="Z10" s="201"/>
      <c r="AA10" s="201"/>
      <c r="AB10" s="82"/>
    </row>
    <row r="11" spans="1:31" s="84" customFormat="1" ht="22.2" customHeight="1">
      <c r="A11" s="2920" t="s">
        <v>3658</v>
      </c>
      <c r="B11" s="2920"/>
      <c r="C11" s="2920"/>
      <c r="D11" s="2920"/>
      <c r="E11" s="2920"/>
      <c r="F11" s="2920"/>
      <c r="G11" s="2920"/>
      <c r="H11" s="2920"/>
      <c r="I11" s="2920"/>
      <c r="J11" s="2920"/>
      <c r="K11" s="2920"/>
      <c r="L11" s="2920"/>
      <c r="M11" s="2920"/>
      <c r="N11" s="2920"/>
      <c r="O11" s="2920"/>
      <c r="P11" s="2920"/>
      <c r="Q11" s="2920"/>
      <c r="R11" s="2920"/>
      <c r="S11" s="2920"/>
      <c r="T11" s="2920"/>
      <c r="U11" s="2920"/>
      <c r="V11" s="2920"/>
      <c r="W11" s="2920"/>
      <c r="X11" s="2920"/>
      <c r="Y11" s="2920"/>
      <c r="Z11" s="2920"/>
      <c r="AA11" s="2920"/>
      <c r="AB11" s="2920"/>
    </row>
    <row r="12" spans="1:31" ht="28.2" hidden="1" customHeight="1">
      <c r="A12" s="122"/>
      <c r="B12" s="87"/>
      <c r="C12" s="87"/>
      <c r="D12" s="87"/>
      <c r="E12" s="87"/>
      <c r="F12" s="87"/>
      <c r="G12" s="87"/>
      <c r="H12" s="87"/>
      <c r="I12" s="409"/>
      <c r="J12" s="409"/>
      <c r="K12" s="87"/>
      <c r="L12" s="115"/>
      <c r="M12" s="1695"/>
      <c r="N12" s="115"/>
      <c r="O12" s="115"/>
      <c r="P12" s="1695"/>
      <c r="Q12" s="115"/>
      <c r="R12" s="1695"/>
      <c r="T12" s="87"/>
    </row>
    <row r="13" spans="1:31" ht="19.8" customHeight="1">
      <c r="A13" s="89" t="s">
        <v>3616</v>
      </c>
      <c r="E13" s="89"/>
      <c r="F13" s="89"/>
      <c r="I13" s="89"/>
      <c r="J13" s="89"/>
      <c r="O13" s="398"/>
      <c r="P13" s="1701"/>
      <c r="Q13" s="398"/>
      <c r="R13" s="1701"/>
      <c r="T13" s="87"/>
    </row>
    <row r="14" spans="1:31" s="239" customFormat="1" ht="74.400000000000006" customHeight="1">
      <c r="A14" s="2691" t="s">
        <v>728</v>
      </c>
      <c r="B14" s="2691" t="s">
        <v>1899</v>
      </c>
      <c r="C14" s="2717" t="s">
        <v>1064</v>
      </c>
      <c r="D14" s="2717" t="s">
        <v>1065</v>
      </c>
      <c r="E14" s="2715" t="s">
        <v>1081</v>
      </c>
      <c r="F14" s="2715" t="s">
        <v>1173</v>
      </c>
      <c r="G14" s="2820" t="s">
        <v>2336</v>
      </c>
      <c r="H14" s="2821" t="s">
        <v>1916</v>
      </c>
      <c r="I14" s="2715" t="s">
        <v>2882</v>
      </c>
      <c r="J14" s="2715" t="s">
        <v>2883</v>
      </c>
      <c r="K14" s="2691" t="s">
        <v>1915</v>
      </c>
      <c r="L14" s="2691" t="s">
        <v>1970</v>
      </c>
      <c r="M14" s="2692" t="s">
        <v>3824</v>
      </c>
      <c r="N14" s="2131" t="s">
        <v>3835</v>
      </c>
      <c r="O14" s="2691" t="s">
        <v>2881</v>
      </c>
      <c r="P14" s="2692" t="s">
        <v>3825</v>
      </c>
      <c r="Q14" s="2691" t="s">
        <v>3823</v>
      </c>
      <c r="R14" s="2692" t="s">
        <v>3826</v>
      </c>
      <c r="S14" s="2691" t="s">
        <v>1937</v>
      </c>
      <c r="T14" s="2691" t="s">
        <v>2740</v>
      </c>
      <c r="U14" s="2713" t="s">
        <v>729</v>
      </c>
      <c r="V14" s="2713" t="s">
        <v>1083</v>
      </c>
      <c r="W14" s="2745" t="s">
        <v>730</v>
      </c>
      <c r="X14" s="2746"/>
      <c r="Y14" s="2746"/>
      <c r="Z14" s="2746"/>
      <c r="AA14" s="2747"/>
      <c r="AB14" s="2713" t="s">
        <v>731</v>
      </c>
    </row>
    <row r="15" spans="1:31" s="239" customFormat="1" ht="44.25" hidden="1" customHeight="1">
      <c r="A15" s="2691"/>
      <c r="B15" s="2691"/>
      <c r="C15" s="2717"/>
      <c r="D15" s="2717"/>
      <c r="E15" s="2715"/>
      <c r="F15" s="2715"/>
      <c r="G15" s="2820"/>
      <c r="H15" s="2821"/>
      <c r="I15" s="2715"/>
      <c r="J15" s="2715"/>
      <c r="K15" s="2691"/>
      <c r="L15" s="2691"/>
      <c r="M15" s="2692"/>
      <c r="N15" s="2131"/>
      <c r="O15" s="2691"/>
      <c r="P15" s="2692"/>
      <c r="Q15" s="2691"/>
      <c r="R15" s="2692"/>
      <c r="S15" s="2691"/>
      <c r="T15" s="2691"/>
      <c r="U15" s="2713"/>
      <c r="V15" s="2713"/>
      <c r="W15" s="203">
        <v>2024</v>
      </c>
      <c r="X15" s="404">
        <v>2025</v>
      </c>
      <c r="Y15" s="404">
        <v>2026</v>
      </c>
      <c r="Z15" s="404">
        <v>2027</v>
      </c>
      <c r="AA15" s="404">
        <v>2028</v>
      </c>
      <c r="AB15" s="2713"/>
    </row>
    <row r="16" spans="1:31" s="189" customFormat="1" ht="51.75" customHeight="1">
      <c r="A16" s="663" t="s">
        <v>1950</v>
      </c>
      <c r="B16" s="663" t="s">
        <v>1328</v>
      </c>
      <c r="C16" s="890"/>
      <c r="D16" s="890"/>
      <c r="E16" s="718">
        <f>SUM(E23,E38)</f>
        <v>1523.662</v>
      </c>
      <c r="F16" s="716">
        <f>H16/E16-1</f>
        <v>0.12904108654019053</v>
      </c>
      <c r="G16" s="718">
        <f t="shared" ref="G16:L16" si="0">SUM(G23,G38)</f>
        <v>1745.6989999999998</v>
      </c>
      <c r="H16" s="690">
        <f>SUM(H23,H38)</f>
        <v>1720.2769999999998</v>
      </c>
      <c r="I16" s="718"/>
      <c r="J16" s="718"/>
      <c r="K16" s="690">
        <f>SUM(K23,K38)</f>
        <v>234.67599999999999</v>
      </c>
      <c r="L16" s="690">
        <f>SUM(L23,L38)</f>
        <v>2198.6930000000002</v>
      </c>
      <c r="M16" s="1495">
        <f>SUM(M23,M38)</f>
        <v>2296.4049999999997</v>
      </c>
      <c r="N16" s="2100">
        <f>SUM(L16-K16)/K16</f>
        <v>8.3690577647479945</v>
      </c>
      <c r="O16" s="690">
        <f t="shared" ref="O16:R16" si="1">SUM(O23,O38)</f>
        <v>2305.9595000000004</v>
      </c>
      <c r="P16" s="1495">
        <f t="shared" si="1"/>
        <v>2315.5550000000003</v>
      </c>
      <c r="Q16" s="690">
        <f t="shared" si="1"/>
        <v>2419.3603750000007</v>
      </c>
      <c r="R16" s="1495">
        <f t="shared" si="1"/>
        <v>326.10000000000002</v>
      </c>
      <c r="S16" s="179" t="s">
        <v>901</v>
      </c>
      <c r="T16" s="663"/>
      <c r="U16" s="671" t="s">
        <v>1320</v>
      </c>
      <c r="V16" s="671" t="s">
        <v>903</v>
      </c>
      <c r="W16" s="671" t="s">
        <v>1306</v>
      </c>
      <c r="X16" s="671" t="s">
        <v>1306</v>
      </c>
      <c r="Y16" s="671" t="s">
        <v>142</v>
      </c>
      <c r="Z16" s="671" t="s">
        <v>1427</v>
      </c>
      <c r="AA16" s="671" t="s">
        <v>1427</v>
      </c>
      <c r="AB16" s="670" t="s">
        <v>903</v>
      </c>
    </row>
    <row r="17" spans="1:28" ht="25.5" customHeight="1">
      <c r="A17" s="2879" t="s">
        <v>1951</v>
      </c>
      <c r="B17" s="2695" t="s">
        <v>1178</v>
      </c>
      <c r="C17" s="2723" t="s">
        <v>1071</v>
      </c>
      <c r="D17" s="719" t="s">
        <v>470</v>
      </c>
      <c r="E17" s="720">
        <f>SUM(E24,E30)</f>
        <v>1368.74</v>
      </c>
      <c r="F17" s="892">
        <f>H17/E17-1</f>
        <v>0.10258339786957338</v>
      </c>
      <c r="G17" s="720">
        <f t="shared" ref="G17" si="2">SUM(G24,G30)</f>
        <v>1494.6489999999999</v>
      </c>
      <c r="H17" s="722">
        <f t="shared" ref="H17:K17" si="3">SUM(H24,H30)</f>
        <v>1509.1499999999999</v>
      </c>
      <c r="I17" s="722"/>
      <c r="J17" s="720">
        <f t="shared" si="3"/>
        <v>1786.24</v>
      </c>
      <c r="K17" s="722">
        <f t="shared" si="3"/>
        <v>1654.5900000000001</v>
      </c>
      <c r="L17" s="722">
        <f>SUM(L24,L30)</f>
        <v>1912.3500000000001</v>
      </c>
      <c r="M17" s="1496">
        <f>SUM(M24,M30)</f>
        <v>1979.623</v>
      </c>
      <c r="N17" s="1013">
        <f>SUM(L17-K17)/K17</f>
        <v>0.1557848167824053</v>
      </c>
      <c r="O17" s="722">
        <f>L17+(L17*5%)</f>
        <v>2007.9675000000002</v>
      </c>
      <c r="P17" s="1496">
        <f t="shared" ref="P17" si="4">SUM(P24,P30)</f>
        <v>2012.0050000000001</v>
      </c>
      <c r="Q17" s="722">
        <f>O17+(O17*5%)</f>
        <v>2108.3658750000004</v>
      </c>
      <c r="R17" s="1496">
        <f t="shared" ref="R17" si="5">SUM(R24,R30)</f>
        <v>1968.6039999999998</v>
      </c>
      <c r="S17" s="2796" t="s">
        <v>2182</v>
      </c>
      <c r="T17" s="2704" t="s">
        <v>1349</v>
      </c>
      <c r="U17" s="2694" t="s">
        <v>1319</v>
      </c>
      <c r="V17" s="2694" t="s">
        <v>1327</v>
      </c>
      <c r="W17" s="2694" t="s">
        <v>1372</v>
      </c>
      <c r="X17" s="2694" t="s">
        <v>432</v>
      </c>
      <c r="Y17" s="2694" t="s">
        <v>432</v>
      </c>
      <c r="Z17" s="2694" t="s">
        <v>432</v>
      </c>
      <c r="AA17" s="2694" t="s">
        <v>432</v>
      </c>
      <c r="AB17" s="2938" t="s">
        <v>2183</v>
      </c>
    </row>
    <row r="18" spans="1:28" ht="25.5" customHeight="1">
      <c r="A18" s="2879"/>
      <c r="B18" s="2695"/>
      <c r="C18" s="2723"/>
      <c r="D18" s="719" t="s">
        <v>1070</v>
      </c>
      <c r="E18" s="720">
        <f t="shared" ref="E18:G18" si="6">SUM(E25,E31)</f>
        <v>55.830000000000005</v>
      </c>
      <c r="F18" s="892">
        <f>H18/E18-1</f>
        <v>0.16245746014687446</v>
      </c>
      <c r="G18" s="720">
        <f t="shared" si="6"/>
        <v>41.6</v>
      </c>
      <c r="H18" s="722">
        <f>SUM(H25,H31)</f>
        <v>64.900000000000006</v>
      </c>
      <c r="I18" s="722"/>
      <c r="J18" s="720">
        <f t="shared" ref="J18:O18" si="7">SUM(J25,J31)</f>
        <v>48.9</v>
      </c>
      <c r="K18" s="722">
        <f t="shared" si="7"/>
        <v>48.9</v>
      </c>
      <c r="L18" s="722">
        <f>SUM(L25,L31)</f>
        <v>63.65</v>
      </c>
      <c r="M18" s="1496">
        <f>SUM(M25,M31)</f>
        <v>63.65</v>
      </c>
      <c r="N18" s="1013">
        <f t="shared" ref="N18:N80" si="8">SUM(L18-K18)/K18</f>
        <v>0.30163599182004092</v>
      </c>
      <c r="O18" s="722">
        <f t="shared" si="7"/>
        <v>66.650000000000006</v>
      </c>
      <c r="P18" s="1496">
        <f t="shared" ref="P18:Q18" si="9">SUM(P25,P31)</f>
        <v>66.650000000000006</v>
      </c>
      <c r="Q18" s="722">
        <f t="shared" si="9"/>
        <v>69.97</v>
      </c>
      <c r="R18" s="1496">
        <f t="shared" ref="R18" si="10">SUM(R25,R31)</f>
        <v>69.97</v>
      </c>
      <c r="S18" s="2796"/>
      <c r="T18" s="2704"/>
      <c r="U18" s="2694"/>
      <c r="V18" s="2694"/>
      <c r="W18" s="2694"/>
      <c r="X18" s="2694"/>
      <c r="Y18" s="2694"/>
      <c r="Z18" s="2694"/>
      <c r="AA18" s="2694"/>
      <c r="AB18" s="2938"/>
    </row>
    <row r="19" spans="1:28" ht="25.5" customHeight="1">
      <c r="A19" s="2879"/>
      <c r="B19" s="2695"/>
      <c r="C19" s="2723"/>
      <c r="D19" s="719" t="s">
        <v>2823</v>
      </c>
      <c r="E19" s="720"/>
      <c r="F19" s="892"/>
      <c r="G19" s="720"/>
      <c r="H19" s="722">
        <f>H32</f>
        <v>4.7430000000000003</v>
      </c>
      <c r="I19" s="722"/>
      <c r="J19" s="720">
        <f t="shared" ref="J19:K19" si="11">J32</f>
        <v>0</v>
      </c>
      <c r="K19" s="722">
        <f t="shared" si="11"/>
        <v>0</v>
      </c>
      <c r="L19" s="722">
        <f>SUM(L32,)</f>
        <v>1E-3</v>
      </c>
      <c r="M19" s="1496">
        <f t="shared" ref="M19" si="12">M32</f>
        <v>0</v>
      </c>
      <c r="N19" s="1013"/>
      <c r="O19" s="722">
        <v>0</v>
      </c>
      <c r="P19" s="1496">
        <v>0</v>
      </c>
      <c r="Q19" s="722">
        <v>0</v>
      </c>
      <c r="R19" s="1496">
        <v>0</v>
      </c>
      <c r="S19" s="2796"/>
      <c r="T19" s="2704"/>
      <c r="U19" s="2694"/>
      <c r="V19" s="2694"/>
      <c r="W19" s="2694"/>
      <c r="X19" s="2694"/>
      <c r="Y19" s="2694"/>
      <c r="Z19" s="2694"/>
      <c r="AA19" s="2694"/>
      <c r="AB19" s="2938"/>
    </row>
    <row r="20" spans="1:28" ht="25.5" customHeight="1">
      <c r="A20" s="2879"/>
      <c r="B20" s="2695"/>
      <c r="C20" s="2723"/>
      <c r="D20" s="719" t="s">
        <v>1111</v>
      </c>
      <c r="E20" s="720">
        <f>SUM(E26,E33)</f>
        <v>23.091999999999999</v>
      </c>
      <c r="F20" s="892">
        <f>H20/E20-1</f>
        <v>0.10358565737051806</v>
      </c>
      <c r="G20" s="720">
        <f>SUM(G26,G33)</f>
        <v>23.78</v>
      </c>
      <c r="H20" s="722">
        <f t="shared" ref="H20:L20" si="13">SUM(H26,H33)</f>
        <v>25.484000000000002</v>
      </c>
      <c r="I20" s="722"/>
      <c r="J20" s="720">
        <f t="shared" si="13"/>
        <v>26</v>
      </c>
      <c r="K20" s="722">
        <f t="shared" si="13"/>
        <v>25.276</v>
      </c>
      <c r="L20" s="722">
        <f t="shared" si="13"/>
        <v>23.692</v>
      </c>
      <c r="M20" s="1496">
        <f>SUM(M26,M33)</f>
        <v>27</v>
      </c>
      <c r="N20" s="1013">
        <f t="shared" si="8"/>
        <v>-6.2668143693622391E-2</v>
      </c>
      <c r="O20" s="722">
        <f>SUM(O26,O32)</f>
        <v>23.692</v>
      </c>
      <c r="P20" s="1496">
        <f>SUM(P26,P32)</f>
        <v>28</v>
      </c>
      <c r="Q20" s="722">
        <f>SUM(Q26,Q32)</f>
        <v>23.692</v>
      </c>
      <c r="R20" s="1496">
        <f>SUM(R26,R32)</f>
        <v>29</v>
      </c>
      <c r="S20" s="2796"/>
      <c r="T20" s="2704"/>
      <c r="U20" s="2694"/>
      <c r="V20" s="2694"/>
      <c r="W20" s="2694"/>
      <c r="X20" s="2694"/>
      <c r="Y20" s="2694"/>
      <c r="Z20" s="2694"/>
      <c r="AA20" s="2694"/>
      <c r="AB20" s="2938"/>
    </row>
    <row r="21" spans="1:28" ht="25.5" hidden="1" customHeight="1">
      <c r="A21" s="2879"/>
      <c r="B21" s="2695"/>
      <c r="C21" s="2723"/>
      <c r="D21" s="719" t="s">
        <v>246</v>
      </c>
      <c r="E21" s="720">
        <f>SUM(E27,E34)</f>
        <v>0</v>
      </c>
      <c r="F21" s="892"/>
      <c r="G21" s="720">
        <f>SUM(G27,G34)</f>
        <v>0</v>
      </c>
      <c r="H21" s="722">
        <f t="shared" ref="H21:O21" si="14">SUM(H27,H34)</f>
        <v>0</v>
      </c>
      <c r="I21" s="722"/>
      <c r="J21" s="720">
        <f t="shared" si="14"/>
        <v>0</v>
      </c>
      <c r="K21" s="722">
        <f t="shared" si="14"/>
        <v>0</v>
      </c>
      <c r="L21" s="722">
        <f t="shared" si="14"/>
        <v>0</v>
      </c>
      <c r="M21" s="1496">
        <f t="shared" ref="M21" si="15">SUM(M27,M34)</f>
        <v>0</v>
      </c>
      <c r="N21" s="1013" t="e">
        <f t="shared" si="8"/>
        <v>#DIV/0!</v>
      </c>
      <c r="O21" s="722">
        <f t="shared" si="14"/>
        <v>0</v>
      </c>
      <c r="P21" s="1496">
        <f t="shared" ref="P21:Q21" si="16">SUM(P27,P34)</f>
        <v>0</v>
      </c>
      <c r="Q21" s="722">
        <f t="shared" si="16"/>
        <v>0</v>
      </c>
      <c r="R21" s="1496">
        <f t="shared" ref="R21" si="17">SUM(R27,R34)</f>
        <v>0</v>
      </c>
      <c r="S21" s="2796"/>
      <c r="T21" s="2704"/>
      <c r="U21" s="2694"/>
      <c r="V21" s="2694"/>
      <c r="W21" s="2694"/>
      <c r="X21" s="2694"/>
      <c r="Y21" s="2694"/>
      <c r="Z21" s="2694"/>
      <c r="AA21" s="2694"/>
      <c r="AB21" s="2938"/>
    </row>
    <row r="22" spans="1:28" ht="25.5" customHeight="1">
      <c r="A22" s="2879"/>
      <c r="B22" s="2695"/>
      <c r="C22" s="2723"/>
      <c r="D22" s="719" t="s">
        <v>710</v>
      </c>
      <c r="E22" s="720">
        <f>SUM(E28,E35)</f>
        <v>0</v>
      </c>
      <c r="F22" s="892"/>
      <c r="G22" s="720">
        <f>SUM(G28,G35)</f>
        <v>16</v>
      </c>
      <c r="H22" s="722">
        <v>16</v>
      </c>
      <c r="I22" s="722"/>
      <c r="J22" s="720">
        <f>SUM(J35)</f>
        <v>34</v>
      </c>
      <c r="K22" s="722">
        <f>SUM(K35)</f>
        <v>34</v>
      </c>
      <c r="L22" s="722">
        <f t="shared" ref="L22:O22" si="18">SUM(L35)</f>
        <v>26</v>
      </c>
      <c r="M22" s="1496">
        <f>SUM(M35)</f>
        <v>26.8</v>
      </c>
      <c r="N22" s="1013">
        <f t="shared" si="8"/>
        <v>-0.23529411764705882</v>
      </c>
      <c r="O22" s="722">
        <f t="shared" si="18"/>
        <v>26</v>
      </c>
      <c r="P22" s="1496">
        <f t="shared" ref="P22:Q22" si="19">SUM(P35)</f>
        <v>26.6</v>
      </c>
      <c r="Q22" s="722">
        <f t="shared" si="19"/>
        <v>26.6</v>
      </c>
      <c r="R22" s="1496">
        <f t="shared" ref="R22" si="20">SUM(R35)</f>
        <v>26.6</v>
      </c>
      <c r="S22" s="2796"/>
      <c r="T22" s="2704"/>
      <c r="U22" s="2694"/>
      <c r="V22" s="2694"/>
      <c r="W22" s="2694"/>
      <c r="X22" s="2694"/>
      <c r="Y22" s="2694"/>
      <c r="Z22" s="2694"/>
      <c r="AA22" s="2694"/>
      <c r="AB22" s="2938"/>
    </row>
    <row r="23" spans="1:28" ht="25.5" customHeight="1">
      <c r="A23" s="2879"/>
      <c r="B23" s="2695"/>
      <c r="C23" s="2723"/>
      <c r="D23" s="725" t="s">
        <v>1067</v>
      </c>
      <c r="E23" s="726">
        <f>SUM(E17:E22)</f>
        <v>1447.662</v>
      </c>
      <c r="F23" s="911">
        <f>H23/E23-1</f>
        <v>0.11923708711011249</v>
      </c>
      <c r="G23" s="726">
        <f>SUM(G17:G22)</f>
        <v>1576.0289999999998</v>
      </c>
      <c r="H23" s="728">
        <f>SUM(H17:H22)</f>
        <v>1620.2769999999998</v>
      </c>
      <c r="I23" s="726"/>
      <c r="J23" s="726">
        <f>SUM(J18,J19,J20,J21,J22)</f>
        <v>108.9</v>
      </c>
      <c r="K23" s="728">
        <f>SUM(K18,K19,K20,K21,K22)</f>
        <v>108.176</v>
      </c>
      <c r="L23" s="728">
        <f>SUM(L18,L19,L20,L21,L22,L17)</f>
        <v>2025.6930000000002</v>
      </c>
      <c r="M23" s="728">
        <f t="shared" ref="M23:Q23" si="21">SUM(M18,M19,M20,M21,M22,M17)</f>
        <v>2097.0729999999999</v>
      </c>
      <c r="N23" s="728" t="e">
        <f t="shared" si="21"/>
        <v>#DIV/0!</v>
      </c>
      <c r="O23" s="728">
        <f t="shared" si="21"/>
        <v>2124.3095000000003</v>
      </c>
      <c r="P23" s="728">
        <f t="shared" si="21"/>
        <v>2133.2550000000001</v>
      </c>
      <c r="Q23" s="728">
        <f t="shared" si="21"/>
        <v>2228.6278750000006</v>
      </c>
      <c r="R23" s="1464">
        <f t="shared" ref="R23" si="22">SUM(R18,R19,R20,R21,R22)</f>
        <v>125.57</v>
      </c>
      <c r="S23" s="2796"/>
      <c r="T23" s="2704"/>
      <c r="U23" s="2694"/>
      <c r="V23" s="2694"/>
      <c r="W23" s="2694"/>
      <c r="X23" s="2694"/>
      <c r="Y23" s="2694"/>
      <c r="Z23" s="2694"/>
      <c r="AA23" s="2694"/>
      <c r="AB23" s="2938"/>
    </row>
    <row r="24" spans="1:28" ht="25.5" hidden="1" customHeight="1">
      <c r="A24" s="2874"/>
      <c r="B24" s="2876" t="s">
        <v>1196</v>
      </c>
      <c r="C24" s="2922" t="s">
        <v>1347</v>
      </c>
      <c r="D24" s="913" t="s">
        <v>470</v>
      </c>
      <c r="E24" s="734">
        <v>375.84</v>
      </c>
      <c r="F24" s="906">
        <f>H24/E24-1</f>
        <v>0.1284057045551299</v>
      </c>
      <c r="G24" s="734">
        <v>391.29</v>
      </c>
      <c r="H24" s="681">
        <f>424.4-0.3</f>
        <v>424.09999999999997</v>
      </c>
      <c r="I24" s="681"/>
      <c r="J24" s="734">
        <v>473.59</v>
      </c>
      <c r="K24" s="681">
        <v>482.14</v>
      </c>
      <c r="L24" s="681">
        <v>547.70000000000005</v>
      </c>
      <c r="M24" s="1470">
        <v>515.93499999999995</v>
      </c>
      <c r="N24" s="778">
        <f t="shared" si="8"/>
        <v>0.13597710208653102</v>
      </c>
      <c r="O24" s="681">
        <v>506.55</v>
      </c>
      <c r="P24" s="1470">
        <v>531.56500000000005</v>
      </c>
      <c r="Q24" s="681">
        <v>517.21500000000003</v>
      </c>
      <c r="R24" s="1470">
        <v>517.21500000000003</v>
      </c>
      <c r="S24" s="879"/>
      <c r="T24" s="2936"/>
      <c r="U24" s="2936"/>
      <c r="V24" s="2936"/>
      <c r="W24" s="2936"/>
      <c r="X24" s="2936"/>
      <c r="Y24" s="2936"/>
      <c r="Z24" s="2936"/>
      <c r="AA24" s="2936"/>
      <c r="AB24" s="2936"/>
    </row>
    <row r="25" spans="1:28" ht="25.5" hidden="1" customHeight="1">
      <c r="A25" s="2874"/>
      <c r="B25" s="2876"/>
      <c r="C25" s="2922"/>
      <c r="D25" s="913" t="s">
        <v>1353</v>
      </c>
      <c r="E25" s="734">
        <v>1.2</v>
      </c>
      <c r="F25" s="906">
        <f>H25/E25-1</f>
        <v>0.58333333333333326</v>
      </c>
      <c r="G25" s="734">
        <v>1.4</v>
      </c>
      <c r="H25" s="681">
        <v>1.9</v>
      </c>
      <c r="I25" s="734"/>
      <c r="J25" s="734">
        <v>1.9</v>
      </c>
      <c r="K25" s="681">
        <v>1.9</v>
      </c>
      <c r="L25" s="681">
        <v>1.9</v>
      </c>
      <c r="M25" s="1470">
        <v>1.9</v>
      </c>
      <c r="N25" s="778">
        <f t="shared" si="8"/>
        <v>0</v>
      </c>
      <c r="O25" s="681">
        <v>1.9</v>
      </c>
      <c r="P25" s="1470">
        <v>1.9</v>
      </c>
      <c r="Q25" s="681">
        <v>1.9</v>
      </c>
      <c r="R25" s="1470">
        <v>1.9</v>
      </c>
      <c r="S25" s="879"/>
      <c r="T25" s="2936"/>
      <c r="U25" s="2936"/>
      <c r="V25" s="2936"/>
      <c r="W25" s="2936"/>
      <c r="X25" s="2936"/>
      <c r="Y25" s="2936"/>
      <c r="Z25" s="2936"/>
      <c r="AA25" s="2936"/>
      <c r="AB25" s="2936"/>
    </row>
    <row r="26" spans="1:28" ht="25.5" hidden="1" customHeight="1">
      <c r="A26" s="2874"/>
      <c r="B26" s="2876"/>
      <c r="C26" s="2922"/>
      <c r="D26" s="913" t="s">
        <v>1111</v>
      </c>
      <c r="E26" s="734">
        <v>23.091999999999999</v>
      </c>
      <c r="F26" s="906">
        <f>H26/E26-1</f>
        <v>0.10358565737051806</v>
      </c>
      <c r="G26" s="734">
        <v>23.78</v>
      </c>
      <c r="H26" s="681">
        <v>25.484000000000002</v>
      </c>
      <c r="I26" s="734"/>
      <c r="J26" s="734">
        <v>26</v>
      </c>
      <c r="K26" s="681">
        <v>25.276</v>
      </c>
      <c r="L26" s="681">
        <v>23.692</v>
      </c>
      <c r="M26" s="1470">
        <v>27</v>
      </c>
      <c r="N26" s="778">
        <f t="shared" si="8"/>
        <v>-6.2668143693622391E-2</v>
      </c>
      <c r="O26" s="681">
        <v>23.692</v>
      </c>
      <c r="P26" s="1470">
        <v>28</v>
      </c>
      <c r="Q26" s="681">
        <v>23.692</v>
      </c>
      <c r="R26" s="1470">
        <v>29</v>
      </c>
      <c r="S26" s="879"/>
      <c r="T26" s="2936"/>
      <c r="U26" s="2936"/>
      <c r="V26" s="2936"/>
      <c r="W26" s="2936"/>
      <c r="X26" s="2936"/>
      <c r="Y26" s="2936"/>
      <c r="Z26" s="2936"/>
      <c r="AA26" s="2936"/>
      <c r="AB26" s="2936"/>
    </row>
    <row r="27" spans="1:28" ht="25.5" hidden="1" customHeight="1">
      <c r="A27" s="2874"/>
      <c r="B27" s="2876"/>
      <c r="C27" s="2922"/>
      <c r="D27" s="913" t="s">
        <v>246</v>
      </c>
      <c r="E27" s="734"/>
      <c r="F27" s="906"/>
      <c r="G27" s="734"/>
      <c r="H27" s="681"/>
      <c r="I27" s="734"/>
      <c r="J27" s="734"/>
      <c r="K27" s="681"/>
      <c r="L27" s="681"/>
      <c r="M27" s="1470"/>
      <c r="N27" s="778" t="e">
        <f t="shared" si="8"/>
        <v>#DIV/0!</v>
      </c>
      <c r="O27" s="681"/>
      <c r="P27" s="1470"/>
      <c r="Q27" s="681"/>
      <c r="R27" s="1470"/>
      <c r="S27" s="879"/>
      <c r="T27" s="2936"/>
      <c r="U27" s="2936"/>
      <c r="V27" s="2936"/>
      <c r="W27" s="2936"/>
      <c r="X27" s="2936"/>
      <c r="Y27" s="2936"/>
      <c r="Z27" s="2936"/>
      <c r="AA27" s="2936"/>
      <c r="AB27" s="2936"/>
    </row>
    <row r="28" spans="1:28" ht="25.5" hidden="1" customHeight="1">
      <c r="A28" s="2874"/>
      <c r="B28" s="2876"/>
      <c r="C28" s="2922"/>
      <c r="D28" s="913" t="s">
        <v>710</v>
      </c>
      <c r="E28" s="734"/>
      <c r="F28" s="906"/>
      <c r="G28" s="734"/>
      <c r="H28" s="681"/>
      <c r="I28" s="734"/>
      <c r="J28" s="734"/>
      <c r="K28" s="681"/>
      <c r="L28" s="681"/>
      <c r="M28" s="1470"/>
      <c r="N28" s="778" t="e">
        <f t="shared" si="8"/>
        <v>#DIV/0!</v>
      </c>
      <c r="O28" s="681"/>
      <c r="P28" s="1470"/>
      <c r="Q28" s="681"/>
      <c r="R28" s="1470"/>
      <c r="S28" s="879"/>
      <c r="T28" s="2936"/>
      <c r="U28" s="2936"/>
      <c r="V28" s="2936"/>
      <c r="W28" s="2936"/>
      <c r="X28" s="2936"/>
      <c r="Y28" s="2936"/>
      <c r="Z28" s="2936"/>
      <c r="AA28" s="2936"/>
      <c r="AB28" s="2936"/>
    </row>
    <row r="29" spans="1:28" ht="25.5" hidden="1" customHeight="1">
      <c r="A29" s="2874"/>
      <c r="B29" s="2876"/>
      <c r="C29" s="2922"/>
      <c r="D29" s="1035" t="s">
        <v>1067</v>
      </c>
      <c r="E29" s="1122">
        <f>SUM(E24:E28)</f>
        <v>400.13199999999995</v>
      </c>
      <c r="F29" s="1843">
        <f>H29/E29-1</f>
        <v>0.12833764857596996</v>
      </c>
      <c r="G29" s="1122">
        <f t="shared" ref="G29" si="23">SUM(G24:G28)</f>
        <v>416.47</v>
      </c>
      <c r="H29" s="1033">
        <f>SUM(H24:H28)</f>
        <v>451.48399999999992</v>
      </c>
      <c r="I29" s="1122"/>
      <c r="J29" s="1122">
        <f>SUM(J24:J28)</f>
        <v>501.48999999999995</v>
      </c>
      <c r="K29" s="1033">
        <f t="shared" ref="K29:O29" si="24">SUM(K24:K28)</f>
        <v>509.31599999999997</v>
      </c>
      <c r="L29" s="1033">
        <f t="shared" si="24"/>
        <v>573.29200000000003</v>
      </c>
      <c r="M29" s="1844">
        <f t="shared" ref="M29" si="25">SUM(M24:M28)</f>
        <v>544.83499999999992</v>
      </c>
      <c r="N29" s="1453">
        <f t="shared" si="8"/>
        <v>0.12561160458340218</v>
      </c>
      <c r="O29" s="1033">
        <f t="shared" si="24"/>
        <v>532.14199999999994</v>
      </c>
      <c r="P29" s="1844">
        <f t="shared" ref="P29:Q29" si="26">SUM(P24:P28)</f>
        <v>561.46500000000003</v>
      </c>
      <c r="Q29" s="1033">
        <f t="shared" si="26"/>
        <v>542.80700000000002</v>
      </c>
      <c r="R29" s="1844">
        <f t="shared" ref="R29" si="27">SUM(R24:R28)</f>
        <v>548.11500000000001</v>
      </c>
      <c r="S29" s="581"/>
      <c r="T29" s="2936"/>
      <c r="U29" s="2936"/>
      <c r="V29" s="2936"/>
      <c r="W29" s="2936"/>
      <c r="X29" s="2936"/>
      <c r="Y29" s="2936"/>
      <c r="Z29" s="2936"/>
      <c r="AA29" s="2936"/>
      <c r="AB29" s="2936"/>
    </row>
    <row r="30" spans="1:28" ht="25.5" hidden="1" customHeight="1">
      <c r="A30" s="2874"/>
      <c r="B30" s="2876" t="s">
        <v>1197</v>
      </c>
      <c r="C30" s="2922" t="s">
        <v>1348</v>
      </c>
      <c r="D30" s="913" t="s">
        <v>470</v>
      </c>
      <c r="E30" s="734">
        <v>992.9</v>
      </c>
      <c r="F30" s="906">
        <f t="shared" ref="F30:F31" si="28">H30/E30-1</f>
        <v>9.2808943498841723E-2</v>
      </c>
      <c r="G30" s="734">
        <v>1103.3589999999999</v>
      </c>
      <c r="H30" s="681">
        <v>1085.05</v>
      </c>
      <c r="I30" s="734"/>
      <c r="J30" s="734">
        <v>1312.65</v>
      </c>
      <c r="K30" s="681">
        <v>1172.45</v>
      </c>
      <c r="L30" s="681">
        <v>1364.65</v>
      </c>
      <c r="M30" s="1470">
        <v>1463.6880000000001</v>
      </c>
      <c r="N30" s="778">
        <f t="shared" si="8"/>
        <v>0.16393023156637812</v>
      </c>
      <c r="O30" s="681">
        <f>P30</f>
        <v>1480.44</v>
      </c>
      <c r="P30" s="1470">
        <v>1480.44</v>
      </c>
      <c r="Q30" s="681">
        <v>1451.3889999999999</v>
      </c>
      <c r="R30" s="1470">
        <v>1451.3889999999999</v>
      </c>
      <c r="S30" s="879"/>
      <c r="T30" s="2936"/>
      <c r="U30" s="2936"/>
      <c r="V30" s="2936"/>
      <c r="W30" s="2936"/>
      <c r="X30" s="2936"/>
      <c r="Y30" s="2936"/>
      <c r="Z30" s="2936"/>
      <c r="AA30" s="2936"/>
      <c r="AB30" s="2936"/>
    </row>
    <row r="31" spans="1:28" ht="25.5" hidden="1" customHeight="1">
      <c r="A31" s="2874"/>
      <c r="B31" s="2876"/>
      <c r="C31" s="2922"/>
      <c r="D31" s="913" t="s">
        <v>1353</v>
      </c>
      <c r="E31" s="734">
        <v>54.63</v>
      </c>
      <c r="F31" s="906">
        <f t="shared" si="28"/>
        <v>0.15321252059308077</v>
      </c>
      <c r="G31" s="734">
        <v>40.200000000000003</v>
      </c>
      <c r="H31" s="681">
        <f>63</f>
        <v>63</v>
      </c>
      <c r="I31" s="734"/>
      <c r="J31" s="734">
        <v>47</v>
      </c>
      <c r="K31" s="681">
        <v>47</v>
      </c>
      <c r="L31" s="681">
        <v>61.75</v>
      </c>
      <c r="M31" s="1470">
        <v>61.75</v>
      </c>
      <c r="N31" s="778">
        <f t="shared" si="8"/>
        <v>0.31382978723404253</v>
      </c>
      <c r="O31" s="681">
        <f>P31</f>
        <v>64.75</v>
      </c>
      <c r="P31" s="1470">
        <v>64.75</v>
      </c>
      <c r="Q31" s="681">
        <v>68.069999999999993</v>
      </c>
      <c r="R31" s="1470">
        <v>68.069999999999993</v>
      </c>
      <c r="S31" s="879"/>
      <c r="T31" s="2936"/>
      <c r="U31" s="2936"/>
      <c r="V31" s="2936"/>
      <c r="W31" s="2936"/>
      <c r="X31" s="2936"/>
      <c r="Y31" s="2936"/>
      <c r="Z31" s="2936"/>
      <c r="AA31" s="2936"/>
      <c r="AB31" s="2936"/>
    </row>
    <row r="32" spans="1:28" ht="25.5" hidden="1" customHeight="1">
      <c r="A32" s="2874"/>
      <c r="B32" s="2876"/>
      <c r="C32" s="2922"/>
      <c r="D32" s="913" t="s">
        <v>2749</v>
      </c>
      <c r="E32" s="734">
        <v>54.63</v>
      </c>
      <c r="F32" s="906">
        <f t="shared" ref="F32" si="29">H32/E32-1</f>
        <v>-0.91317957166392094</v>
      </c>
      <c r="G32" s="734">
        <v>40.200000000000003</v>
      </c>
      <c r="H32" s="681">
        <v>4.7430000000000003</v>
      </c>
      <c r="I32" s="734"/>
      <c r="J32" s="734"/>
      <c r="K32" s="681"/>
      <c r="L32" s="681">
        <v>1E-3</v>
      </c>
      <c r="M32" s="1470"/>
      <c r="N32" s="778"/>
      <c r="O32" s="681"/>
      <c r="P32" s="1470"/>
      <c r="Q32" s="681"/>
      <c r="R32" s="1470"/>
      <c r="S32" s="879"/>
      <c r="T32" s="2936"/>
      <c r="U32" s="2936"/>
      <c r="V32" s="2936"/>
      <c r="W32" s="2936"/>
      <c r="X32" s="2936"/>
      <c r="Y32" s="2936"/>
      <c r="Z32" s="2936"/>
      <c r="AA32" s="2936"/>
      <c r="AB32" s="2936"/>
    </row>
    <row r="33" spans="1:28" ht="25.5" hidden="1" customHeight="1">
      <c r="A33" s="2874"/>
      <c r="B33" s="2876"/>
      <c r="C33" s="2922"/>
      <c r="D33" s="913" t="s">
        <v>1111</v>
      </c>
      <c r="E33" s="734"/>
      <c r="F33" s="906"/>
      <c r="G33" s="734"/>
      <c r="H33" s="681"/>
      <c r="I33" s="734"/>
      <c r="J33" s="734"/>
      <c r="K33" s="681"/>
      <c r="L33" s="681"/>
      <c r="M33" s="1470"/>
      <c r="N33" s="778"/>
      <c r="O33" s="682"/>
      <c r="P33" s="1509"/>
      <c r="Q33" s="682"/>
      <c r="R33" s="1509"/>
      <c r="S33" s="879"/>
      <c r="T33" s="2936"/>
      <c r="U33" s="2936"/>
      <c r="V33" s="2936"/>
      <c r="W33" s="2936"/>
      <c r="X33" s="2936"/>
      <c r="Y33" s="2936"/>
      <c r="Z33" s="2936"/>
      <c r="AA33" s="2936"/>
      <c r="AB33" s="2936"/>
    </row>
    <row r="34" spans="1:28" ht="25.5" hidden="1" customHeight="1">
      <c r="A34" s="2874"/>
      <c r="B34" s="2876"/>
      <c r="C34" s="2922"/>
      <c r="D34" s="913" t="s">
        <v>246</v>
      </c>
      <c r="E34" s="734"/>
      <c r="F34" s="906"/>
      <c r="G34" s="734"/>
      <c r="H34" s="681"/>
      <c r="I34" s="734"/>
      <c r="J34" s="734"/>
      <c r="K34" s="681"/>
      <c r="L34" s="681"/>
      <c r="M34" s="1470"/>
      <c r="N34" s="778"/>
      <c r="O34" s="681"/>
      <c r="P34" s="1470"/>
      <c r="Q34" s="681"/>
      <c r="R34" s="1470"/>
      <c r="S34" s="879"/>
      <c r="T34" s="2936"/>
      <c r="U34" s="2936"/>
      <c r="V34" s="2936"/>
      <c r="W34" s="2936"/>
      <c r="X34" s="2936"/>
      <c r="Y34" s="2936"/>
      <c r="Z34" s="2936"/>
      <c r="AA34" s="2936"/>
      <c r="AB34" s="2936"/>
    </row>
    <row r="35" spans="1:28" ht="25.5" hidden="1" customHeight="1">
      <c r="A35" s="2874"/>
      <c r="B35" s="2876"/>
      <c r="C35" s="2922"/>
      <c r="D35" s="913" t="s">
        <v>710</v>
      </c>
      <c r="E35" s="734"/>
      <c r="F35" s="906"/>
      <c r="G35" s="734">
        <v>16</v>
      </c>
      <c r="H35" s="681">
        <v>16</v>
      </c>
      <c r="I35" s="734"/>
      <c r="J35" s="734">
        <v>34</v>
      </c>
      <c r="K35" s="681">
        <v>34</v>
      </c>
      <c r="L35" s="681">
        <v>26</v>
      </c>
      <c r="M35" s="1470">
        <v>26.8</v>
      </c>
      <c r="N35" s="778">
        <f t="shared" si="8"/>
        <v>-0.23529411764705882</v>
      </c>
      <c r="O35" s="681">
        <v>26</v>
      </c>
      <c r="P35" s="1470">
        <v>26.6</v>
      </c>
      <c r="Q35" s="681">
        <v>26.6</v>
      </c>
      <c r="R35" s="1470">
        <v>26.6</v>
      </c>
      <c r="S35" s="879"/>
      <c r="T35" s="2936"/>
      <c r="U35" s="2936"/>
      <c r="V35" s="2936"/>
      <c r="W35" s="2936"/>
      <c r="X35" s="2936"/>
      <c r="Y35" s="2936"/>
      <c r="Z35" s="2936"/>
      <c r="AA35" s="2936"/>
      <c r="AB35" s="2936"/>
    </row>
    <row r="36" spans="1:28" ht="25.5" hidden="1" customHeight="1">
      <c r="A36" s="2874"/>
      <c r="B36" s="2876"/>
      <c r="C36" s="2922"/>
      <c r="D36" s="1035" t="s">
        <v>1067</v>
      </c>
      <c r="E36" s="1030">
        <f>SUM(E30:E35)</f>
        <v>1102.1600000000001</v>
      </c>
      <c r="F36" s="1123">
        <f t="shared" ref="F36:F43" si="30">H36/E36-1</f>
        <v>6.0456739493358391E-2</v>
      </c>
      <c r="G36" s="1030">
        <f t="shared" ref="G36" si="31">SUM(G30:G35)</f>
        <v>1199.759</v>
      </c>
      <c r="H36" s="1031">
        <f>SUM(H30:H35)</f>
        <v>1168.7929999999999</v>
      </c>
      <c r="I36" s="1030"/>
      <c r="J36" s="1030">
        <f>SUM(J30:J35)</f>
        <v>1393.65</v>
      </c>
      <c r="K36" s="1031">
        <f t="shared" ref="K36:O36" si="32">SUM(K30:K35)</f>
        <v>1253.45</v>
      </c>
      <c r="L36" s="1031">
        <f t="shared" si="32"/>
        <v>1452.4010000000001</v>
      </c>
      <c r="M36" s="1741">
        <f t="shared" ref="M36" si="33">SUM(M30:M35)</f>
        <v>1552.2380000000001</v>
      </c>
      <c r="N36" s="1453">
        <f t="shared" si="8"/>
        <v>0.15872272527823209</v>
      </c>
      <c r="O36" s="1031">
        <f t="shared" si="32"/>
        <v>1571.19</v>
      </c>
      <c r="P36" s="1741">
        <f t="shared" ref="P36:Q36" si="34">SUM(P30:P35)</f>
        <v>1571.79</v>
      </c>
      <c r="Q36" s="1031">
        <f t="shared" si="34"/>
        <v>1546.0589999999997</v>
      </c>
      <c r="R36" s="1741">
        <f t="shared" ref="R36" si="35">SUM(R30:R35)</f>
        <v>1546.0589999999997</v>
      </c>
      <c r="S36" s="879"/>
      <c r="T36" s="2936"/>
      <c r="U36" s="2936"/>
      <c r="V36" s="2936"/>
      <c r="W36" s="2936"/>
      <c r="X36" s="2936"/>
      <c r="Y36" s="2936"/>
      <c r="Z36" s="2936"/>
      <c r="AA36" s="2936"/>
      <c r="AB36" s="2936"/>
    </row>
    <row r="37" spans="1:28" ht="30.6" customHeight="1">
      <c r="A37" s="2879" t="s">
        <v>1952</v>
      </c>
      <c r="B37" s="2695" t="s">
        <v>1179</v>
      </c>
      <c r="C37" s="2723" t="s">
        <v>1195</v>
      </c>
      <c r="D37" s="719" t="s">
        <v>470</v>
      </c>
      <c r="E37" s="720">
        <v>76</v>
      </c>
      <c r="F37" s="914">
        <f t="shared" si="30"/>
        <v>0.31578947368421062</v>
      </c>
      <c r="G37" s="720">
        <v>169.67</v>
      </c>
      <c r="H37" s="722">
        <v>100</v>
      </c>
      <c r="I37" s="720"/>
      <c r="J37" s="720">
        <v>0</v>
      </c>
      <c r="K37" s="722">
        <f>SUM(K39,K40)</f>
        <v>126.5</v>
      </c>
      <c r="L37" s="722">
        <f>136+37</f>
        <v>173</v>
      </c>
      <c r="M37" s="1496">
        <v>199.33199999999999</v>
      </c>
      <c r="N37" s="2130">
        <f>SUM(L37-K37)/K37</f>
        <v>0.3675889328063241</v>
      </c>
      <c r="O37" s="722">
        <f>L37+(L37*5%)</f>
        <v>181.65</v>
      </c>
      <c r="P37" s="1496">
        <v>182.3</v>
      </c>
      <c r="Q37" s="722">
        <f>O37+(O37*5%)</f>
        <v>190.73250000000002</v>
      </c>
      <c r="R37" s="1496">
        <v>200.53</v>
      </c>
      <c r="S37" s="2796" t="s">
        <v>2184</v>
      </c>
      <c r="T37" s="2704" t="s">
        <v>3679</v>
      </c>
      <c r="U37" s="2694" t="s">
        <v>1330</v>
      </c>
      <c r="V37" s="2694" t="s">
        <v>1855</v>
      </c>
      <c r="W37" s="2694" t="s">
        <v>1329</v>
      </c>
      <c r="X37" s="2694" t="s">
        <v>1329</v>
      </c>
      <c r="Y37" s="2694" t="s">
        <v>1329</v>
      </c>
      <c r="Z37" s="2694" t="s">
        <v>1329</v>
      </c>
      <c r="AA37" s="2694" t="s">
        <v>1329</v>
      </c>
      <c r="AB37" s="2938" t="s">
        <v>2185</v>
      </c>
    </row>
    <row r="38" spans="1:28" ht="90.6" customHeight="1">
      <c r="A38" s="2879"/>
      <c r="B38" s="2695"/>
      <c r="C38" s="2723"/>
      <c r="D38" s="725" t="s">
        <v>1067</v>
      </c>
      <c r="E38" s="726">
        <f>E37</f>
        <v>76</v>
      </c>
      <c r="F38" s="911">
        <f t="shared" si="30"/>
        <v>0.31578947368421062</v>
      </c>
      <c r="G38" s="726">
        <f t="shared" ref="G38" si="36">G37</f>
        <v>169.67</v>
      </c>
      <c r="H38" s="728">
        <f t="shared" ref="H38" si="37">H37</f>
        <v>100</v>
      </c>
      <c r="I38" s="726"/>
      <c r="J38" s="726">
        <f>J37</f>
        <v>0</v>
      </c>
      <c r="K38" s="728">
        <f t="shared" ref="K38:O38" si="38">K37</f>
        <v>126.5</v>
      </c>
      <c r="L38" s="728">
        <f t="shared" si="38"/>
        <v>173</v>
      </c>
      <c r="M38" s="1464">
        <f t="shared" ref="M38" si="39">M37</f>
        <v>199.33199999999999</v>
      </c>
      <c r="N38" s="1243">
        <f t="shared" si="8"/>
        <v>0.3675889328063241</v>
      </c>
      <c r="O38" s="728">
        <f t="shared" si="38"/>
        <v>181.65</v>
      </c>
      <c r="P38" s="1464">
        <f t="shared" ref="P38:Q38" si="40">P37</f>
        <v>182.3</v>
      </c>
      <c r="Q38" s="728">
        <f t="shared" si="40"/>
        <v>190.73250000000002</v>
      </c>
      <c r="R38" s="1464">
        <f t="shared" ref="R38" si="41">R37</f>
        <v>200.53</v>
      </c>
      <c r="S38" s="2796"/>
      <c r="T38" s="2734"/>
      <c r="U38" s="2694"/>
      <c r="V38" s="2694"/>
      <c r="W38" s="2694"/>
      <c r="X38" s="2694"/>
      <c r="Y38" s="2694"/>
      <c r="Z38" s="2694"/>
      <c r="AA38" s="2694"/>
      <c r="AB38" s="2938"/>
    </row>
    <row r="39" spans="1:28" ht="25.5" hidden="1" customHeight="1">
      <c r="A39" s="899"/>
      <c r="B39" s="693" t="s">
        <v>3484</v>
      </c>
      <c r="C39" s="1333"/>
      <c r="D39" s="780"/>
      <c r="E39" s="757"/>
      <c r="F39" s="915"/>
      <c r="G39" s="757"/>
      <c r="H39" s="689"/>
      <c r="I39" s="757"/>
      <c r="J39" s="757"/>
      <c r="K39" s="681">
        <f>115+1.5</f>
        <v>116.5</v>
      </c>
      <c r="L39" s="681">
        <v>115</v>
      </c>
      <c r="M39" s="1470">
        <v>115</v>
      </c>
      <c r="N39" s="778">
        <f t="shared" si="8"/>
        <v>-1.2875536480686695E-2</v>
      </c>
      <c r="O39" s="681">
        <v>115</v>
      </c>
      <c r="P39" s="1470">
        <v>115</v>
      </c>
      <c r="Q39" s="681">
        <v>115</v>
      </c>
      <c r="R39" s="1470">
        <v>115</v>
      </c>
      <c r="S39" s="1353"/>
      <c r="T39" s="686" t="s">
        <v>3485</v>
      </c>
      <c r="U39" s="688"/>
      <c r="V39" s="688"/>
      <c r="W39" s="688"/>
      <c r="X39" s="688"/>
      <c r="Y39" s="688"/>
      <c r="Z39" s="688"/>
      <c r="AA39" s="688"/>
      <c r="AB39" s="1356"/>
    </row>
    <row r="40" spans="1:28" ht="25.5" hidden="1" customHeight="1">
      <c r="A40" s="899"/>
      <c r="B40" s="693" t="s">
        <v>3228</v>
      </c>
      <c r="C40" s="1333"/>
      <c r="D40" s="780"/>
      <c r="E40" s="757"/>
      <c r="F40" s="915"/>
      <c r="G40" s="757"/>
      <c r="H40" s="689"/>
      <c r="I40" s="757"/>
      <c r="J40" s="757"/>
      <c r="K40" s="681">
        <v>10</v>
      </c>
      <c r="L40" s="681">
        <v>10</v>
      </c>
      <c r="M40" s="1470">
        <v>10</v>
      </c>
      <c r="N40" s="778">
        <f t="shared" si="8"/>
        <v>0</v>
      </c>
      <c r="O40" s="681">
        <v>10</v>
      </c>
      <c r="P40" s="1470">
        <v>10</v>
      </c>
      <c r="Q40" s="681">
        <v>10</v>
      </c>
      <c r="R40" s="1470">
        <v>10</v>
      </c>
      <c r="S40" s="1353"/>
      <c r="T40" s="686" t="s">
        <v>3486</v>
      </c>
      <c r="U40" s="688"/>
      <c r="V40" s="688"/>
      <c r="W40" s="688"/>
      <c r="X40" s="688"/>
      <c r="Y40" s="688"/>
      <c r="Z40" s="688"/>
      <c r="AA40" s="688"/>
      <c r="AB40" s="1356"/>
    </row>
    <row r="41" spans="1:28" s="189" customFormat="1" ht="132" customHeight="1">
      <c r="A41" s="895" t="s">
        <v>1953</v>
      </c>
      <c r="B41" s="671" t="s">
        <v>1954</v>
      </c>
      <c r="C41" s="896"/>
      <c r="D41" s="697"/>
      <c r="E41" s="745">
        <f>SUM(E43,E51,E56,E60)</f>
        <v>22.4</v>
      </c>
      <c r="F41" s="897">
        <f t="shared" si="30"/>
        <v>0.83035714285714302</v>
      </c>
      <c r="G41" s="745">
        <f t="shared" ref="G41:L41" si="42">SUM(G43,G51,G56,G60)</f>
        <v>61.971999999999994</v>
      </c>
      <c r="H41" s="746">
        <f>SUM(H43,H51,H56,H60)</f>
        <v>41</v>
      </c>
      <c r="I41" s="745"/>
      <c r="J41" s="745">
        <f>SUM(J43,J51,J56,J60)</f>
        <v>21.6</v>
      </c>
      <c r="K41" s="746">
        <f>SUM(K43,K51,K56,K60)</f>
        <v>15.35</v>
      </c>
      <c r="L41" s="746">
        <f t="shared" si="42"/>
        <v>63.300000000000004</v>
      </c>
      <c r="M41" s="1497">
        <f>SUM(M43,M51,M56,M60)</f>
        <v>110.75</v>
      </c>
      <c r="N41" s="2132">
        <f t="shared" si="8"/>
        <v>3.1237785016286646</v>
      </c>
      <c r="O41" s="746">
        <f>SUM(O43,O51,O56,O60)</f>
        <v>23.98</v>
      </c>
      <c r="P41" s="1497">
        <f>SUM(P43,P51,P56,P60)</f>
        <v>26.68</v>
      </c>
      <c r="Q41" s="746">
        <f>SUM(Q43,Q51,Q56,Q60)</f>
        <v>75.05</v>
      </c>
      <c r="R41" s="1497">
        <f>SUM(R43,R51,R56,R60)</f>
        <v>54.05</v>
      </c>
      <c r="S41" s="179" t="s">
        <v>912</v>
      </c>
      <c r="T41" s="746"/>
      <c r="U41" s="671" t="s">
        <v>1321</v>
      </c>
      <c r="V41" s="671" t="s">
        <v>914</v>
      </c>
      <c r="W41" s="671" t="s">
        <v>1332</v>
      </c>
      <c r="X41" s="671" t="s">
        <v>1332</v>
      </c>
      <c r="Y41" s="671" t="s">
        <v>1332</v>
      </c>
      <c r="Z41" s="671" t="s">
        <v>1332</v>
      </c>
      <c r="AA41" s="671" t="s">
        <v>1332</v>
      </c>
      <c r="AB41" s="671" t="s">
        <v>914</v>
      </c>
    </row>
    <row r="42" spans="1:28" ht="30.6" customHeight="1">
      <c r="A42" s="2879" t="s">
        <v>1955</v>
      </c>
      <c r="B42" s="2699" t="s">
        <v>1180</v>
      </c>
      <c r="C42" s="2719" t="s">
        <v>1071</v>
      </c>
      <c r="D42" s="706" t="s">
        <v>470</v>
      </c>
      <c r="E42" s="720">
        <f>SUM(E44:E47)</f>
        <v>12</v>
      </c>
      <c r="F42" s="892">
        <f t="shared" si="30"/>
        <v>0.375</v>
      </c>
      <c r="G42" s="720">
        <f>SUM(G44:G47)</f>
        <v>30.751999999999999</v>
      </c>
      <c r="H42" s="722">
        <v>16.5</v>
      </c>
      <c r="I42" s="720"/>
      <c r="J42" s="720"/>
      <c r="K42" s="722">
        <f>SUM(K44,K45,K46,K47)</f>
        <v>0</v>
      </c>
      <c r="L42" s="722">
        <f>SUM(L45,L47,L48,L49)</f>
        <v>26</v>
      </c>
      <c r="M42" s="722">
        <f>SUM(M45,M47,M48,M49)</f>
        <v>67.2</v>
      </c>
      <c r="N42" s="1013"/>
      <c r="O42" s="722">
        <f>SUM(O45,O47,O48,O49)</f>
        <v>2</v>
      </c>
      <c r="P42" s="1496">
        <f t="shared" ref="P42:R42" si="43">SUM(P45,P47,P48,P49)</f>
        <v>2</v>
      </c>
      <c r="Q42" s="722">
        <f t="shared" si="43"/>
        <v>21</v>
      </c>
      <c r="R42" s="1496">
        <f t="shared" si="43"/>
        <v>21</v>
      </c>
      <c r="S42" s="2796" t="s">
        <v>2186</v>
      </c>
      <c r="T42" s="2704" t="s">
        <v>4347</v>
      </c>
      <c r="U42" s="2694" t="s">
        <v>1337</v>
      </c>
      <c r="V42" s="2935" t="s">
        <v>3680</v>
      </c>
      <c r="W42" s="2935" t="s">
        <v>1332</v>
      </c>
      <c r="X42" s="2935" t="s">
        <v>433</v>
      </c>
      <c r="Y42" s="2935" t="s">
        <v>433</v>
      </c>
      <c r="Z42" s="2921" t="s">
        <v>433</v>
      </c>
      <c r="AA42" s="2921" t="s">
        <v>433</v>
      </c>
      <c r="AB42" s="2694" t="s">
        <v>2187</v>
      </c>
    </row>
    <row r="43" spans="1:28" ht="33" customHeight="1">
      <c r="A43" s="2879"/>
      <c r="B43" s="2699"/>
      <c r="C43" s="2719"/>
      <c r="D43" s="725" t="s">
        <v>1067</v>
      </c>
      <c r="E43" s="726">
        <f>E42</f>
        <v>12</v>
      </c>
      <c r="F43" s="911">
        <f t="shared" si="30"/>
        <v>0.375</v>
      </c>
      <c r="G43" s="726">
        <f>SUM(G42)</f>
        <v>30.751999999999999</v>
      </c>
      <c r="H43" s="728">
        <f>SUM(H42)</f>
        <v>16.5</v>
      </c>
      <c r="I43" s="726"/>
      <c r="J43" s="726"/>
      <c r="K43" s="728">
        <f t="shared" ref="K43:L43" si="44">SUM(K42)</f>
        <v>0</v>
      </c>
      <c r="L43" s="728">
        <f t="shared" si="44"/>
        <v>26</v>
      </c>
      <c r="M43" s="1464">
        <f t="shared" ref="M43" si="45">SUM(M42)</f>
        <v>67.2</v>
      </c>
      <c r="N43" s="1243"/>
      <c r="O43" s="728">
        <f>O42</f>
        <v>2</v>
      </c>
      <c r="P43" s="1464">
        <v>0</v>
      </c>
      <c r="Q43" s="728">
        <f>Q42</f>
        <v>21</v>
      </c>
      <c r="R43" s="1464">
        <v>0</v>
      </c>
      <c r="S43" s="2796"/>
      <c r="T43" s="2734"/>
      <c r="U43" s="2694"/>
      <c r="V43" s="2935"/>
      <c r="W43" s="2935"/>
      <c r="X43" s="2935"/>
      <c r="Y43" s="2935"/>
      <c r="Z43" s="2921"/>
      <c r="AA43" s="2921"/>
      <c r="AB43" s="2694"/>
    </row>
    <row r="44" spans="1:28" ht="25.5" hidden="1" customHeight="1">
      <c r="A44" s="893"/>
      <c r="B44" s="673" t="s">
        <v>1354</v>
      </c>
      <c r="C44" s="739"/>
      <c r="D44" s="700"/>
      <c r="E44" s="734"/>
      <c r="F44" s="906"/>
      <c r="G44" s="734">
        <v>7</v>
      </c>
      <c r="H44" s="681">
        <v>2</v>
      </c>
      <c r="I44" s="734"/>
      <c r="J44" s="734"/>
      <c r="K44" s="681"/>
      <c r="L44" s="681"/>
      <c r="M44" s="1470"/>
      <c r="N44" s="778" t="e">
        <f t="shared" si="8"/>
        <v>#DIV/0!</v>
      </c>
      <c r="O44" s="681"/>
      <c r="P44" s="1470"/>
      <c r="Q44" s="681"/>
      <c r="R44" s="1470"/>
      <c r="S44" s="879"/>
      <c r="T44" s="681"/>
      <c r="U44" s="683"/>
      <c r="V44" s="693"/>
      <c r="W44" s="693"/>
      <c r="X44" s="693"/>
      <c r="Y44" s="693"/>
      <c r="Z44" s="693"/>
      <c r="AA44" s="693"/>
      <c r="AB44" s="693"/>
    </row>
    <row r="45" spans="1:28" ht="25.5" hidden="1" customHeight="1">
      <c r="A45" s="893"/>
      <c r="B45" s="673" t="s">
        <v>1355</v>
      </c>
      <c r="C45" s="739"/>
      <c r="D45" s="700"/>
      <c r="E45" s="734">
        <v>1</v>
      </c>
      <c r="F45" s="906">
        <f t="shared" ref="F45:F51" si="46">H45/E45-1</f>
        <v>3</v>
      </c>
      <c r="G45" s="734">
        <v>5</v>
      </c>
      <c r="H45" s="681">
        <v>4</v>
      </c>
      <c r="I45" s="734"/>
      <c r="J45" s="734"/>
      <c r="K45" s="681">
        <v>0</v>
      </c>
      <c r="L45" s="681">
        <v>0</v>
      </c>
      <c r="M45" s="1470">
        <v>12.8</v>
      </c>
      <c r="N45" s="778"/>
      <c r="O45" s="681">
        <v>1</v>
      </c>
      <c r="P45" s="1470">
        <v>1</v>
      </c>
      <c r="Q45" s="681">
        <v>13</v>
      </c>
      <c r="R45" s="1470">
        <v>13</v>
      </c>
      <c r="S45" s="879"/>
      <c r="T45" s="691" t="s">
        <v>3972</v>
      </c>
      <c r="U45" s="683"/>
      <c r="V45" s="693"/>
      <c r="W45" s="693"/>
      <c r="X45" s="693"/>
      <c r="Y45" s="693"/>
      <c r="Z45" s="693"/>
      <c r="AA45" s="693"/>
      <c r="AB45" s="693"/>
    </row>
    <row r="46" spans="1:28" ht="25.5" hidden="1" customHeight="1">
      <c r="A46" s="893"/>
      <c r="B46" s="673" t="s">
        <v>1356</v>
      </c>
      <c r="C46" s="739"/>
      <c r="D46" s="700"/>
      <c r="E46" s="734"/>
      <c r="F46" s="906"/>
      <c r="G46" s="734"/>
      <c r="H46" s="681"/>
      <c r="I46" s="734"/>
      <c r="J46" s="734"/>
      <c r="K46" s="681"/>
      <c r="L46" s="681"/>
      <c r="M46" s="1470"/>
      <c r="N46" s="778"/>
      <c r="O46" s="681"/>
      <c r="P46" s="1470"/>
      <c r="Q46" s="681"/>
      <c r="R46" s="1470"/>
      <c r="S46" s="879"/>
      <c r="T46" s="691"/>
      <c r="U46" s="683"/>
      <c r="V46" s="693"/>
      <c r="W46" s="693"/>
      <c r="X46" s="693"/>
      <c r="Y46" s="693"/>
      <c r="Z46" s="693"/>
      <c r="AA46" s="693"/>
      <c r="AB46" s="693"/>
    </row>
    <row r="47" spans="1:28" ht="25.5" hidden="1" customHeight="1">
      <c r="A47" s="893"/>
      <c r="B47" s="673" t="s">
        <v>1357</v>
      </c>
      <c r="C47" s="739"/>
      <c r="D47" s="700"/>
      <c r="E47" s="734">
        <v>11</v>
      </c>
      <c r="F47" s="906">
        <f t="shared" si="46"/>
        <v>-4.5454545454545414E-2</v>
      </c>
      <c r="G47" s="734">
        <v>18.751999999999999</v>
      </c>
      <c r="H47" s="681">
        <v>10.5</v>
      </c>
      <c r="I47" s="734"/>
      <c r="J47" s="734"/>
      <c r="K47" s="681"/>
      <c r="L47" s="681">
        <f>20+1</f>
        <v>21</v>
      </c>
      <c r="M47" s="1470">
        <v>40.9</v>
      </c>
      <c r="N47" s="778"/>
      <c r="O47" s="681"/>
      <c r="P47" s="1470"/>
      <c r="Q47" s="681"/>
      <c r="R47" s="1470"/>
      <c r="S47" s="879"/>
      <c r="T47" s="691" t="s">
        <v>4092</v>
      </c>
      <c r="U47" s="683"/>
      <c r="V47" s="693"/>
      <c r="W47" s="693"/>
      <c r="X47" s="693"/>
      <c r="Y47" s="693"/>
      <c r="Z47" s="693"/>
      <c r="AA47" s="693"/>
      <c r="AB47" s="693"/>
    </row>
    <row r="48" spans="1:28" ht="102" hidden="1" customHeight="1">
      <c r="A48" s="893"/>
      <c r="B48" s="673" t="s">
        <v>1354</v>
      </c>
      <c r="C48" s="739"/>
      <c r="D48" s="700"/>
      <c r="E48" s="734"/>
      <c r="F48" s="906"/>
      <c r="G48" s="734"/>
      <c r="H48" s="681"/>
      <c r="I48" s="734"/>
      <c r="J48" s="734"/>
      <c r="K48" s="681"/>
      <c r="L48" s="681">
        <v>2</v>
      </c>
      <c r="M48" s="1470">
        <v>10</v>
      </c>
      <c r="N48" s="778"/>
      <c r="O48" s="681">
        <v>1</v>
      </c>
      <c r="P48" s="1470">
        <v>1</v>
      </c>
      <c r="Q48" s="681">
        <v>8</v>
      </c>
      <c r="R48" s="1470">
        <v>8</v>
      </c>
      <c r="S48" s="879"/>
      <c r="T48" s="691" t="s">
        <v>3982</v>
      </c>
      <c r="U48" s="683"/>
      <c r="V48" s="693"/>
      <c r="W48" s="693"/>
      <c r="X48" s="693"/>
      <c r="Y48" s="693"/>
      <c r="Z48" s="693"/>
      <c r="AA48" s="693"/>
      <c r="AB48" s="693"/>
    </row>
    <row r="49" spans="1:28" ht="70.2" hidden="1" customHeight="1">
      <c r="A49" s="893"/>
      <c r="B49" s="673" t="s">
        <v>4146</v>
      </c>
      <c r="C49" s="739"/>
      <c r="D49" s="700"/>
      <c r="E49" s="734"/>
      <c r="F49" s="906"/>
      <c r="G49" s="734"/>
      <c r="H49" s="681"/>
      <c r="I49" s="734"/>
      <c r="J49" s="734"/>
      <c r="K49" s="681"/>
      <c r="L49" s="681">
        <v>3</v>
      </c>
      <c r="M49" s="1470">
        <v>3.5</v>
      </c>
      <c r="N49" s="778"/>
      <c r="O49" s="681"/>
      <c r="P49" s="1470"/>
      <c r="Q49" s="681"/>
      <c r="R49" s="1470"/>
      <c r="S49" s="879"/>
      <c r="T49" s="691" t="s">
        <v>4147</v>
      </c>
      <c r="U49" s="683"/>
      <c r="V49" s="693"/>
      <c r="W49" s="693"/>
      <c r="X49" s="693"/>
      <c r="Y49" s="693"/>
      <c r="Z49" s="693"/>
      <c r="AA49" s="693"/>
      <c r="AB49" s="693"/>
    </row>
    <row r="50" spans="1:28" ht="34.200000000000003" customHeight="1">
      <c r="A50" s="2879" t="s">
        <v>1956</v>
      </c>
      <c r="B50" s="2699" t="s">
        <v>1181</v>
      </c>
      <c r="C50" s="2719" t="s">
        <v>1071</v>
      </c>
      <c r="D50" s="706" t="s">
        <v>470</v>
      </c>
      <c r="E50" s="720">
        <f>SUM(E52:E54)</f>
        <v>1.5</v>
      </c>
      <c r="F50" s="892">
        <f t="shared" si="46"/>
        <v>7.5333333333333332</v>
      </c>
      <c r="G50" s="720">
        <f>SUM(G52:G54)</f>
        <v>16.75</v>
      </c>
      <c r="H50" s="722">
        <f>SUM(H52:H54)</f>
        <v>12.8</v>
      </c>
      <c r="I50" s="720">
        <f t="shared" ref="I50:J50" si="47">SUM(I52:I54)</f>
        <v>0</v>
      </c>
      <c r="J50" s="720">
        <f t="shared" si="47"/>
        <v>21.6</v>
      </c>
      <c r="K50" s="722">
        <f>SUM(K52,K53,K54)</f>
        <v>3.3499999999999996</v>
      </c>
      <c r="L50" s="722">
        <f>SUM(L52,L53,L54)</f>
        <v>24.5</v>
      </c>
      <c r="M50" s="722">
        <f>SUM(M52,M53,M54)</f>
        <v>27.8</v>
      </c>
      <c r="N50" s="2130">
        <f t="shared" si="8"/>
        <v>6.3134328358208958</v>
      </c>
      <c r="O50" s="722">
        <f t="shared" ref="O50" si="48">SUM(O52,O53,O54)</f>
        <v>3.8</v>
      </c>
      <c r="P50" s="1496">
        <f t="shared" ref="P50:Q50" si="49">SUM(P52,P53,P54)</f>
        <v>8.5</v>
      </c>
      <c r="Q50" s="722">
        <f t="shared" si="49"/>
        <v>33.5</v>
      </c>
      <c r="R50" s="1496">
        <f t="shared" ref="R50" si="50">SUM(R52,R53,R54)</f>
        <v>33.5</v>
      </c>
      <c r="S50" s="2796" t="s">
        <v>2186</v>
      </c>
      <c r="T50" s="2704" t="s">
        <v>3728</v>
      </c>
      <c r="U50" s="2694" t="s">
        <v>1322</v>
      </c>
      <c r="V50" s="2694" t="s">
        <v>1331</v>
      </c>
      <c r="W50" s="2694" t="s">
        <v>403</v>
      </c>
      <c r="X50" s="2694" t="s">
        <v>403</v>
      </c>
      <c r="Y50" s="2694" t="s">
        <v>403</v>
      </c>
      <c r="Z50" s="2694" t="s">
        <v>403</v>
      </c>
      <c r="AA50" s="2694" t="s">
        <v>403</v>
      </c>
      <c r="AB50" s="2694" t="s">
        <v>2187</v>
      </c>
    </row>
    <row r="51" spans="1:28" ht="62.25" customHeight="1">
      <c r="A51" s="2879"/>
      <c r="B51" s="2699"/>
      <c r="C51" s="2719"/>
      <c r="D51" s="725" t="s">
        <v>1067</v>
      </c>
      <c r="E51" s="726">
        <f>E50</f>
        <v>1.5</v>
      </c>
      <c r="F51" s="911">
        <f t="shared" si="46"/>
        <v>7.5333333333333332</v>
      </c>
      <c r="G51" s="726">
        <f>G50</f>
        <v>16.75</v>
      </c>
      <c r="H51" s="728">
        <f>H50</f>
        <v>12.8</v>
      </c>
      <c r="I51" s="726">
        <f t="shared" ref="I51:O51" si="51">I50</f>
        <v>0</v>
      </c>
      <c r="J51" s="726">
        <f t="shared" si="51"/>
        <v>21.6</v>
      </c>
      <c r="K51" s="728">
        <f t="shared" si="51"/>
        <v>3.3499999999999996</v>
      </c>
      <c r="L51" s="728">
        <f t="shared" si="51"/>
        <v>24.5</v>
      </c>
      <c r="M51" s="1464">
        <f t="shared" ref="M51" si="52">M50</f>
        <v>27.8</v>
      </c>
      <c r="N51" s="1243">
        <f t="shared" si="8"/>
        <v>6.3134328358208958</v>
      </c>
      <c r="O51" s="728">
        <f t="shared" si="51"/>
        <v>3.8</v>
      </c>
      <c r="P51" s="1464">
        <f t="shared" ref="P51:Q51" si="53">P50</f>
        <v>8.5</v>
      </c>
      <c r="Q51" s="728">
        <f t="shared" si="53"/>
        <v>33.5</v>
      </c>
      <c r="R51" s="1464">
        <f t="shared" ref="R51" si="54">R50</f>
        <v>33.5</v>
      </c>
      <c r="S51" s="2796"/>
      <c r="T51" s="2937"/>
      <c r="U51" s="2694"/>
      <c r="V51" s="2694"/>
      <c r="W51" s="2694"/>
      <c r="X51" s="2694"/>
      <c r="Y51" s="2694"/>
      <c r="Z51" s="2694"/>
      <c r="AA51" s="2694"/>
      <c r="AB51" s="2694"/>
    </row>
    <row r="52" spans="1:28" ht="46.95" hidden="1" customHeight="1">
      <c r="A52" s="893"/>
      <c r="B52" s="673" t="s">
        <v>1354</v>
      </c>
      <c r="C52" s="739"/>
      <c r="D52" s="682"/>
      <c r="E52" s="734"/>
      <c r="F52" s="906"/>
      <c r="G52" s="734"/>
      <c r="H52" s="681">
        <v>1.2</v>
      </c>
      <c r="I52" s="734"/>
      <c r="J52" s="734"/>
      <c r="K52" s="681">
        <v>1.5</v>
      </c>
      <c r="L52" s="681">
        <v>1</v>
      </c>
      <c r="M52" s="1470">
        <v>2</v>
      </c>
      <c r="N52" s="778">
        <f t="shared" si="8"/>
        <v>-0.33333333333333331</v>
      </c>
      <c r="O52" s="681">
        <v>1.5</v>
      </c>
      <c r="P52" s="1470">
        <v>2</v>
      </c>
      <c r="Q52" s="681">
        <v>2</v>
      </c>
      <c r="R52" s="1470">
        <v>2</v>
      </c>
      <c r="S52" s="879"/>
      <c r="T52" s="691" t="s">
        <v>3983</v>
      </c>
      <c r="U52" s="683"/>
      <c r="V52" s="2694"/>
      <c r="W52" s="2694"/>
      <c r="X52" s="2694"/>
      <c r="Y52" s="2694"/>
      <c r="Z52" s="2694"/>
      <c r="AA52" s="2694"/>
      <c r="AB52" s="2694"/>
    </row>
    <row r="53" spans="1:28" ht="25.5" hidden="1" customHeight="1">
      <c r="A53" s="893"/>
      <c r="B53" s="673" t="s">
        <v>1356</v>
      </c>
      <c r="C53" s="739"/>
      <c r="D53" s="682"/>
      <c r="E53" s="734"/>
      <c r="F53" s="906"/>
      <c r="G53" s="734">
        <v>0.45</v>
      </c>
      <c r="H53" s="681">
        <v>0.3</v>
      </c>
      <c r="I53" s="734"/>
      <c r="J53" s="734">
        <v>0.6</v>
      </c>
      <c r="K53" s="681">
        <v>0.4</v>
      </c>
      <c r="L53" s="681">
        <v>0.5</v>
      </c>
      <c r="M53" s="1470">
        <v>0.5</v>
      </c>
      <c r="N53" s="778">
        <f t="shared" si="8"/>
        <v>0.24999999999999994</v>
      </c>
      <c r="O53" s="681">
        <v>0.4</v>
      </c>
      <c r="P53" s="1470">
        <v>0.5</v>
      </c>
      <c r="Q53" s="681">
        <v>0.5</v>
      </c>
      <c r="R53" s="1470">
        <v>0.5</v>
      </c>
      <c r="S53" s="879"/>
      <c r="T53" s="691" t="s">
        <v>1856</v>
      </c>
      <c r="U53" s="693"/>
      <c r="V53" s="2694"/>
      <c r="W53" s="2694"/>
      <c r="X53" s="2694"/>
      <c r="Y53" s="2694"/>
      <c r="Z53" s="2694"/>
      <c r="AA53" s="2694"/>
      <c r="AB53" s="2694"/>
    </row>
    <row r="54" spans="1:28" ht="75.599999999999994" hidden="1" customHeight="1">
      <c r="A54" s="893"/>
      <c r="B54" s="673" t="s">
        <v>1355</v>
      </c>
      <c r="C54" s="739"/>
      <c r="D54" s="682"/>
      <c r="E54" s="734">
        <v>1.5</v>
      </c>
      <c r="F54" s="906">
        <f t="shared" ref="F54:F78" si="55">H54/E54-1</f>
        <v>6.5333333333333341</v>
      </c>
      <c r="G54" s="734">
        <v>16.3</v>
      </c>
      <c r="H54" s="681">
        <v>11.3</v>
      </c>
      <c r="I54" s="734"/>
      <c r="J54" s="734">
        <v>21</v>
      </c>
      <c r="K54" s="681">
        <v>1.45</v>
      </c>
      <c r="L54" s="681">
        <v>23</v>
      </c>
      <c r="M54" s="1470">
        <v>25.3</v>
      </c>
      <c r="N54" s="778">
        <f t="shared" si="8"/>
        <v>14.862068965517242</v>
      </c>
      <c r="O54" s="681">
        <v>1.9</v>
      </c>
      <c r="P54" s="1470">
        <v>6</v>
      </c>
      <c r="Q54" s="681">
        <v>31</v>
      </c>
      <c r="R54" s="1470">
        <v>31</v>
      </c>
      <c r="S54" s="879"/>
      <c r="T54" s="691" t="s">
        <v>3973</v>
      </c>
      <c r="U54" s="693"/>
      <c r="V54" s="2694"/>
      <c r="W54" s="2694"/>
      <c r="X54" s="2694"/>
      <c r="Y54" s="2694"/>
      <c r="Z54" s="2694"/>
      <c r="AA54" s="2694"/>
      <c r="AB54" s="2694"/>
    </row>
    <row r="55" spans="1:28" ht="30.6" customHeight="1">
      <c r="A55" s="2879" t="s">
        <v>1957</v>
      </c>
      <c r="B55" s="2699" t="s">
        <v>1182</v>
      </c>
      <c r="C55" s="2719" t="s">
        <v>1071</v>
      </c>
      <c r="D55" s="706" t="s">
        <v>470</v>
      </c>
      <c r="E55" s="720">
        <f>SUM(E57:E58)</f>
        <v>7.5</v>
      </c>
      <c r="F55" s="892">
        <f t="shared" si="55"/>
        <v>0.10666666666666669</v>
      </c>
      <c r="G55" s="720">
        <f>SUM(G57:G58)</f>
        <v>10.74</v>
      </c>
      <c r="H55" s="722">
        <f>SUM(H57:H58)</f>
        <v>8.3000000000000007</v>
      </c>
      <c r="I55" s="720"/>
      <c r="J55" s="720"/>
      <c r="K55" s="722">
        <f t="shared" ref="K55:O55" si="56">SUM(K57:K58)</f>
        <v>10.5</v>
      </c>
      <c r="L55" s="722">
        <f>SUM(L57:L58)</f>
        <v>11.2</v>
      </c>
      <c r="M55" s="1496">
        <f>SUM(M57:M58)</f>
        <v>13.95</v>
      </c>
      <c r="N55" s="1013">
        <f t="shared" si="8"/>
        <v>6.6666666666666596E-2</v>
      </c>
      <c r="O55" s="722">
        <f t="shared" si="56"/>
        <v>16.18</v>
      </c>
      <c r="P55" s="1496">
        <f>SUM(P57:P58)</f>
        <v>16.18</v>
      </c>
      <c r="Q55" s="722">
        <f t="shared" ref="Q55" si="57">SUM(Q57:Q58)</f>
        <v>18.349999999999998</v>
      </c>
      <c r="R55" s="1496">
        <f t="shared" ref="R55" si="58">SUM(R57:R58)</f>
        <v>18.349999999999998</v>
      </c>
      <c r="S55" s="2796" t="s">
        <v>2186</v>
      </c>
      <c r="T55" s="2704" t="s">
        <v>3681</v>
      </c>
      <c r="U55" s="2694" t="s">
        <v>1323</v>
      </c>
      <c r="V55" s="2694"/>
      <c r="W55" s="2694"/>
      <c r="X55" s="2694"/>
      <c r="Y55" s="2694"/>
      <c r="Z55" s="2694"/>
      <c r="AA55" s="2694"/>
      <c r="AB55" s="2694"/>
    </row>
    <row r="56" spans="1:28" ht="34.5" customHeight="1">
      <c r="A56" s="2879"/>
      <c r="B56" s="2699"/>
      <c r="C56" s="2719"/>
      <c r="D56" s="725" t="s">
        <v>1067</v>
      </c>
      <c r="E56" s="726">
        <f>E55</f>
        <v>7.5</v>
      </c>
      <c r="F56" s="911">
        <f t="shared" si="55"/>
        <v>0.10666666666666669</v>
      </c>
      <c r="G56" s="726">
        <f>G55</f>
        <v>10.74</v>
      </c>
      <c r="H56" s="728">
        <f>H55</f>
        <v>8.3000000000000007</v>
      </c>
      <c r="I56" s="726"/>
      <c r="J56" s="726"/>
      <c r="K56" s="728">
        <f t="shared" ref="K56:O56" si="59">K55</f>
        <v>10.5</v>
      </c>
      <c r="L56" s="728">
        <f t="shared" si="59"/>
        <v>11.2</v>
      </c>
      <c r="M56" s="1464">
        <f t="shared" ref="M56" si="60">M55</f>
        <v>13.95</v>
      </c>
      <c r="N56" s="1243">
        <f t="shared" si="8"/>
        <v>6.6666666666666596E-2</v>
      </c>
      <c r="O56" s="728">
        <f t="shared" si="59"/>
        <v>16.18</v>
      </c>
      <c r="P56" s="1464">
        <f t="shared" ref="P56:Q56" si="61">P55</f>
        <v>16.18</v>
      </c>
      <c r="Q56" s="728">
        <f t="shared" si="61"/>
        <v>18.349999999999998</v>
      </c>
      <c r="R56" s="1464">
        <f t="shared" ref="R56" si="62">R55</f>
        <v>18.349999999999998</v>
      </c>
      <c r="S56" s="2796"/>
      <c r="T56" s="2734"/>
      <c r="U56" s="2694"/>
      <c r="V56" s="2694"/>
      <c r="W56" s="2694"/>
      <c r="X56" s="2694"/>
      <c r="Y56" s="2694"/>
      <c r="Z56" s="2694"/>
      <c r="AA56" s="2694"/>
      <c r="AB56" s="2694"/>
    </row>
    <row r="57" spans="1:28" ht="25.5" hidden="1" customHeight="1">
      <c r="A57" s="893"/>
      <c r="B57" s="673" t="s">
        <v>1355</v>
      </c>
      <c r="C57" s="739"/>
      <c r="D57" s="700"/>
      <c r="E57" s="734">
        <v>7.5</v>
      </c>
      <c r="F57" s="906">
        <f t="shared" si="55"/>
        <v>6.6666666666666652E-2</v>
      </c>
      <c r="G57" s="734">
        <v>10.14</v>
      </c>
      <c r="H57" s="681">
        <v>8</v>
      </c>
      <c r="I57" s="734"/>
      <c r="J57" s="734"/>
      <c r="K57" s="681">
        <v>10</v>
      </c>
      <c r="L57" s="681">
        <v>10.5</v>
      </c>
      <c r="M57" s="1470">
        <v>13.25</v>
      </c>
      <c r="N57" s="778">
        <f t="shared" si="8"/>
        <v>0.05</v>
      </c>
      <c r="O57" s="681">
        <v>15.48</v>
      </c>
      <c r="P57" s="681">
        <v>15.48</v>
      </c>
      <c r="Q57" s="681">
        <v>17.649999999999999</v>
      </c>
      <c r="R57" s="681">
        <v>17.649999999999999</v>
      </c>
      <c r="S57" s="879"/>
      <c r="T57" s="681" t="s">
        <v>3974</v>
      </c>
      <c r="U57" s="693"/>
      <c r="V57" s="2694"/>
      <c r="W57" s="2694"/>
      <c r="X57" s="2694"/>
      <c r="Y57" s="2694"/>
      <c r="Z57" s="2694"/>
      <c r="AA57" s="2694"/>
      <c r="AB57" s="2694"/>
    </row>
    <row r="58" spans="1:28" ht="42.6" hidden="1" customHeight="1">
      <c r="A58" s="893"/>
      <c r="B58" s="673" t="s">
        <v>1356</v>
      </c>
      <c r="C58" s="739"/>
      <c r="D58" s="700"/>
      <c r="E58" s="755"/>
      <c r="F58" s="906"/>
      <c r="G58" s="734">
        <v>0.6</v>
      </c>
      <c r="H58" s="681">
        <v>0.3</v>
      </c>
      <c r="I58" s="734"/>
      <c r="J58" s="734">
        <v>0.9</v>
      </c>
      <c r="K58" s="681">
        <v>0.5</v>
      </c>
      <c r="L58" s="681">
        <v>0.7</v>
      </c>
      <c r="M58" s="1470">
        <v>0.7</v>
      </c>
      <c r="N58" s="778">
        <f t="shared" si="8"/>
        <v>0.39999999999999991</v>
      </c>
      <c r="O58" s="681">
        <v>0.7</v>
      </c>
      <c r="P58" s="681">
        <v>0.7</v>
      </c>
      <c r="Q58" s="681">
        <v>0.7</v>
      </c>
      <c r="R58" s="681">
        <v>0.7</v>
      </c>
      <c r="S58" s="879"/>
      <c r="T58" s="691" t="s">
        <v>1857</v>
      </c>
      <c r="U58" s="693"/>
      <c r="V58" s="2694"/>
      <c r="W58" s="2694"/>
      <c r="X58" s="2694"/>
      <c r="Y58" s="2694"/>
      <c r="Z58" s="2694"/>
      <c r="AA58" s="2694"/>
      <c r="AB58" s="2694"/>
    </row>
    <row r="59" spans="1:28" ht="25.5" customHeight="1">
      <c r="A59" s="2879" t="s">
        <v>1958</v>
      </c>
      <c r="B59" s="2699" t="s">
        <v>1183</v>
      </c>
      <c r="C59" s="2719">
        <v>300509331</v>
      </c>
      <c r="D59" s="706" t="s">
        <v>470</v>
      </c>
      <c r="E59" s="720">
        <v>1.4</v>
      </c>
      <c r="F59" s="892">
        <f t="shared" si="55"/>
        <v>1.4285714285714288</v>
      </c>
      <c r="G59" s="720">
        <f>SUM(G61:G62)</f>
        <v>3.73</v>
      </c>
      <c r="H59" s="722">
        <f>SUM(H61:H62)</f>
        <v>3.4</v>
      </c>
      <c r="I59" s="720"/>
      <c r="J59" s="720"/>
      <c r="K59" s="722">
        <f>SUM(K61,K62)</f>
        <v>1.5</v>
      </c>
      <c r="L59" s="722">
        <v>1.6</v>
      </c>
      <c r="M59" s="1496">
        <v>1.8</v>
      </c>
      <c r="N59" s="1013">
        <f t="shared" si="8"/>
        <v>6.6666666666666721E-2</v>
      </c>
      <c r="O59" s="722">
        <f t="shared" ref="O59:P59" si="63">SUM(O61,O62)</f>
        <v>2</v>
      </c>
      <c r="P59" s="1496">
        <f t="shared" si="63"/>
        <v>2</v>
      </c>
      <c r="Q59" s="722">
        <f t="shared" ref="Q59:R59" si="64">SUM(Q61,Q62)</f>
        <v>2.2000000000000002</v>
      </c>
      <c r="R59" s="1496">
        <f t="shared" si="64"/>
        <v>2.2000000000000002</v>
      </c>
      <c r="S59" s="2796" t="s">
        <v>2186</v>
      </c>
      <c r="T59" s="2704" t="s">
        <v>1858</v>
      </c>
      <c r="U59" s="2694" t="s">
        <v>1324</v>
      </c>
      <c r="V59" s="2694"/>
      <c r="W59" s="2694"/>
      <c r="X59" s="2694"/>
      <c r="Y59" s="2694"/>
      <c r="Z59" s="2694"/>
      <c r="AA59" s="2694"/>
      <c r="AB59" s="2694"/>
    </row>
    <row r="60" spans="1:28" ht="51" customHeight="1">
      <c r="A60" s="2879"/>
      <c r="B60" s="2699"/>
      <c r="C60" s="2719"/>
      <c r="D60" s="725" t="s">
        <v>1067</v>
      </c>
      <c r="E60" s="726">
        <f>E59</f>
        <v>1.4</v>
      </c>
      <c r="F60" s="911">
        <f t="shared" si="55"/>
        <v>1.4285714285714288</v>
      </c>
      <c r="G60" s="726">
        <f>G59</f>
        <v>3.73</v>
      </c>
      <c r="H60" s="728">
        <f>H59</f>
        <v>3.4</v>
      </c>
      <c r="I60" s="726"/>
      <c r="J60" s="726"/>
      <c r="K60" s="728">
        <f>K59</f>
        <v>1.5</v>
      </c>
      <c r="L60" s="728">
        <f t="shared" ref="L60:O60" si="65">L59</f>
        <v>1.6</v>
      </c>
      <c r="M60" s="1464">
        <f t="shared" ref="M60" si="66">M59</f>
        <v>1.8</v>
      </c>
      <c r="N60" s="1243">
        <f t="shared" si="8"/>
        <v>6.6666666666666721E-2</v>
      </c>
      <c r="O60" s="728">
        <f t="shared" si="65"/>
        <v>2</v>
      </c>
      <c r="P60" s="1464">
        <f t="shared" ref="P60:Q60" si="67">P59</f>
        <v>2</v>
      </c>
      <c r="Q60" s="728">
        <f t="shared" si="67"/>
        <v>2.2000000000000002</v>
      </c>
      <c r="R60" s="1464">
        <f t="shared" ref="R60" si="68">R59</f>
        <v>2.2000000000000002</v>
      </c>
      <c r="S60" s="2796"/>
      <c r="T60" s="2734"/>
      <c r="U60" s="2694"/>
      <c r="V60" s="2694"/>
      <c r="W60" s="2694"/>
      <c r="X60" s="2694"/>
      <c r="Y60" s="2694"/>
      <c r="Z60" s="2694"/>
      <c r="AA60" s="2694"/>
      <c r="AB60" s="2694"/>
    </row>
    <row r="61" spans="1:28" ht="43.95" hidden="1" customHeight="1">
      <c r="A61" s="893"/>
      <c r="B61" s="673" t="s">
        <v>1355</v>
      </c>
      <c r="C61" s="739"/>
      <c r="D61" s="700"/>
      <c r="E61" s="734">
        <v>1.4</v>
      </c>
      <c r="F61" s="906">
        <f t="shared" si="55"/>
        <v>0</v>
      </c>
      <c r="G61" s="734">
        <v>1.73</v>
      </c>
      <c r="H61" s="681">
        <v>1.4</v>
      </c>
      <c r="I61" s="734"/>
      <c r="J61" s="734"/>
      <c r="K61" s="681">
        <v>1.5</v>
      </c>
      <c r="L61" s="681">
        <v>1.8</v>
      </c>
      <c r="M61" s="1470">
        <v>1.8</v>
      </c>
      <c r="N61" s="778">
        <f t="shared" si="8"/>
        <v>0.20000000000000004</v>
      </c>
      <c r="O61" s="681">
        <v>2</v>
      </c>
      <c r="P61" s="1470">
        <v>2</v>
      </c>
      <c r="Q61" s="681">
        <v>2.2000000000000002</v>
      </c>
      <c r="R61" s="1470">
        <v>2.2000000000000002</v>
      </c>
      <c r="S61" s="879"/>
      <c r="T61" s="691" t="s">
        <v>3975</v>
      </c>
      <c r="U61" s="683"/>
      <c r="V61" s="925"/>
      <c r="W61" s="925"/>
      <c r="X61" s="925"/>
      <c r="Y61" s="925"/>
      <c r="Z61" s="925"/>
      <c r="AA61" s="925"/>
      <c r="AB61" s="918"/>
    </row>
    <row r="62" spans="1:28" ht="25.5" hidden="1" customHeight="1">
      <c r="A62" s="893"/>
      <c r="B62" s="673" t="s">
        <v>1354</v>
      </c>
      <c r="C62" s="739"/>
      <c r="D62" s="682"/>
      <c r="E62" s="734"/>
      <c r="F62" s="906"/>
      <c r="G62" s="734">
        <v>2</v>
      </c>
      <c r="H62" s="681">
        <v>2</v>
      </c>
      <c r="I62" s="734"/>
      <c r="J62" s="734"/>
      <c r="K62" s="681"/>
      <c r="L62" s="681">
        <v>0</v>
      </c>
      <c r="M62" s="1470"/>
      <c r="N62" s="778" t="e">
        <f t="shared" si="8"/>
        <v>#DIV/0!</v>
      </c>
      <c r="O62" s="681">
        <v>0</v>
      </c>
      <c r="P62" s="1470"/>
      <c r="Q62" s="681"/>
      <c r="R62" s="1470"/>
      <c r="S62" s="879"/>
      <c r="T62" s="681"/>
      <c r="U62" s="683"/>
      <c r="V62" s="925"/>
      <c r="W62" s="925"/>
      <c r="X62" s="925"/>
      <c r="Y62" s="925"/>
      <c r="Z62" s="925"/>
      <c r="AA62" s="925"/>
      <c r="AB62" s="918"/>
    </row>
    <row r="63" spans="1:28" s="189" customFormat="1" ht="138.75" customHeight="1">
      <c r="A63" s="697" t="s">
        <v>2845</v>
      </c>
      <c r="B63" s="663" t="s">
        <v>2787</v>
      </c>
      <c r="C63" s="697"/>
      <c r="D63" s="697"/>
      <c r="E63" s="745" t="e">
        <f>SUM(E66,E69,E74,E78,E86,)</f>
        <v>#REF!</v>
      </c>
      <c r="F63" s="897" t="e">
        <f t="shared" si="55"/>
        <v>#REF!</v>
      </c>
      <c r="G63" s="745" t="e">
        <f>SUM(G66,G69,G74,G78,G86,)</f>
        <v>#REF!</v>
      </c>
      <c r="H63" s="746">
        <f>SUM(H66,H69,H74,H78,H86,)</f>
        <v>120.08</v>
      </c>
      <c r="I63" s="745"/>
      <c r="J63" s="745"/>
      <c r="K63" s="746">
        <f t="shared" ref="K63:R63" si="69">SUM(K66,K69,K74,K78,K86,)</f>
        <v>92.5</v>
      </c>
      <c r="L63" s="746">
        <f>SUM(L66,L69,L74,L78,L86,)</f>
        <v>138.6</v>
      </c>
      <c r="M63" s="1497">
        <f>SUM(M66,M69,M74,M78,M86,)</f>
        <v>185.39999999999998</v>
      </c>
      <c r="N63" s="2132">
        <f t="shared" si="8"/>
        <v>0.49837837837837834</v>
      </c>
      <c r="O63" s="746">
        <f t="shared" si="69"/>
        <v>183.3</v>
      </c>
      <c r="P63" s="1497">
        <f t="shared" si="69"/>
        <v>184.9</v>
      </c>
      <c r="Q63" s="746">
        <f t="shared" si="69"/>
        <v>211.55</v>
      </c>
      <c r="R63" s="1497">
        <f t="shared" si="69"/>
        <v>211.55</v>
      </c>
      <c r="S63" s="179" t="s">
        <v>2188</v>
      </c>
      <c r="T63" s="697"/>
      <c r="U63" s="671" t="s">
        <v>1325</v>
      </c>
      <c r="V63" s="671" t="s">
        <v>1708</v>
      </c>
      <c r="W63" s="671" t="s">
        <v>1722</v>
      </c>
      <c r="X63" s="671" t="s">
        <v>1722</v>
      </c>
      <c r="Y63" s="671" t="s">
        <v>1721</v>
      </c>
      <c r="Z63" s="671" t="s">
        <v>1720</v>
      </c>
      <c r="AA63" s="671" t="s">
        <v>1720</v>
      </c>
      <c r="AB63" s="671" t="s">
        <v>2189</v>
      </c>
    </row>
    <row r="64" spans="1:28" ht="34.799999999999997" customHeight="1">
      <c r="A64" s="2879" t="s">
        <v>1959</v>
      </c>
      <c r="B64" s="2699" t="s">
        <v>1185</v>
      </c>
      <c r="C64" s="2719">
        <v>300509331</v>
      </c>
      <c r="D64" s="706" t="s">
        <v>470</v>
      </c>
      <c r="E64" s="720">
        <f>E67</f>
        <v>11.4</v>
      </c>
      <c r="F64" s="892">
        <f t="shared" si="55"/>
        <v>0.22807017543859653</v>
      </c>
      <c r="G64" s="720">
        <v>16</v>
      </c>
      <c r="H64" s="722">
        <v>14</v>
      </c>
      <c r="I64" s="720"/>
      <c r="J64" s="720"/>
      <c r="K64" s="722">
        <v>14</v>
      </c>
      <c r="L64" s="722">
        <v>16</v>
      </c>
      <c r="M64" s="722">
        <v>25.2</v>
      </c>
      <c r="N64" s="2130">
        <f t="shared" si="8"/>
        <v>0.14285714285714285</v>
      </c>
      <c r="O64" s="722">
        <v>27.3</v>
      </c>
      <c r="P64" s="1496">
        <v>27.3</v>
      </c>
      <c r="Q64" s="722">
        <v>29.9</v>
      </c>
      <c r="R64" s="1496">
        <v>29.9</v>
      </c>
      <c r="S64" s="2796" t="s">
        <v>2190</v>
      </c>
      <c r="T64" s="2704" t="s">
        <v>1350</v>
      </c>
      <c r="U64" s="2694" t="s">
        <v>1326</v>
      </c>
      <c r="V64" s="2694" t="s">
        <v>1333</v>
      </c>
      <c r="W64" s="2694" t="s">
        <v>1306</v>
      </c>
      <c r="X64" s="2694" t="s">
        <v>1306</v>
      </c>
      <c r="Y64" s="2694" t="s">
        <v>1367</v>
      </c>
      <c r="Z64" s="2694" t="s">
        <v>1368</v>
      </c>
      <c r="AA64" s="2694" t="s">
        <v>1368</v>
      </c>
      <c r="AB64" s="2694" t="s">
        <v>2181</v>
      </c>
    </row>
    <row r="65" spans="1:28" ht="33" hidden="1" customHeight="1">
      <c r="A65" s="2879"/>
      <c r="B65" s="2699"/>
      <c r="C65" s="2719"/>
      <c r="D65" s="706" t="s">
        <v>412</v>
      </c>
      <c r="E65" s="720">
        <v>0</v>
      </c>
      <c r="F65" s="892"/>
      <c r="G65" s="720">
        <v>0.24</v>
      </c>
      <c r="H65" s="722">
        <v>0</v>
      </c>
      <c r="I65" s="720"/>
      <c r="J65" s="720"/>
      <c r="K65" s="722"/>
      <c r="L65" s="722"/>
      <c r="M65" s="1496"/>
      <c r="N65" s="1013" t="e">
        <f t="shared" si="8"/>
        <v>#DIV/0!</v>
      </c>
      <c r="O65" s="722"/>
      <c r="P65" s="1496"/>
      <c r="Q65" s="722"/>
      <c r="R65" s="1496"/>
      <c r="S65" s="2796"/>
      <c r="T65" s="2704"/>
      <c r="U65" s="2694"/>
      <c r="V65" s="2694"/>
      <c r="W65" s="2694"/>
      <c r="X65" s="2694"/>
      <c r="Y65" s="2694"/>
      <c r="Z65" s="2694"/>
      <c r="AA65" s="2694"/>
      <c r="AB65" s="2694"/>
    </row>
    <row r="66" spans="1:28" ht="38.4" customHeight="1">
      <c r="A66" s="2879"/>
      <c r="B66" s="2699"/>
      <c r="C66" s="2719"/>
      <c r="D66" s="725" t="s">
        <v>1067</v>
      </c>
      <c r="E66" s="726">
        <f>SUM(E64:E65)</f>
        <v>11.4</v>
      </c>
      <c r="F66" s="911">
        <f t="shared" si="55"/>
        <v>0.22807017543859653</v>
      </c>
      <c r="G66" s="726" cm="1">
        <f t="array" ref="G66:G67">G64:G65</f>
        <v>16</v>
      </c>
      <c r="H66" s="728" cm="1">
        <f t="array" ref="H66:H67">H64:H65</f>
        <v>14</v>
      </c>
      <c r="I66" s="726"/>
      <c r="J66" s="726"/>
      <c r="K66" s="728">
        <f>SUM(K64,K65)</f>
        <v>14</v>
      </c>
      <c r="L66" s="728">
        <f t="shared" ref="L66:O66" si="70">SUM(L64,L65)</f>
        <v>16</v>
      </c>
      <c r="M66" s="1464">
        <f t="shared" ref="M66" si="71">SUM(M64,M65)</f>
        <v>25.2</v>
      </c>
      <c r="N66" s="1243">
        <f t="shared" si="8"/>
        <v>0.14285714285714285</v>
      </c>
      <c r="O66" s="728">
        <f t="shared" si="70"/>
        <v>27.3</v>
      </c>
      <c r="P66" s="1464">
        <f t="shared" ref="P66:Q66" si="72">SUM(P64,P65)</f>
        <v>27.3</v>
      </c>
      <c r="Q66" s="728">
        <f t="shared" si="72"/>
        <v>29.9</v>
      </c>
      <c r="R66" s="1464">
        <f t="shared" ref="R66" si="73">SUM(R64,R65)</f>
        <v>29.9</v>
      </c>
      <c r="S66" s="2796"/>
      <c r="T66" s="2734"/>
      <c r="U66" s="2694"/>
      <c r="V66" s="2694"/>
      <c r="W66" s="2694"/>
      <c r="X66" s="2694"/>
      <c r="Y66" s="2694"/>
      <c r="Z66" s="2694"/>
      <c r="AA66" s="2694"/>
      <c r="AB66" s="2694"/>
    </row>
    <row r="67" spans="1:28" ht="25.5" hidden="1" customHeight="1">
      <c r="A67" s="926"/>
      <c r="B67" s="673" t="s">
        <v>1355</v>
      </c>
      <c r="C67" s="900"/>
      <c r="D67" s="780"/>
      <c r="E67" s="751">
        <v>11.4</v>
      </c>
      <c r="F67" s="915">
        <f t="shared" si="55"/>
        <v>-1</v>
      </c>
      <c r="G67" s="757">
        <v>0.24</v>
      </c>
      <c r="H67" s="737">
        <v>0</v>
      </c>
      <c r="I67" s="755"/>
      <c r="J67" s="755"/>
      <c r="K67" s="681">
        <v>14</v>
      </c>
      <c r="L67" s="681">
        <v>14</v>
      </c>
      <c r="M67" s="1470">
        <v>14</v>
      </c>
      <c r="N67" s="778">
        <f t="shared" si="8"/>
        <v>0</v>
      </c>
      <c r="O67" s="681">
        <v>14</v>
      </c>
      <c r="P67" s="1470">
        <v>14</v>
      </c>
      <c r="Q67" s="681">
        <v>14</v>
      </c>
      <c r="R67" s="1470">
        <v>14</v>
      </c>
      <c r="S67" s="879"/>
      <c r="T67" s="681"/>
      <c r="U67" s="693"/>
      <c r="V67" s="693"/>
      <c r="W67" s="693"/>
      <c r="X67" s="693"/>
      <c r="Y67" s="693"/>
      <c r="Z67" s="693"/>
      <c r="AA67" s="693"/>
      <c r="AB67" s="693"/>
    </row>
    <row r="68" spans="1:28" ht="36.6" customHeight="1">
      <c r="A68" s="2879" t="s">
        <v>1960</v>
      </c>
      <c r="B68" s="2699" t="s">
        <v>1186</v>
      </c>
      <c r="C68" s="2719" t="s">
        <v>1071</v>
      </c>
      <c r="D68" s="706" t="s">
        <v>470</v>
      </c>
      <c r="E68" s="720">
        <f>E71</f>
        <v>14</v>
      </c>
      <c r="F68" s="892">
        <f t="shared" si="55"/>
        <v>-8.5714285714285632E-2</v>
      </c>
      <c r="G68" s="720">
        <f>SUM(G70:G71)</f>
        <v>10.6</v>
      </c>
      <c r="H68" s="722">
        <f>14-1.2</f>
        <v>12.8</v>
      </c>
      <c r="I68" s="720"/>
      <c r="J68" s="720">
        <f>SUM(J71,J72)</f>
        <v>22</v>
      </c>
      <c r="K68" s="722">
        <f t="shared" ref="K68:R68" si="74">SUM(K71,K72,K70)</f>
        <v>29</v>
      </c>
      <c r="L68" s="722">
        <f>SUM(L71,L72,L70)</f>
        <v>14.6</v>
      </c>
      <c r="M68" s="1496">
        <f t="shared" si="74"/>
        <v>15.6</v>
      </c>
      <c r="N68" s="1013">
        <f t="shared" si="8"/>
        <v>-0.49655172413793103</v>
      </c>
      <c r="O68" s="722">
        <f t="shared" si="74"/>
        <v>14</v>
      </c>
      <c r="P68" s="1496">
        <f t="shared" si="74"/>
        <v>15.6</v>
      </c>
      <c r="Q68" s="722">
        <f t="shared" si="74"/>
        <v>32.65</v>
      </c>
      <c r="R68" s="1496">
        <f t="shared" si="74"/>
        <v>32.65</v>
      </c>
      <c r="S68" s="2796" t="s">
        <v>2191</v>
      </c>
      <c r="T68" s="2704" t="s">
        <v>3682</v>
      </c>
      <c r="U68" s="2694" t="s">
        <v>1338</v>
      </c>
      <c r="V68" s="2694" t="s">
        <v>2788</v>
      </c>
      <c r="W68" s="2694" t="s">
        <v>392</v>
      </c>
      <c r="X68" s="2694" t="s">
        <v>392</v>
      </c>
      <c r="Y68" s="2694" t="s">
        <v>392</v>
      </c>
      <c r="Z68" s="2694" t="s">
        <v>392</v>
      </c>
      <c r="AA68" s="2694" t="s">
        <v>392</v>
      </c>
      <c r="AB68" s="2694" t="s">
        <v>2192</v>
      </c>
    </row>
    <row r="69" spans="1:28" ht="42" customHeight="1">
      <c r="A69" s="2879"/>
      <c r="B69" s="2699"/>
      <c r="C69" s="2719"/>
      <c r="D69" s="725" t="s">
        <v>1067</v>
      </c>
      <c r="E69" s="726">
        <f>E68</f>
        <v>14</v>
      </c>
      <c r="F69" s="911">
        <f t="shared" si="55"/>
        <v>-8.5714285714285632E-2</v>
      </c>
      <c r="G69" s="726">
        <f>SUM(G68)</f>
        <v>10.6</v>
      </c>
      <c r="H69" s="728">
        <f>SUM(H68)</f>
        <v>12.8</v>
      </c>
      <c r="I69" s="726"/>
      <c r="J69" s="726">
        <f t="shared" ref="J69:O69" si="75">SUM(J68)</f>
        <v>22</v>
      </c>
      <c r="K69" s="728">
        <f t="shared" si="75"/>
        <v>29</v>
      </c>
      <c r="L69" s="728">
        <f t="shared" si="75"/>
        <v>14.6</v>
      </c>
      <c r="M69" s="1464">
        <f t="shared" ref="M69" si="76">SUM(M68)</f>
        <v>15.6</v>
      </c>
      <c r="N69" s="1243">
        <f t="shared" si="8"/>
        <v>-0.49655172413793103</v>
      </c>
      <c r="O69" s="728">
        <f t="shared" si="75"/>
        <v>14</v>
      </c>
      <c r="P69" s="1464">
        <f t="shared" ref="P69:Q69" si="77">SUM(P68)</f>
        <v>15.6</v>
      </c>
      <c r="Q69" s="728">
        <f t="shared" si="77"/>
        <v>32.65</v>
      </c>
      <c r="R69" s="1464">
        <f t="shared" ref="R69" si="78">SUM(R68)</f>
        <v>32.65</v>
      </c>
      <c r="S69" s="2796"/>
      <c r="T69" s="2734"/>
      <c r="U69" s="2694"/>
      <c r="V69" s="2694"/>
      <c r="W69" s="2694"/>
      <c r="X69" s="2694"/>
      <c r="Y69" s="2694"/>
      <c r="Z69" s="2694"/>
      <c r="AA69" s="2694"/>
      <c r="AB69" s="2694"/>
    </row>
    <row r="70" spans="1:28" ht="49.2" hidden="1" customHeight="1">
      <c r="A70" s="913"/>
      <c r="B70" s="673" t="s">
        <v>1355</v>
      </c>
      <c r="C70" s="739"/>
      <c r="D70" s="682"/>
      <c r="E70" s="734">
        <v>0</v>
      </c>
      <c r="F70" s="906" t="e">
        <f t="shared" ref="F70" si="79">(G70-E70)/E70</f>
        <v>#DIV/0!</v>
      </c>
      <c r="G70" s="734">
        <v>0.6</v>
      </c>
      <c r="H70" s="681">
        <v>0</v>
      </c>
      <c r="I70" s="734"/>
      <c r="J70" s="734"/>
      <c r="K70" s="681">
        <v>0</v>
      </c>
      <c r="L70" s="681">
        <v>0.6</v>
      </c>
      <c r="M70" s="1470">
        <v>0.6</v>
      </c>
      <c r="N70" s="778"/>
      <c r="O70" s="681">
        <v>0</v>
      </c>
      <c r="P70" s="1470">
        <v>0.6</v>
      </c>
      <c r="Q70" s="681">
        <v>0.65</v>
      </c>
      <c r="R70" s="1470">
        <v>0.65</v>
      </c>
      <c r="S70" s="879"/>
      <c r="T70" s="691" t="s">
        <v>3976</v>
      </c>
      <c r="U70" s="683"/>
      <c r="V70" s="693"/>
      <c r="W70" s="693"/>
      <c r="X70" s="693"/>
      <c r="Y70" s="693"/>
      <c r="Z70" s="693"/>
      <c r="AA70" s="693"/>
      <c r="AB70" s="693"/>
    </row>
    <row r="71" spans="1:28" ht="79.95" hidden="1" customHeight="1">
      <c r="A71" s="913"/>
      <c r="B71" s="2923" t="s">
        <v>1354</v>
      </c>
      <c r="C71" s="739"/>
      <c r="D71" s="682"/>
      <c r="E71" s="734">
        <v>14</v>
      </c>
      <c r="F71" s="906">
        <f t="shared" si="55"/>
        <v>-0.2857142857142857</v>
      </c>
      <c r="G71" s="734">
        <v>10</v>
      </c>
      <c r="H71" s="681">
        <v>10</v>
      </c>
      <c r="I71" s="734"/>
      <c r="J71" s="734">
        <v>10</v>
      </c>
      <c r="K71" s="681">
        <f>14+15</f>
        <v>29</v>
      </c>
      <c r="L71" s="681">
        <v>14</v>
      </c>
      <c r="M71" s="1470">
        <v>15</v>
      </c>
      <c r="N71" s="778">
        <f t="shared" si="8"/>
        <v>-0.51724137931034486</v>
      </c>
      <c r="O71" s="681">
        <v>14</v>
      </c>
      <c r="P71" s="1470">
        <v>15</v>
      </c>
      <c r="Q71" s="681">
        <v>32</v>
      </c>
      <c r="R71" s="1470">
        <v>32</v>
      </c>
      <c r="S71" s="1357"/>
      <c r="T71" s="2939" t="s">
        <v>3984</v>
      </c>
      <c r="U71" s="683"/>
      <c r="V71" s="693"/>
      <c r="W71" s="693"/>
      <c r="X71" s="693"/>
      <c r="Y71" s="693"/>
      <c r="Z71" s="693"/>
      <c r="AA71" s="693"/>
      <c r="AB71" s="693"/>
    </row>
    <row r="72" spans="1:28" ht="63.6" hidden="1" customHeight="1">
      <c r="A72" s="913"/>
      <c r="B72" s="2924"/>
      <c r="C72" s="739"/>
      <c r="D72" s="682"/>
      <c r="E72" s="734"/>
      <c r="F72" s="906"/>
      <c r="G72" s="734"/>
      <c r="H72" s="681"/>
      <c r="I72" s="734"/>
      <c r="J72" s="734">
        <v>12</v>
      </c>
      <c r="K72" s="681"/>
      <c r="L72" s="681"/>
      <c r="M72" s="1470"/>
      <c r="N72" s="778" t="e">
        <f t="shared" si="8"/>
        <v>#DIV/0!</v>
      </c>
      <c r="O72" s="681"/>
      <c r="P72" s="1470"/>
      <c r="Q72" s="681"/>
      <c r="R72" s="1470"/>
      <c r="S72" s="1357"/>
      <c r="T72" s="2940"/>
      <c r="U72" s="683"/>
      <c r="V72" s="693"/>
      <c r="W72" s="693"/>
      <c r="X72" s="693"/>
      <c r="Y72" s="693"/>
      <c r="Z72" s="693"/>
      <c r="AA72" s="693"/>
      <c r="AB72" s="693"/>
    </row>
    <row r="73" spans="1:28" ht="39.6" customHeight="1">
      <c r="A73" s="2879" t="s">
        <v>1961</v>
      </c>
      <c r="B73" s="2699" t="s">
        <v>1187</v>
      </c>
      <c r="C73" s="2719">
        <v>300509331</v>
      </c>
      <c r="D73" s="706" t="s">
        <v>470</v>
      </c>
      <c r="E73" s="720">
        <f>SUM(E75,E76)</f>
        <v>41.5</v>
      </c>
      <c r="F73" s="892">
        <f t="shared" si="55"/>
        <v>-0.24096385542168675</v>
      </c>
      <c r="G73" s="720">
        <f>SUM(G75:G76)</f>
        <v>65</v>
      </c>
      <c r="H73" s="722">
        <f>SUM(H75:H76)</f>
        <v>31.5</v>
      </c>
      <c r="I73" s="720"/>
      <c r="J73" s="720"/>
      <c r="K73" s="722">
        <f t="shared" ref="K73" si="80">SUM(K75:K76)</f>
        <v>21.5</v>
      </c>
      <c r="L73" s="722">
        <f>SUM(L75:L76)</f>
        <v>41</v>
      </c>
      <c r="M73" s="722">
        <f>M76</f>
        <v>42</v>
      </c>
      <c r="N73" s="2130">
        <f t="shared" si="8"/>
        <v>0.90697674418604646</v>
      </c>
      <c r="O73" s="722">
        <v>43</v>
      </c>
      <c r="P73" s="1496">
        <f t="shared" ref="P73:R73" si="81">P76</f>
        <v>43</v>
      </c>
      <c r="Q73" s="722">
        <v>47</v>
      </c>
      <c r="R73" s="1496">
        <f t="shared" si="81"/>
        <v>47</v>
      </c>
      <c r="S73" s="2796" t="s">
        <v>2193</v>
      </c>
      <c r="T73" s="2704" t="s">
        <v>3721</v>
      </c>
      <c r="U73" s="2694" t="s">
        <v>1339</v>
      </c>
      <c r="V73" s="2694" t="s">
        <v>1334</v>
      </c>
      <c r="W73" s="2694" t="s">
        <v>392</v>
      </c>
      <c r="X73" s="2694" t="s">
        <v>1372</v>
      </c>
      <c r="Y73" s="2694" t="s">
        <v>1372</v>
      </c>
      <c r="Z73" s="2694" t="s">
        <v>1372</v>
      </c>
      <c r="AA73" s="2694" t="s">
        <v>1372</v>
      </c>
      <c r="AB73" s="2694" t="s">
        <v>2194</v>
      </c>
    </row>
    <row r="74" spans="1:28" ht="76.2" customHeight="1">
      <c r="A74" s="2879"/>
      <c r="B74" s="2699"/>
      <c r="C74" s="2719"/>
      <c r="D74" s="725" t="s">
        <v>1067</v>
      </c>
      <c r="E74" s="726">
        <f>E73</f>
        <v>41.5</v>
      </c>
      <c r="F74" s="911">
        <f t="shared" si="55"/>
        <v>-0.24096385542168675</v>
      </c>
      <c r="G74" s="726">
        <f>SUM(G73)</f>
        <v>65</v>
      </c>
      <c r="H74" s="728">
        <f>SUM(H73)</f>
        <v>31.5</v>
      </c>
      <c r="I74" s="726"/>
      <c r="J74" s="726"/>
      <c r="K74" s="728">
        <f t="shared" ref="K74:O74" si="82">SUM(K73)</f>
        <v>21.5</v>
      </c>
      <c r="L74" s="728">
        <f t="shared" si="82"/>
        <v>41</v>
      </c>
      <c r="M74" s="1464">
        <f t="shared" ref="M74" si="83">SUM(M73)</f>
        <v>42</v>
      </c>
      <c r="N74" s="1243">
        <f t="shared" si="8"/>
        <v>0.90697674418604646</v>
      </c>
      <c r="O74" s="728">
        <f t="shared" si="82"/>
        <v>43</v>
      </c>
      <c r="P74" s="1464">
        <f t="shared" ref="P74:Q74" si="84">SUM(P73)</f>
        <v>43</v>
      </c>
      <c r="Q74" s="728">
        <f t="shared" si="84"/>
        <v>47</v>
      </c>
      <c r="R74" s="1464">
        <f t="shared" ref="R74" si="85">SUM(R73)</f>
        <v>47</v>
      </c>
      <c r="S74" s="2796"/>
      <c r="T74" s="2734"/>
      <c r="U74" s="2694"/>
      <c r="V74" s="2694"/>
      <c r="W74" s="2694"/>
      <c r="X74" s="2694"/>
      <c r="Y74" s="2694"/>
      <c r="Z74" s="2694"/>
      <c r="AA74" s="2694"/>
      <c r="AB74" s="2694"/>
    </row>
    <row r="75" spans="1:28" ht="72.599999999999994" hidden="1" customHeight="1">
      <c r="A75" s="913"/>
      <c r="B75" s="673" t="s">
        <v>1354</v>
      </c>
      <c r="C75" s="739"/>
      <c r="D75" s="682"/>
      <c r="E75" s="734">
        <v>20</v>
      </c>
      <c r="F75" s="906">
        <f t="shared" si="55"/>
        <v>-0.5</v>
      </c>
      <c r="G75" s="734">
        <v>33</v>
      </c>
      <c r="H75" s="681">
        <v>10</v>
      </c>
      <c r="I75" s="734"/>
      <c r="J75" s="734"/>
      <c r="K75" s="681"/>
      <c r="L75" s="681"/>
      <c r="M75" s="1470"/>
      <c r="N75" s="778" t="e">
        <f t="shared" si="8"/>
        <v>#DIV/0!</v>
      </c>
      <c r="O75" s="681"/>
      <c r="P75" s="1470"/>
      <c r="Q75" s="681"/>
      <c r="R75" s="1470"/>
      <c r="S75" s="879"/>
      <c r="T75" s="691"/>
      <c r="U75" s="693"/>
      <c r="V75" s="693"/>
      <c r="W75" s="693"/>
      <c r="X75" s="693"/>
      <c r="Y75" s="693"/>
      <c r="Z75" s="693"/>
      <c r="AA75" s="693"/>
      <c r="AB75" s="688"/>
    </row>
    <row r="76" spans="1:28" ht="53.4" hidden="1" customHeight="1">
      <c r="A76" s="913"/>
      <c r="B76" s="673" t="s">
        <v>1355</v>
      </c>
      <c r="C76" s="739"/>
      <c r="D76" s="682"/>
      <c r="E76" s="734">
        <v>21.5</v>
      </c>
      <c r="F76" s="906">
        <f t="shared" si="55"/>
        <v>0</v>
      </c>
      <c r="G76" s="734">
        <v>32</v>
      </c>
      <c r="H76" s="681">
        <v>21.5</v>
      </c>
      <c r="I76" s="734"/>
      <c r="J76" s="734"/>
      <c r="K76" s="681">
        <v>21.5</v>
      </c>
      <c r="L76" s="681">
        <v>41</v>
      </c>
      <c r="M76" s="1470">
        <v>42</v>
      </c>
      <c r="N76" s="778">
        <f t="shared" si="8"/>
        <v>0.90697674418604646</v>
      </c>
      <c r="O76" s="681">
        <v>21.5</v>
      </c>
      <c r="P76" s="1470">
        <v>43</v>
      </c>
      <c r="Q76" s="681"/>
      <c r="R76" s="1470">
        <v>47</v>
      </c>
      <c r="S76" s="879"/>
      <c r="T76" s="1462" t="s">
        <v>3977</v>
      </c>
      <c r="U76" s="693"/>
      <c r="V76" s="693"/>
      <c r="W76" s="693"/>
      <c r="X76" s="693"/>
      <c r="Y76" s="693"/>
      <c r="Z76" s="693"/>
      <c r="AA76" s="693"/>
      <c r="AB76" s="688"/>
    </row>
    <row r="77" spans="1:28" ht="72.599999999999994" customHeight="1">
      <c r="A77" s="2879" t="s">
        <v>1962</v>
      </c>
      <c r="B77" s="2699" t="s">
        <v>3103</v>
      </c>
      <c r="C77" s="2719" t="s">
        <v>1071</v>
      </c>
      <c r="D77" s="706" t="s">
        <v>470</v>
      </c>
      <c r="E77" s="720" t="e">
        <f>#REF!</f>
        <v>#REF!</v>
      </c>
      <c r="F77" s="892" t="e">
        <f t="shared" si="55"/>
        <v>#REF!</v>
      </c>
      <c r="G77" s="720" t="e">
        <f>SUM(#REF!)</f>
        <v>#REF!</v>
      </c>
      <c r="H77" s="722">
        <v>18</v>
      </c>
      <c r="I77" s="720"/>
      <c r="J77" s="720">
        <f>SUM(J79,J80,J81,J82,)</f>
        <v>36</v>
      </c>
      <c r="K77" s="722">
        <f t="shared" ref="K77" si="86">SUM(K79,K80,K81,K82,)</f>
        <v>28</v>
      </c>
      <c r="L77" s="722">
        <f>SUM(L79,L80,L81,L82,)</f>
        <v>67</v>
      </c>
      <c r="M77" s="722">
        <f>SUM(M79,M80,M81,M82,)</f>
        <v>102.6</v>
      </c>
      <c r="N77" s="2130">
        <f t="shared" si="8"/>
        <v>1.3928571428571428</v>
      </c>
      <c r="O77" s="722">
        <f>SUM(O79,O80,O81,O82,)</f>
        <v>99</v>
      </c>
      <c r="P77" s="1496">
        <f>SUM(P79,P80,P81,P82)</f>
        <v>99</v>
      </c>
      <c r="Q77" s="722">
        <f t="shared" ref="Q77:R77" si="87">SUM(Q79,Q80,Q81,Q82)</f>
        <v>102</v>
      </c>
      <c r="R77" s="1496">
        <f t="shared" si="87"/>
        <v>102</v>
      </c>
      <c r="S77" s="2796" t="s">
        <v>2195</v>
      </c>
      <c r="T77" s="2704" t="s">
        <v>3669</v>
      </c>
      <c r="U77" s="2694" t="s">
        <v>1340</v>
      </c>
      <c r="V77" s="2694" t="s">
        <v>1335</v>
      </c>
      <c r="W77" s="2694" t="s">
        <v>1315</v>
      </c>
      <c r="X77" s="2694" t="s">
        <v>1315</v>
      </c>
      <c r="Y77" s="2694" t="s">
        <v>1420</v>
      </c>
      <c r="Z77" s="2694" t="s">
        <v>1332</v>
      </c>
      <c r="AA77" s="2694" t="s">
        <v>1332</v>
      </c>
      <c r="AB77" s="2694" t="s">
        <v>2185</v>
      </c>
    </row>
    <row r="78" spans="1:28" ht="166.8" customHeight="1">
      <c r="A78" s="2879"/>
      <c r="B78" s="2699"/>
      <c r="C78" s="2719"/>
      <c r="D78" s="725" t="s">
        <v>1067</v>
      </c>
      <c r="E78" s="726" t="e">
        <f>E77</f>
        <v>#REF!</v>
      </c>
      <c r="F78" s="911" t="e">
        <f t="shared" si="55"/>
        <v>#REF!</v>
      </c>
      <c r="G78" s="726" t="e">
        <f>G77</f>
        <v>#REF!</v>
      </c>
      <c r="H78" s="728">
        <f>H77</f>
        <v>18</v>
      </c>
      <c r="I78" s="726"/>
      <c r="J78" s="726">
        <f>J77</f>
        <v>36</v>
      </c>
      <c r="K78" s="728">
        <f t="shared" ref="K78:O78" si="88">K77</f>
        <v>28</v>
      </c>
      <c r="L78" s="728">
        <f t="shared" si="88"/>
        <v>67</v>
      </c>
      <c r="M78" s="1464">
        <f t="shared" ref="M78" si="89">M77</f>
        <v>102.6</v>
      </c>
      <c r="N78" s="1243">
        <f t="shared" si="8"/>
        <v>1.3928571428571428</v>
      </c>
      <c r="O78" s="728">
        <f t="shared" si="88"/>
        <v>99</v>
      </c>
      <c r="P78" s="1464">
        <f t="shared" ref="P78:Q78" si="90">P77</f>
        <v>99</v>
      </c>
      <c r="Q78" s="728">
        <f t="shared" si="90"/>
        <v>102</v>
      </c>
      <c r="R78" s="1464">
        <f t="shared" ref="R78" si="91">R77</f>
        <v>102</v>
      </c>
      <c r="S78" s="2796"/>
      <c r="T78" s="2734"/>
      <c r="U78" s="2694"/>
      <c r="V78" s="2694"/>
      <c r="W78" s="2694"/>
      <c r="X78" s="2694"/>
      <c r="Y78" s="2694"/>
      <c r="Z78" s="2694"/>
      <c r="AA78" s="2694"/>
      <c r="AB78" s="2694"/>
    </row>
    <row r="79" spans="1:28" ht="99.6" hidden="1" customHeight="1">
      <c r="A79" s="893"/>
      <c r="B79" s="673" t="s">
        <v>3226</v>
      </c>
      <c r="C79" s="739" t="s">
        <v>3026</v>
      </c>
      <c r="D79" s="682"/>
      <c r="E79" s="681"/>
      <c r="F79" s="733"/>
      <c r="G79" s="681"/>
      <c r="H79" s="681"/>
      <c r="I79" s="686"/>
      <c r="J79" s="737">
        <v>10</v>
      </c>
      <c r="K79" s="681">
        <v>10</v>
      </c>
      <c r="L79" s="681">
        <v>25</v>
      </c>
      <c r="M79" s="681">
        <v>34</v>
      </c>
      <c r="N79" s="778">
        <f t="shared" si="8"/>
        <v>1.5</v>
      </c>
      <c r="O79" s="681">
        <v>34</v>
      </c>
      <c r="P79" s="681">
        <v>34</v>
      </c>
      <c r="Q79" s="681">
        <v>34</v>
      </c>
      <c r="R79" s="681">
        <v>34</v>
      </c>
      <c r="S79" s="651"/>
      <c r="T79" s="907" t="s">
        <v>4348</v>
      </c>
      <c r="U79" s="925"/>
      <c r="V79" s="925"/>
      <c r="W79" s="925"/>
      <c r="X79" s="925"/>
      <c r="Y79" s="925"/>
      <c r="Z79" s="925"/>
      <c r="AA79" s="925"/>
      <c r="AB79" s="925"/>
    </row>
    <row r="80" spans="1:28" ht="87" hidden="1" customHeight="1">
      <c r="A80" s="893"/>
      <c r="B80" s="673" t="s">
        <v>3227</v>
      </c>
      <c r="C80" s="739"/>
      <c r="D80" s="682"/>
      <c r="E80" s="681"/>
      <c r="F80" s="733"/>
      <c r="G80" s="681"/>
      <c r="H80" s="681"/>
      <c r="I80" s="686"/>
      <c r="J80" s="737">
        <v>20</v>
      </c>
      <c r="K80" s="681">
        <v>13</v>
      </c>
      <c r="L80" s="681">
        <v>16</v>
      </c>
      <c r="M80" s="681">
        <v>19</v>
      </c>
      <c r="N80" s="778">
        <f t="shared" si="8"/>
        <v>0.23076923076923078</v>
      </c>
      <c r="O80" s="681">
        <v>19</v>
      </c>
      <c r="P80" s="681">
        <v>19</v>
      </c>
      <c r="Q80" s="681">
        <v>22</v>
      </c>
      <c r="R80" s="681">
        <v>22</v>
      </c>
      <c r="S80" s="651"/>
      <c r="T80" s="907" t="s">
        <v>4349</v>
      </c>
      <c r="U80" s="925"/>
      <c r="V80" s="925"/>
      <c r="W80" s="925"/>
      <c r="X80" s="925"/>
      <c r="Y80" s="925"/>
      <c r="Z80" s="925"/>
      <c r="AA80" s="925"/>
      <c r="AB80" s="925"/>
    </row>
    <row r="81" spans="1:60" ht="81" hidden="1" customHeight="1">
      <c r="A81" s="893"/>
      <c r="B81" s="673" t="s">
        <v>3228</v>
      </c>
      <c r="C81" s="739"/>
      <c r="D81" s="682"/>
      <c r="E81" s="681"/>
      <c r="F81" s="733"/>
      <c r="G81" s="681"/>
      <c r="H81" s="681"/>
      <c r="I81" s="686"/>
      <c r="J81" s="737">
        <v>0</v>
      </c>
      <c r="K81" s="681"/>
      <c r="L81" s="681">
        <v>20</v>
      </c>
      <c r="M81" s="681">
        <v>40</v>
      </c>
      <c r="N81" s="778"/>
      <c r="O81" s="681">
        <v>40</v>
      </c>
      <c r="P81" s="681">
        <v>40</v>
      </c>
      <c r="Q81" s="681">
        <v>40</v>
      </c>
      <c r="R81" s="681">
        <v>40</v>
      </c>
      <c r="S81" s="651"/>
      <c r="T81" s="686" t="s">
        <v>3986</v>
      </c>
      <c r="U81" s="925"/>
      <c r="V81" s="925"/>
      <c r="W81" s="925"/>
      <c r="X81" s="925"/>
      <c r="Y81" s="925"/>
      <c r="Z81" s="925"/>
      <c r="AA81" s="925"/>
      <c r="AB81" s="925"/>
    </row>
    <row r="82" spans="1:60" ht="121.2" hidden="1" customHeight="1">
      <c r="A82" s="893"/>
      <c r="B82" s="673" t="s">
        <v>3229</v>
      </c>
      <c r="C82" s="739" t="s">
        <v>3026</v>
      </c>
      <c r="D82" s="682"/>
      <c r="E82" s="681"/>
      <c r="F82" s="733"/>
      <c r="G82" s="681"/>
      <c r="H82" s="681"/>
      <c r="I82" s="686"/>
      <c r="J82" s="737">
        <v>6</v>
      </c>
      <c r="K82" s="681">
        <v>5</v>
      </c>
      <c r="L82" s="681">
        <v>6</v>
      </c>
      <c r="M82" s="681">
        <v>9.6</v>
      </c>
      <c r="N82" s="778">
        <f t="shared" ref="N82:N129" si="92">SUM(L82-K82)/K82</f>
        <v>0.2</v>
      </c>
      <c r="O82" s="681">
        <v>6</v>
      </c>
      <c r="P82" s="681">
        <v>6</v>
      </c>
      <c r="Q82" s="681">
        <v>6</v>
      </c>
      <c r="R82" s="681">
        <v>6</v>
      </c>
      <c r="S82" s="651"/>
      <c r="T82" s="907" t="s">
        <v>3985</v>
      </c>
      <c r="U82" s="925"/>
      <c r="V82" s="925"/>
      <c r="W82" s="925"/>
      <c r="X82" s="925"/>
      <c r="Y82" s="925"/>
      <c r="Z82" s="925"/>
      <c r="AA82" s="925"/>
      <c r="AB82" s="925"/>
    </row>
    <row r="83" spans="1:60" ht="25.5" customHeight="1">
      <c r="A83" s="2879" t="s">
        <v>1963</v>
      </c>
      <c r="B83" s="2699" t="s">
        <v>1184</v>
      </c>
      <c r="C83" s="2719" t="s">
        <v>1071</v>
      </c>
      <c r="D83" s="706" t="s">
        <v>2747</v>
      </c>
      <c r="E83" s="720"/>
      <c r="F83" s="892"/>
      <c r="G83" s="720">
        <f>G87</f>
        <v>22</v>
      </c>
      <c r="H83" s="722">
        <f>SUM(H87:H88)</f>
        <v>43.78</v>
      </c>
      <c r="I83" s="720"/>
      <c r="J83" s="720"/>
      <c r="K83" s="722"/>
      <c r="L83" s="722"/>
      <c r="M83" s="1496"/>
      <c r="N83" s="1013"/>
      <c r="O83" s="722"/>
      <c r="P83" s="1496"/>
      <c r="Q83" s="722"/>
      <c r="R83" s="1496"/>
      <c r="S83" s="2796" t="s">
        <v>2195</v>
      </c>
      <c r="T83" s="2734" t="s">
        <v>3683</v>
      </c>
      <c r="U83" s="2694" t="s">
        <v>1341</v>
      </c>
      <c r="V83" s="2694" t="s">
        <v>1335</v>
      </c>
      <c r="W83" s="2694" t="s">
        <v>324</v>
      </c>
      <c r="X83" s="2694" t="s">
        <v>433</v>
      </c>
      <c r="Y83" s="2694" t="s">
        <v>324</v>
      </c>
      <c r="Z83" s="2694" t="s">
        <v>324</v>
      </c>
      <c r="AA83" s="2694" t="s">
        <v>324</v>
      </c>
      <c r="AB83" s="2694" t="s">
        <v>2196</v>
      </c>
    </row>
    <row r="84" spans="1:60" ht="25.5" customHeight="1">
      <c r="A84" s="2879"/>
      <c r="B84" s="2699"/>
      <c r="C84" s="2719"/>
      <c r="D84" s="706" t="s">
        <v>470</v>
      </c>
      <c r="E84" s="720"/>
      <c r="F84" s="892"/>
      <c r="G84" s="720"/>
      <c r="H84" s="722"/>
      <c r="I84" s="720"/>
      <c r="J84" s="720">
        <f>J89</f>
        <v>19.95</v>
      </c>
      <c r="K84" s="722"/>
      <c r="L84" s="722"/>
      <c r="M84" s="1496"/>
      <c r="N84" s="1013"/>
      <c r="O84" s="722"/>
      <c r="P84" s="1496"/>
      <c r="Q84" s="722"/>
      <c r="R84" s="1496"/>
      <c r="S84" s="2796"/>
      <c r="T84" s="2734"/>
      <c r="U84" s="2694"/>
      <c r="V84" s="2694"/>
      <c r="W84" s="2694"/>
      <c r="X84" s="2694"/>
      <c r="Y84" s="2694"/>
      <c r="Z84" s="2694"/>
      <c r="AA84" s="2694"/>
      <c r="AB84" s="2694"/>
    </row>
    <row r="85" spans="1:60" ht="25.5" customHeight="1">
      <c r="A85" s="2879"/>
      <c r="B85" s="2699"/>
      <c r="C85" s="2719"/>
      <c r="D85" s="706" t="s">
        <v>246</v>
      </c>
      <c r="E85" s="720"/>
      <c r="F85" s="892"/>
      <c r="G85" s="720"/>
      <c r="H85" s="722"/>
      <c r="I85" s="720"/>
      <c r="J85" s="720"/>
      <c r="K85" s="722"/>
      <c r="L85" s="722"/>
      <c r="M85" s="1496"/>
      <c r="N85" s="1013"/>
      <c r="O85" s="722"/>
      <c r="P85" s="1496"/>
      <c r="Q85" s="722"/>
      <c r="R85" s="1496"/>
      <c r="S85" s="2796"/>
      <c r="T85" s="2734"/>
      <c r="U85" s="2694"/>
      <c r="V85" s="2694"/>
      <c r="W85" s="2694"/>
      <c r="X85" s="2694"/>
      <c r="Y85" s="2694"/>
      <c r="Z85" s="2694"/>
      <c r="AA85" s="2694"/>
      <c r="AB85" s="2694"/>
    </row>
    <row r="86" spans="1:60" ht="36.75" customHeight="1">
      <c r="A86" s="2879"/>
      <c r="B86" s="2699"/>
      <c r="C86" s="2719"/>
      <c r="D86" s="725" t="s">
        <v>1067</v>
      </c>
      <c r="E86" s="726"/>
      <c r="F86" s="911"/>
      <c r="G86" s="726">
        <f>G83</f>
        <v>22</v>
      </c>
      <c r="H86" s="728">
        <f t="shared" ref="H86" si="93">H83</f>
        <v>43.78</v>
      </c>
      <c r="I86" s="726"/>
      <c r="J86" s="726">
        <f>SUM(J83,J84,J85)</f>
        <v>19.95</v>
      </c>
      <c r="K86" s="728">
        <f t="shared" ref="K86:O86" si="94">SUM(K83,K84,K85)</f>
        <v>0</v>
      </c>
      <c r="L86" s="728">
        <f t="shared" si="94"/>
        <v>0</v>
      </c>
      <c r="M86" s="1464">
        <f t="shared" ref="M86" si="95">SUM(M83,M84,M85)</f>
        <v>0</v>
      </c>
      <c r="N86" s="1243" t="e">
        <f t="shared" si="92"/>
        <v>#DIV/0!</v>
      </c>
      <c r="O86" s="728">
        <f t="shared" si="94"/>
        <v>0</v>
      </c>
      <c r="P86" s="1464">
        <f t="shared" ref="P86:Q86" si="96">SUM(P83,P84,P85)</f>
        <v>0</v>
      </c>
      <c r="Q86" s="728">
        <f t="shared" si="96"/>
        <v>0</v>
      </c>
      <c r="R86" s="1464">
        <f t="shared" ref="R86" si="97">SUM(R83,R84,R85)</f>
        <v>0</v>
      </c>
      <c r="S86" s="2796"/>
      <c r="T86" s="2734"/>
      <c r="U86" s="2694"/>
      <c r="V86" s="2694"/>
      <c r="W86" s="2694"/>
      <c r="X86" s="2694"/>
      <c r="Y86" s="2694"/>
      <c r="Z86" s="2694"/>
      <c r="AA86" s="2694"/>
      <c r="AB86" s="2694"/>
    </row>
    <row r="87" spans="1:60" ht="25.5" hidden="1" customHeight="1">
      <c r="A87" s="926"/>
      <c r="B87" s="927" t="s">
        <v>2349</v>
      </c>
      <c r="C87" s="900"/>
      <c r="D87" s="780"/>
      <c r="E87" s="757"/>
      <c r="F87" s="915"/>
      <c r="G87" s="751">
        <v>22</v>
      </c>
      <c r="H87" s="686">
        <v>21.78</v>
      </c>
      <c r="I87" s="751"/>
      <c r="J87" s="751"/>
      <c r="K87" s="689"/>
      <c r="L87" s="689"/>
      <c r="M87" s="1484"/>
      <c r="N87" s="1112" t="e">
        <f t="shared" si="92"/>
        <v>#DIV/0!</v>
      </c>
      <c r="O87" s="689"/>
      <c r="P87" s="1484"/>
      <c r="Q87" s="689"/>
      <c r="R87" s="1484"/>
      <c r="S87" s="651"/>
      <c r="T87" s="686"/>
      <c r="U87" s="925"/>
      <c r="V87" s="925"/>
      <c r="W87" s="672"/>
      <c r="X87" s="925"/>
      <c r="Y87" s="925"/>
      <c r="Z87" s="925"/>
      <c r="AA87" s="925"/>
      <c r="AB87" s="688"/>
    </row>
    <row r="88" spans="1:60" ht="25.5" hidden="1" customHeight="1">
      <c r="A88" s="926"/>
      <c r="B88" s="927" t="s">
        <v>2550</v>
      </c>
      <c r="C88" s="900"/>
      <c r="D88" s="780"/>
      <c r="E88" s="757"/>
      <c r="F88" s="915"/>
      <c r="G88" s="751"/>
      <c r="H88" s="686">
        <v>22</v>
      </c>
      <c r="I88" s="751"/>
      <c r="J88" s="751"/>
      <c r="K88" s="689"/>
      <c r="L88" s="689"/>
      <c r="M88" s="1484"/>
      <c r="N88" s="1112" t="e">
        <f t="shared" si="92"/>
        <v>#DIV/0!</v>
      </c>
      <c r="O88" s="689"/>
      <c r="P88" s="1484"/>
      <c r="Q88" s="689"/>
      <c r="R88" s="1484"/>
      <c r="S88" s="651"/>
      <c r="T88" s="686"/>
      <c r="U88" s="925"/>
      <c r="V88" s="925"/>
      <c r="W88" s="672"/>
      <c r="X88" s="925"/>
      <c r="Y88" s="925"/>
      <c r="Z88" s="925"/>
      <c r="AA88" s="925"/>
      <c r="AB88" s="688"/>
    </row>
    <row r="89" spans="1:60" ht="25.5" hidden="1" customHeight="1">
      <c r="A89" s="926"/>
      <c r="B89" s="927" t="s">
        <v>3166</v>
      </c>
      <c r="C89" s="900"/>
      <c r="D89" s="780"/>
      <c r="E89" s="757"/>
      <c r="F89" s="915"/>
      <c r="G89" s="751"/>
      <c r="H89" s="686"/>
      <c r="I89" s="751"/>
      <c r="J89" s="751">
        <v>19.95</v>
      </c>
      <c r="K89" s="689"/>
      <c r="L89" s="689"/>
      <c r="M89" s="1484"/>
      <c r="N89" s="1112" t="e">
        <f t="shared" si="92"/>
        <v>#DIV/0!</v>
      </c>
      <c r="O89" s="689"/>
      <c r="P89" s="1484"/>
      <c r="Q89" s="689"/>
      <c r="R89" s="1484"/>
      <c r="S89" s="651"/>
      <c r="T89" s="686"/>
      <c r="U89" s="925"/>
      <c r="V89" s="925"/>
      <c r="W89" s="672"/>
      <c r="X89" s="925"/>
      <c r="Y89" s="925"/>
      <c r="Z89" s="925"/>
      <c r="AA89" s="925"/>
      <c r="AB89" s="688"/>
    </row>
    <row r="90" spans="1:60" s="127" customFormat="1" ht="59.25" customHeight="1">
      <c r="A90" s="895" t="s">
        <v>2844</v>
      </c>
      <c r="B90" s="668" t="s">
        <v>1188</v>
      </c>
      <c r="C90" s="928"/>
      <c r="D90" s="697"/>
      <c r="E90" s="745">
        <f>SUM(E92,E96,)</f>
        <v>8</v>
      </c>
      <c r="F90" s="897">
        <f t="shared" ref="F90:F130" si="98">H90/E90-1</f>
        <v>1.2124999999999999</v>
      </c>
      <c r="G90" s="745">
        <f t="shared" ref="G90" si="99">SUM(G92,G96,)</f>
        <v>57.240000000000009</v>
      </c>
      <c r="H90" s="746">
        <f t="shared" ref="H90:O90" si="100">SUM(H92,H96,)</f>
        <v>17.7</v>
      </c>
      <c r="I90" s="745"/>
      <c r="J90" s="745">
        <f t="shared" si="100"/>
        <v>0</v>
      </c>
      <c r="K90" s="746">
        <f t="shared" si="100"/>
        <v>19.7</v>
      </c>
      <c r="L90" s="746">
        <f>SUM(L92,L96,)</f>
        <v>19.45</v>
      </c>
      <c r="M90" s="1497">
        <f>SUM(M92,M96,)</f>
        <v>27.189999999999998</v>
      </c>
      <c r="N90" s="2132">
        <f>SUM(L90-K90)/K90</f>
        <v>-1.2690355329949238E-2</v>
      </c>
      <c r="O90" s="746">
        <f t="shared" si="100"/>
        <v>20.75</v>
      </c>
      <c r="P90" s="1497">
        <f t="shared" ref="P90:Q90" si="101">SUM(P92,P96,)</f>
        <v>20.75</v>
      </c>
      <c r="Q90" s="746">
        <f t="shared" si="101"/>
        <v>22.75</v>
      </c>
      <c r="R90" s="1497">
        <f t="shared" ref="R90" si="102">SUM(R92,R96,)</f>
        <v>22.75</v>
      </c>
      <c r="S90" s="179" t="s">
        <v>918</v>
      </c>
      <c r="T90" s="898"/>
      <c r="U90" s="671" t="s">
        <v>4351</v>
      </c>
      <c r="V90" s="671" t="s">
        <v>920</v>
      </c>
      <c r="W90" s="671" t="s">
        <v>403</v>
      </c>
      <c r="X90" s="671" t="s">
        <v>403</v>
      </c>
      <c r="Y90" s="671" t="s">
        <v>403</v>
      </c>
      <c r="Z90" s="671" t="s">
        <v>403</v>
      </c>
      <c r="AA90" s="671" t="s">
        <v>403</v>
      </c>
      <c r="AB90" s="671" t="s">
        <v>920</v>
      </c>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row>
    <row r="91" spans="1:60" ht="32.4" customHeight="1">
      <c r="A91" s="2879" t="s">
        <v>1964</v>
      </c>
      <c r="B91" s="2699" t="s">
        <v>1189</v>
      </c>
      <c r="C91" s="2719" t="s">
        <v>1071</v>
      </c>
      <c r="D91" s="706" t="s">
        <v>470</v>
      </c>
      <c r="E91" s="720">
        <f>E94</f>
        <v>4.7</v>
      </c>
      <c r="F91" s="892">
        <f t="shared" si="98"/>
        <v>1.5531914893617018</v>
      </c>
      <c r="G91" s="720">
        <f>SUM(G94)</f>
        <v>7.7</v>
      </c>
      <c r="H91" s="722">
        <f>SUM(H94,H93)</f>
        <v>12</v>
      </c>
      <c r="I91" s="720"/>
      <c r="J91" s="720"/>
      <c r="K91" s="722">
        <f>SUM(K93,K94)</f>
        <v>12</v>
      </c>
      <c r="L91" s="722">
        <f t="shared" ref="L91:O91" si="103">SUM(L93,L94)</f>
        <v>12</v>
      </c>
      <c r="M91" s="1496">
        <f t="shared" ref="M91" si="104">SUM(M93,M94)</f>
        <v>13.24</v>
      </c>
      <c r="N91" s="1013">
        <f t="shared" si="92"/>
        <v>0</v>
      </c>
      <c r="O91" s="722">
        <f t="shared" si="103"/>
        <v>14.25</v>
      </c>
      <c r="P91" s="1496">
        <f t="shared" ref="P91:Q91" si="105">SUM(P93,P94)</f>
        <v>14.25</v>
      </c>
      <c r="Q91" s="722">
        <f t="shared" si="105"/>
        <v>14.25</v>
      </c>
      <c r="R91" s="1496">
        <f t="shared" ref="R91" si="106">SUM(R93,R94)</f>
        <v>14.25</v>
      </c>
      <c r="S91" s="2796" t="s">
        <v>2197</v>
      </c>
      <c r="T91" s="2704" t="s">
        <v>1351</v>
      </c>
      <c r="U91" s="2695" t="s">
        <v>1342</v>
      </c>
      <c r="V91" s="2694" t="s">
        <v>1336</v>
      </c>
      <c r="W91" s="2694" t="s">
        <v>1304</v>
      </c>
      <c r="X91" s="2694" t="s">
        <v>1304</v>
      </c>
      <c r="Y91" s="2694" t="s">
        <v>1304</v>
      </c>
      <c r="Z91" s="2694" t="s">
        <v>1304</v>
      </c>
      <c r="AA91" s="2694" t="s">
        <v>1304</v>
      </c>
      <c r="AB91" s="2694" t="s">
        <v>1376</v>
      </c>
    </row>
    <row r="92" spans="1:60" ht="34.5" customHeight="1">
      <c r="A92" s="2879"/>
      <c r="B92" s="2699"/>
      <c r="C92" s="2719"/>
      <c r="D92" s="725" t="s">
        <v>1067</v>
      </c>
      <c r="E92" s="726">
        <f>E91</f>
        <v>4.7</v>
      </c>
      <c r="F92" s="911">
        <f t="shared" si="98"/>
        <v>1.5531914893617018</v>
      </c>
      <c r="G92" s="726">
        <f>SUM(G91)</f>
        <v>7.7</v>
      </c>
      <c r="H92" s="728">
        <f>SUM(H91)</f>
        <v>12</v>
      </c>
      <c r="I92" s="726"/>
      <c r="J92" s="726"/>
      <c r="K92" s="728">
        <f t="shared" ref="K92:O92" si="107">SUM(K91)</f>
        <v>12</v>
      </c>
      <c r="L92" s="728">
        <f t="shared" si="107"/>
        <v>12</v>
      </c>
      <c r="M92" s="1464">
        <f t="shared" ref="M92" si="108">SUM(M91)</f>
        <v>13.24</v>
      </c>
      <c r="N92" s="1243">
        <f t="shared" si="92"/>
        <v>0</v>
      </c>
      <c r="O92" s="728">
        <f t="shared" si="107"/>
        <v>14.25</v>
      </c>
      <c r="P92" s="1464">
        <f t="shared" ref="P92:Q92" si="109">SUM(P91)</f>
        <v>14.25</v>
      </c>
      <c r="Q92" s="728">
        <f t="shared" si="109"/>
        <v>14.25</v>
      </c>
      <c r="R92" s="1464">
        <f t="shared" ref="R92" si="110">SUM(R91)</f>
        <v>14.25</v>
      </c>
      <c r="S92" s="2796"/>
      <c r="T92" s="2734"/>
      <c r="U92" s="2695"/>
      <c r="V92" s="2694"/>
      <c r="W92" s="2694"/>
      <c r="X92" s="2694"/>
      <c r="Y92" s="2694"/>
      <c r="Z92" s="2694"/>
      <c r="AA92" s="2694"/>
      <c r="AB92" s="2694"/>
    </row>
    <row r="93" spans="1:60" s="544" customFormat="1" ht="32.4" hidden="1" customHeight="1">
      <c r="A93" s="893"/>
      <c r="B93" s="673" t="s">
        <v>2703</v>
      </c>
      <c r="C93" s="739"/>
      <c r="D93" s="700"/>
      <c r="E93" s="755"/>
      <c r="F93" s="1180"/>
      <c r="G93" s="755"/>
      <c r="H93" s="681">
        <v>9</v>
      </c>
      <c r="I93" s="734"/>
      <c r="J93" s="734"/>
      <c r="K93" s="681">
        <v>0</v>
      </c>
      <c r="L93" s="770">
        <v>0</v>
      </c>
      <c r="M93" s="1470"/>
      <c r="N93" s="778"/>
      <c r="O93" s="681">
        <v>0</v>
      </c>
      <c r="P93" s="1470"/>
      <c r="Q93" s="681"/>
      <c r="R93" s="1470"/>
      <c r="S93" s="1358"/>
      <c r="T93" s="681"/>
      <c r="U93" s="1359"/>
      <c r="V93" s="930"/>
      <c r="W93" s="930"/>
      <c r="X93" s="930"/>
      <c r="Y93" s="930"/>
      <c r="Z93" s="930"/>
      <c r="AA93" s="930"/>
      <c r="AB93" s="930"/>
    </row>
    <row r="94" spans="1:60" s="544" customFormat="1" ht="42.6" hidden="1" customHeight="1">
      <c r="A94" s="893"/>
      <c r="B94" s="673" t="s">
        <v>1355</v>
      </c>
      <c r="C94" s="739"/>
      <c r="D94" s="682"/>
      <c r="E94" s="734">
        <v>4.7</v>
      </c>
      <c r="F94" s="1180">
        <f t="shared" si="98"/>
        <v>-0.36170212765957455</v>
      </c>
      <c r="G94" s="755">
        <v>7.7</v>
      </c>
      <c r="H94" s="681">
        <v>3</v>
      </c>
      <c r="I94" s="734"/>
      <c r="J94" s="734"/>
      <c r="K94" s="681">
        <v>12</v>
      </c>
      <c r="L94" s="770">
        <v>12</v>
      </c>
      <c r="M94" s="1470">
        <v>13.24</v>
      </c>
      <c r="N94" s="778">
        <f t="shared" si="92"/>
        <v>0</v>
      </c>
      <c r="O94" s="681">
        <v>14.25</v>
      </c>
      <c r="P94" s="1470">
        <v>14.25</v>
      </c>
      <c r="Q94" s="681">
        <v>14.25</v>
      </c>
      <c r="R94" s="1470">
        <v>14.25</v>
      </c>
      <c r="S94" s="879"/>
      <c r="T94" s="691" t="s">
        <v>3978</v>
      </c>
      <c r="U94" s="683"/>
      <c r="V94" s="683"/>
      <c r="W94" s="693"/>
      <c r="X94" s="693"/>
      <c r="Y94" s="693"/>
      <c r="Z94" s="693"/>
      <c r="AA94" s="693"/>
      <c r="AB94" s="683"/>
    </row>
    <row r="95" spans="1:60" ht="35.4" customHeight="1">
      <c r="A95" s="2879" t="s">
        <v>1965</v>
      </c>
      <c r="B95" s="2699" t="s">
        <v>1190</v>
      </c>
      <c r="C95" s="2719" t="s">
        <v>1071</v>
      </c>
      <c r="D95" s="706" t="s">
        <v>470</v>
      </c>
      <c r="E95" s="720">
        <f>SUM(E97,E99)</f>
        <v>3.3</v>
      </c>
      <c r="F95" s="892">
        <f t="shared" si="98"/>
        <v>0.72727272727272751</v>
      </c>
      <c r="G95" s="720">
        <f>SUM(G97:G99)</f>
        <v>49.540000000000006</v>
      </c>
      <c r="H95" s="722">
        <f>SUM(H97:H99)</f>
        <v>5.7</v>
      </c>
      <c r="I95" s="720"/>
      <c r="J95" s="720"/>
      <c r="K95" s="722">
        <f>SUM(K97,K98,K99,)</f>
        <v>7.7</v>
      </c>
      <c r="L95" s="722">
        <f>SUM(L97,L98,L99,)</f>
        <v>7.45</v>
      </c>
      <c r="M95" s="722">
        <f>SUM(M97,M98,M99,)</f>
        <v>13.95</v>
      </c>
      <c r="N95" s="1013">
        <f t="shared" si="92"/>
        <v>-3.2467532467532464E-2</v>
      </c>
      <c r="O95" s="722">
        <f t="shared" ref="O95" si="111">SUM(O97,O98,O99,)</f>
        <v>6.5</v>
      </c>
      <c r="P95" s="1496">
        <f t="shared" ref="P95:Q95" si="112">SUM(P97,P98,P99,)</f>
        <v>6.5</v>
      </c>
      <c r="Q95" s="722">
        <f t="shared" si="112"/>
        <v>8.5</v>
      </c>
      <c r="R95" s="1496">
        <f t="shared" ref="R95" si="113">SUM(R97,R98,R99,)</f>
        <v>8.5</v>
      </c>
      <c r="S95" s="2796" t="s">
        <v>2197</v>
      </c>
      <c r="T95" s="2704" t="s">
        <v>4350</v>
      </c>
      <c r="U95" s="2694" t="s">
        <v>1343</v>
      </c>
      <c r="V95" s="2694" t="s">
        <v>1336</v>
      </c>
      <c r="W95" s="2694" t="s">
        <v>1315</v>
      </c>
      <c r="X95" s="2694" t="s">
        <v>1315</v>
      </c>
      <c r="Y95" s="2694" t="s">
        <v>1315</v>
      </c>
      <c r="Z95" s="2694" t="s">
        <v>1315</v>
      </c>
      <c r="AA95" s="2694" t="s">
        <v>1315</v>
      </c>
      <c r="AB95" s="2694" t="s">
        <v>1376</v>
      </c>
    </row>
    <row r="96" spans="1:60" ht="67.2" customHeight="1">
      <c r="A96" s="2879"/>
      <c r="B96" s="2699"/>
      <c r="C96" s="2719"/>
      <c r="D96" s="725" t="s">
        <v>1067</v>
      </c>
      <c r="E96" s="726">
        <f>E95</f>
        <v>3.3</v>
      </c>
      <c r="F96" s="911">
        <f t="shared" si="98"/>
        <v>0.72727272727272751</v>
      </c>
      <c r="G96" s="726">
        <f>SUM(G95)</f>
        <v>49.540000000000006</v>
      </c>
      <c r="H96" s="728">
        <f>SUM(H95)</f>
        <v>5.7</v>
      </c>
      <c r="I96" s="726"/>
      <c r="J96" s="726"/>
      <c r="K96" s="728">
        <f t="shared" ref="K96:O96" si="114">SUM(K95)</f>
        <v>7.7</v>
      </c>
      <c r="L96" s="728">
        <f t="shared" si="114"/>
        <v>7.45</v>
      </c>
      <c r="M96" s="1464">
        <f t="shared" ref="M96" si="115">SUM(M95)</f>
        <v>13.95</v>
      </c>
      <c r="N96" s="1243">
        <f t="shared" si="92"/>
        <v>-3.2467532467532464E-2</v>
      </c>
      <c r="O96" s="728">
        <f t="shared" si="114"/>
        <v>6.5</v>
      </c>
      <c r="P96" s="1464">
        <f t="shared" ref="P96:Q96" si="116">SUM(P95)</f>
        <v>6.5</v>
      </c>
      <c r="Q96" s="728">
        <f t="shared" si="116"/>
        <v>8.5</v>
      </c>
      <c r="R96" s="1464">
        <f t="shared" ref="R96" si="117">SUM(R95)</f>
        <v>8.5</v>
      </c>
      <c r="S96" s="2796"/>
      <c r="T96" s="2734"/>
      <c r="U96" s="2694"/>
      <c r="V96" s="2694"/>
      <c r="W96" s="2694"/>
      <c r="X96" s="2694"/>
      <c r="Y96" s="2694"/>
      <c r="Z96" s="2694"/>
      <c r="AA96" s="2694"/>
      <c r="AB96" s="2694"/>
    </row>
    <row r="97" spans="1:28" s="544" customFormat="1" ht="37.950000000000003" hidden="1" customHeight="1">
      <c r="A97" s="913"/>
      <c r="B97" s="673" t="s">
        <v>1355</v>
      </c>
      <c r="C97" s="739"/>
      <c r="D97" s="682"/>
      <c r="E97" s="734">
        <v>0.3</v>
      </c>
      <c r="F97" s="906">
        <f t="shared" si="98"/>
        <v>2.3333333333333335</v>
      </c>
      <c r="G97" s="734">
        <v>36.78</v>
      </c>
      <c r="H97" s="681">
        <v>1</v>
      </c>
      <c r="I97" s="734"/>
      <c r="J97" s="734"/>
      <c r="K97" s="681">
        <v>3</v>
      </c>
      <c r="L97" s="681">
        <v>3</v>
      </c>
      <c r="M97" s="1470">
        <v>5.5</v>
      </c>
      <c r="N97" s="778">
        <f t="shared" si="92"/>
        <v>0</v>
      </c>
      <c r="O97" s="681">
        <v>6</v>
      </c>
      <c r="P97" s="1470">
        <v>6</v>
      </c>
      <c r="Q97" s="681">
        <v>0</v>
      </c>
      <c r="R97" s="1470">
        <v>0</v>
      </c>
      <c r="S97" s="879"/>
      <c r="T97" s="691" t="s">
        <v>3979</v>
      </c>
      <c r="U97" s="693"/>
      <c r="V97" s="693"/>
      <c r="W97" s="693"/>
      <c r="X97" s="693"/>
      <c r="Y97" s="693"/>
      <c r="Z97" s="693"/>
      <c r="AA97" s="693"/>
      <c r="AB97" s="683"/>
    </row>
    <row r="98" spans="1:28" s="544" customFormat="1" ht="40.950000000000003" hidden="1" customHeight="1">
      <c r="A98" s="913"/>
      <c r="B98" s="673" t="s">
        <v>1357</v>
      </c>
      <c r="C98" s="739"/>
      <c r="D98" s="682"/>
      <c r="E98" s="734">
        <v>0.3</v>
      </c>
      <c r="F98" s="906">
        <f t="shared" si="98"/>
        <v>12.333333333333334</v>
      </c>
      <c r="G98" s="734">
        <v>9.06</v>
      </c>
      <c r="H98" s="681">
        <v>4</v>
      </c>
      <c r="I98" s="734"/>
      <c r="J98" s="734"/>
      <c r="K98" s="681">
        <v>4</v>
      </c>
      <c r="L98" s="681">
        <v>4</v>
      </c>
      <c r="M98" s="1470">
        <v>8</v>
      </c>
      <c r="N98" s="778">
        <f t="shared" si="92"/>
        <v>0</v>
      </c>
      <c r="O98" s="681"/>
      <c r="P98" s="1470"/>
      <c r="Q98" s="681">
        <v>8</v>
      </c>
      <c r="R98" s="1470">
        <v>8</v>
      </c>
      <c r="S98" s="879"/>
      <c r="T98" s="691" t="s">
        <v>4093</v>
      </c>
      <c r="U98" s="693"/>
      <c r="V98" s="693"/>
      <c r="W98" s="693"/>
      <c r="X98" s="693"/>
      <c r="Y98" s="693"/>
      <c r="Z98" s="693"/>
      <c r="AA98" s="693"/>
      <c r="AB98" s="683"/>
    </row>
    <row r="99" spans="1:28" s="544" customFormat="1" ht="59.4" hidden="1" customHeight="1">
      <c r="A99" s="913"/>
      <c r="B99" s="673" t="s">
        <v>1356</v>
      </c>
      <c r="C99" s="739"/>
      <c r="D99" s="682"/>
      <c r="E99" s="734">
        <v>3</v>
      </c>
      <c r="F99" s="906">
        <f t="shared" si="98"/>
        <v>-0.76666666666666672</v>
      </c>
      <c r="G99" s="734">
        <v>3.7</v>
      </c>
      <c r="H99" s="681">
        <v>0.7</v>
      </c>
      <c r="I99" s="734"/>
      <c r="J99" s="734">
        <v>0.57999999999999996</v>
      </c>
      <c r="K99" s="681">
        <v>0.7</v>
      </c>
      <c r="L99" s="681">
        <v>0.45</v>
      </c>
      <c r="M99" s="1470">
        <v>0.45</v>
      </c>
      <c r="N99" s="778">
        <f t="shared" si="92"/>
        <v>-0.3571428571428571</v>
      </c>
      <c r="O99" s="681">
        <v>0.5</v>
      </c>
      <c r="P99" s="1470">
        <v>0.5</v>
      </c>
      <c r="Q99" s="681">
        <v>0.5</v>
      </c>
      <c r="R99" s="1470">
        <v>0.5</v>
      </c>
      <c r="S99" s="879"/>
      <c r="T99" s="691" t="s">
        <v>3979</v>
      </c>
      <c r="U99" s="693"/>
      <c r="V99" s="693"/>
      <c r="W99" s="693"/>
      <c r="X99" s="693"/>
      <c r="Y99" s="693"/>
      <c r="Z99" s="693"/>
      <c r="AA99" s="693"/>
      <c r="AB99" s="683"/>
    </row>
    <row r="100" spans="1:28" s="189" customFormat="1" ht="107.4" customHeight="1">
      <c r="A100" s="895" t="s">
        <v>1966</v>
      </c>
      <c r="B100" s="668" t="s">
        <v>1191</v>
      </c>
      <c r="C100" s="931"/>
      <c r="D100" s="697"/>
      <c r="E100" s="745">
        <f>SUM(E102,E108,E116)</f>
        <v>71.949999999999989</v>
      </c>
      <c r="F100" s="745">
        <f t="shared" si="98"/>
        <v>0.43293954134815849</v>
      </c>
      <c r="G100" s="745">
        <f t="shared" ref="G100:L100" si="118">SUM(G102,G108,G116)</f>
        <v>102.42999999999999</v>
      </c>
      <c r="H100" s="746">
        <f>SUM(H102,H108,H116)</f>
        <v>103.1</v>
      </c>
      <c r="I100" s="745"/>
      <c r="J100" s="745"/>
      <c r="K100" s="746">
        <f t="shared" si="118"/>
        <v>220.8</v>
      </c>
      <c r="L100" s="746">
        <f>SUM(L102,L108,L116)</f>
        <v>192.5</v>
      </c>
      <c r="M100" s="1497">
        <f>SUM(M102,M108,M116)</f>
        <v>194.55</v>
      </c>
      <c r="N100" s="2132">
        <f t="shared" si="92"/>
        <v>-0.12817028985507251</v>
      </c>
      <c r="O100" s="746">
        <f>SUM(O102,O108,O116)</f>
        <v>205.35</v>
      </c>
      <c r="P100" s="1497">
        <f t="shared" ref="P100:R100" si="119">SUM(P102,P108,P116)</f>
        <v>209.85</v>
      </c>
      <c r="Q100" s="746">
        <f t="shared" si="119"/>
        <v>227.85</v>
      </c>
      <c r="R100" s="1497">
        <f t="shared" si="119"/>
        <v>227.85</v>
      </c>
      <c r="S100" s="179" t="s">
        <v>918</v>
      </c>
      <c r="T100" s="690"/>
      <c r="U100" s="671" t="s">
        <v>4352</v>
      </c>
      <c r="V100" s="671" t="s">
        <v>920</v>
      </c>
      <c r="W100" s="671" t="s">
        <v>1332</v>
      </c>
      <c r="X100" s="671" t="s">
        <v>1332</v>
      </c>
      <c r="Y100" s="671" t="s">
        <v>1707</v>
      </c>
      <c r="Z100" s="671" t="s">
        <v>403</v>
      </c>
      <c r="AA100" s="671" t="s">
        <v>403</v>
      </c>
      <c r="AB100" s="671" t="s">
        <v>920</v>
      </c>
    </row>
    <row r="101" spans="1:28" ht="36.6" customHeight="1">
      <c r="A101" s="2879" t="s">
        <v>1967</v>
      </c>
      <c r="B101" s="2699" t="s">
        <v>1192</v>
      </c>
      <c r="C101" s="2719" t="s">
        <v>1071</v>
      </c>
      <c r="D101" s="706" t="s">
        <v>470</v>
      </c>
      <c r="E101" s="720">
        <f>SUM(E103,E104)</f>
        <v>1.5499999999999998</v>
      </c>
      <c r="F101" s="892">
        <f t="shared" si="98"/>
        <v>11.38709677419355</v>
      </c>
      <c r="G101" s="720">
        <f>SUM(G103:G104)</f>
        <v>3.6</v>
      </c>
      <c r="H101" s="722">
        <f>SUM(H103,H104,H105)</f>
        <v>19.2</v>
      </c>
      <c r="I101" s="720">
        <f t="shared" ref="I101:J101" si="120">SUM(I103,I104,I105)</f>
        <v>0</v>
      </c>
      <c r="J101" s="720">
        <f t="shared" si="120"/>
        <v>6.4399999999999995</v>
      </c>
      <c r="K101" s="722">
        <f>SUM(K103,K104,K105)</f>
        <v>21.8</v>
      </c>
      <c r="L101" s="722">
        <f>SUM(L103,L104,L105)</f>
        <v>44.8</v>
      </c>
      <c r="M101" s="722">
        <f>SUM(M103,M104,M105,M106)</f>
        <v>53.85</v>
      </c>
      <c r="N101" s="1013">
        <f t="shared" si="92"/>
        <v>1.0550458715596329</v>
      </c>
      <c r="O101" s="722">
        <f t="shared" ref="O101" si="121">SUM(O103,O104,O105)</f>
        <v>47.85</v>
      </c>
      <c r="P101" s="1496">
        <f t="shared" ref="P101:R101" si="122">SUM(P103,P104,P105,P106)</f>
        <v>52.35</v>
      </c>
      <c r="Q101" s="722">
        <f t="shared" si="122"/>
        <v>54.35</v>
      </c>
      <c r="R101" s="1496">
        <f t="shared" si="122"/>
        <v>54.35</v>
      </c>
      <c r="S101" s="2796" t="s">
        <v>2180</v>
      </c>
      <c r="T101" s="2704" t="s">
        <v>1859</v>
      </c>
      <c r="U101" s="2694" t="s">
        <v>1344</v>
      </c>
      <c r="V101" s="2694" t="s">
        <v>3685</v>
      </c>
      <c r="W101" s="2694" t="s">
        <v>1304</v>
      </c>
      <c r="X101" s="2694" t="s">
        <v>1304</v>
      </c>
      <c r="Y101" s="2694" t="s">
        <v>392</v>
      </c>
      <c r="Z101" s="2694" t="s">
        <v>1315</v>
      </c>
      <c r="AA101" s="2694" t="s">
        <v>1315</v>
      </c>
      <c r="AB101" s="2694" t="s">
        <v>1376</v>
      </c>
    </row>
    <row r="102" spans="1:28" ht="42.6" customHeight="1">
      <c r="A102" s="2879"/>
      <c r="B102" s="2699"/>
      <c r="C102" s="2719"/>
      <c r="D102" s="725" t="s">
        <v>1067</v>
      </c>
      <c r="E102" s="726">
        <f>E101</f>
        <v>1.5499999999999998</v>
      </c>
      <c r="F102" s="911">
        <f>H102/E102-1</f>
        <v>11.38709677419355</v>
      </c>
      <c r="G102" s="726">
        <f>SUM(G101)</f>
        <v>3.6</v>
      </c>
      <c r="H102" s="728">
        <f>SUM(H101)</f>
        <v>19.2</v>
      </c>
      <c r="I102" s="726">
        <f t="shared" ref="I102:O102" si="123">SUM(I101)</f>
        <v>0</v>
      </c>
      <c r="J102" s="726">
        <f t="shared" si="123"/>
        <v>6.4399999999999995</v>
      </c>
      <c r="K102" s="728">
        <f t="shared" si="123"/>
        <v>21.8</v>
      </c>
      <c r="L102" s="728">
        <f t="shared" si="123"/>
        <v>44.8</v>
      </c>
      <c r="M102" s="1464">
        <f t="shared" ref="M102" si="124">SUM(M101)</f>
        <v>53.85</v>
      </c>
      <c r="N102" s="1243">
        <f t="shared" si="92"/>
        <v>1.0550458715596329</v>
      </c>
      <c r="O102" s="728">
        <f t="shared" si="123"/>
        <v>47.85</v>
      </c>
      <c r="P102" s="1464">
        <f t="shared" ref="P102:Q102" si="125">SUM(P101)</f>
        <v>52.35</v>
      </c>
      <c r="Q102" s="728">
        <f t="shared" si="125"/>
        <v>54.35</v>
      </c>
      <c r="R102" s="1464">
        <f t="shared" ref="R102" si="126">SUM(R101)</f>
        <v>54.35</v>
      </c>
      <c r="S102" s="2796"/>
      <c r="T102" s="2734"/>
      <c r="U102" s="2694"/>
      <c r="V102" s="2694"/>
      <c r="W102" s="2694"/>
      <c r="X102" s="2694"/>
      <c r="Y102" s="2694"/>
      <c r="Z102" s="2694"/>
      <c r="AA102" s="2694"/>
      <c r="AB102" s="2694"/>
    </row>
    <row r="103" spans="1:28" s="544" customFormat="1" ht="25.5" hidden="1" customHeight="1">
      <c r="A103" s="913"/>
      <c r="B103" s="673" t="s">
        <v>1355</v>
      </c>
      <c r="C103" s="739"/>
      <c r="D103" s="700"/>
      <c r="E103" s="734">
        <v>1.2</v>
      </c>
      <c r="F103" s="1180">
        <f t="shared" si="98"/>
        <v>11.833333333333334</v>
      </c>
      <c r="G103" s="734">
        <v>0.45</v>
      </c>
      <c r="H103" s="681">
        <v>15.4</v>
      </c>
      <c r="I103" s="734"/>
      <c r="J103" s="734"/>
      <c r="K103" s="681">
        <v>15.4</v>
      </c>
      <c r="L103" s="681">
        <v>38.4</v>
      </c>
      <c r="M103" s="1470">
        <v>38.4</v>
      </c>
      <c r="N103" s="778">
        <f t="shared" si="92"/>
        <v>1.4935064935064934</v>
      </c>
      <c r="O103" s="681">
        <v>36.9</v>
      </c>
      <c r="P103" s="1470">
        <v>36.9</v>
      </c>
      <c r="Q103" s="681">
        <v>38.9</v>
      </c>
      <c r="R103" s="1470">
        <v>38.9</v>
      </c>
      <c r="S103" s="879"/>
      <c r="T103" s="681" t="s">
        <v>3980</v>
      </c>
      <c r="U103" s="693"/>
      <c r="V103" s="683"/>
      <c r="W103" s="683"/>
      <c r="X103" s="683"/>
      <c r="Y103" s="683"/>
      <c r="Z103" s="683"/>
      <c r="AA103" s="683"/>
      <c r="AB103" s="683"/>
    </row>
    <row r="104" spans="1:28" s="544" customFormat="1" ht="25.5" hidden="1" customHeight="1">
      <c r="A104" s="913"/>
      <c r="B104" s="673" t="s">
        <v>1356</v>
      </c>
      <c r="C104" s="739"/>
      <c r="D104" s="700"/>
      <c r="E104" s="755">
        <v>0.35</v>
      </c>
      <c r="F104" s="1180">
        <f t="shared" si="98"/>
        <v>4.7142857142857144</v>
      </c>
      <c r="G104" s="734">
        <v>3.15</v>
      </c>
      <c r="H104" s="681">
        <v>2</v>
      </c>
      <c r="I104" s="734"/>
      <c r="J104" s="734">
        <v>1.44</v>
      </c>
      <c r="K104" s="681">
        <v>1.4</v>
      </c>
      <c r="L104" s="681">
        <v>1.4</v>
      </c>
      <c r="M104" s="1470">
        <v>4.95</v>
      </c>
      <c r="N104" s="778">
        <f t="shared" si="92"/>
        <v>0</v>
      </c>
      <c r="O104" s="681">
        <v>4.95</v>
      </c>
      <c r="P104" s="1470">
        <v>4.95</v>
      </c>
      <c r="Q104" s="681">
        <v>4.95</v>
      </c>
      <c r="R104" s="1470">
        <v>4.95</v>
      </c>
      <c r="S104" s="879"/>
      <c r="T104" s="691"/>
      <c r="U104" s="693"/>
      <c r="V104" s="683"/>
      <c r="W104" s="683"/>
      <c r="X104" s="683"/>
      <c r="Y104" s="683"/>
      <c r="Z104" s="683"/>
      <c r="AA104" s="683"/>
      <c r="AB104" s="683"/>
    </row>
    <row r="105" spans="1:28" s="544" customFormat="1" ht="87" hidden="1" customHeight="1">
      <c r="A105" s="913"/>
      <c r="B105" s="913" t="s">
        <v>505</v>
      </c>
      <c r="C105" s="893"/>
      <c r="D105" s="893"/>
      <c r="E105" s="932"/>
      <c r="F105" s="1180"/>
      <c r="G105" s="734"/>
      <c r="H105" s="681">
        <v>1.8</v>
      </c>
      <c r="I105" s="734"/>
      <c r="J105" s="734">
        <v>5</v>
      </c>
      <c r="K105" s="681">
        <v>5</v>
      </c>
      <c r="L105" s="681">
        <v>5</v>
      </c>
      <c r="M105" s="1470">
        <v>6</v>
      </c>
      <c r="N105" s="778">
        <f t="shared" si="92"/>
        <v>0</v>
      </c>
      <c r="O105" s="681">
        <v>6</v>
      </c>
      <c r="P105" s="1470">
        <v>6</v>
      </c>
      <c r="Q105" s="681">
        <v>6</v>
      </c>
      <c r="R105" s="1470">
        <v>6</v>
      </c>
      <c r="S105" s="879"/>
      <c r="T105" s="691" t="s">
        <v>3987</v>
      </c>
      <c r="U105" s="693"/>
      <c r="V105" s="683"/>
      <c r="W105" s="683"/>
      <c r="X105" s="683"/>
      <c r="Y105" s="683"/>
      <c r="Z105" s="683"/>
      <c r="AA105" s="683"/>
      <c r="AB105" s="683"/>
    </row>
    <row r="106" spans="1:28" s="544" customFormat="1" ht="44.4" hidden="1" customHeight="1">
      <c r="A106" s="913"/>
      <c r="B106" s="913" t="s">
        <v>1412</v>
      </c>
      <c r="C106" s="893"/>
      <c r="D106" s="893"/>
      <c r="E106" s="932"/>
      <c r="F106" s="1180"/>
      <c r="G106" s="734"/>
      <c r="H106" s="681"/>
      <c r="I106" s="734"/>
      <c r="J106" s="734"/>
      <c r="K106" s="681"/>
      <c r="L106" s="681">
        <v>0</v>
      </c>
      <c r="M106" s="1470">
        <v>4.5</v>
      </c>
      <c r="N106" s="778" t="e">
        <f t="shared" si="92"/>
        <v>#DIV/0!</v>
      </c>
      <c r="O106" s="681">
        <v>4.5</v>
      </c>
      <c r="P106" s="1470">
        <v>4.5</v>
      </c>
      <c r="Q106" s="681">
        <v>4.5</v>
      </c>
      <c r="R106" s="1470">
        <v>4.5</v>
      </c>
      <c r="S106" s="879"/>
      <c r="T106" s="691" t="s">
        <v>4106</v>
      </c>
      <c r="U106" s="693"/>
      <c r="V106" s="683"/>
      <c r="W106" s="683"/>
      <c r="X106" s="683"/>
      <c r="Y106" s="683"/>
      <c r="Z106" s="683"/>
      <c r="AA106" s="683"/>
      <c r="AB106" s="683"/>
    </row>
    <row r="107" spans="1:28" ht="36.6" customHeight="1">
      <c r="A107" s="2879" t="s">
        <v>1968</v>
      </c>
      <c r="B107" s="2699" t="s">
        <v>1194</v>
      </c>
      <c r="C107" s="2719" t="s">
        <v>1071</v>
      </c>
      <c r="D107" s="706" t="s">
        <v>470</v>
      </c>
      <c r="E107" s="720">
        <f>SUM(E109,E114)</f>
        <v>40.4</v>
      </c>
      <c r="F107" s="892">
        <f t="shared" si="98"/>
        <v>0.24752475247524752</v>
      </c>
      <c r="G107" s="720">
        <f>SUM(G109:G114)</f>
        <v>63.08</v>
      </c>
      <c r="H107" s="722">
        <f>SUM(H109:H114)</f>
        <v>50.4</v>
      </c>
      <c r="I107" s="720"/>
      <c r="J107" s="720"/>
      <c r="K107" s="722">
        <f>SUM(K109,K110,K111,K112,K113,K114)</f>
        <v>144.5</v>
      </c>
      <c r="L107" s="722">
        <f>SUM(L109:L114)</f>
        <v>72</v>
      </c>
      <c r="M107" s="1496">
        <f>SUM(M109:M114)</f>
        <v>66.2</v>
      </c>
      <c r="N107" s="1013">
        <f t="shared" si="92"/>
        <v>-0.5017301038062284</v>
      </c>
      <c r="O107" s="722">
        <v>73</v>
      </c>
      <c r="P107" s="1496">
        <f t="shared" ref="P107" si="127">SUM(P109:P114)</f>
        <v>73</v>
      </c>
      <c r="Q107" s="722">
        <v>80</v>
      </c>
      <c r="R107" s="1496">
        <f t="shared" ref="R107" si="128">SUM(R109:R114)</f>
        <v>80</v>
      </c>
      <c r="S107" s="2796" t="s">
        <v>2180</v>
      </c>
      <c r="T107" s="2704" t="s">
        <v>4317</v>
      </c>
      <c r="U107" s="2694" t="s">
        <v>1345</v>
      </c>
      <c r="V107" s="2694" t="s">
        <v>2789</v>
      </c>
      <c r="W107" s="2694" t="s">
        <v>324</v>
      </c>
      <c r="X107" s="2694" t="s">
        <v>324</v>
      </c>
      <c r="Y107" s="2694" t="s">
        <v>324</v>
      </c>
      <c r="Z107" s="2694" t="s">
        <v>324</v>
      </c>
      <c r="AA107" s="2694" t="s">
        <v>324</v>
      </c>
      <c r="AB107" s="2694" t="s">
        <v>2181</v>
      </c>
    </row>
    <row r="108" spans="1:28" ht="42" customHeight="1">
      <c r="A108" s="2879"/>
      <c r="B108" s="2699"/>
      <c r="C108" s="2719"/>
      <c r="D108" s="725" t="s">
        <v>1067</v>
      </c>
      <c r="E108" s="726">
        <f>E107</f>
        <v>40.4</v>
      </c>
      <c r="F108" s="911">
        <f t="shared" si="98"/>
        <v>0.24752475247524752</v>
      </c>
      <c r="G108" s="726">
        <f>SUM(G107)</f>
        <v>63.08</v>
      </c>
      <c r="H108" s="728">
        <f>SUM(H107)</f>
        <v>50.4</v>
      </c>
      <c r="I108" s="726"/>
      <c r="J108" s="726"/>
      <c r="K108" s="728">
        <f t="shared" ref="K108:L108" si="129">SUM(K107)</f>
        <v>144.5</v>
      </c>
      <c r="L108" s="728">
        <f t="shared" si="129"/>
        <v>72</v>
      </c>
      <c r="M108" s="1464">
        <f t="shared" ref="M108" si="130">SUM(M107)</f>
        <v>66.2</v>
      </c>
      <c r="N108" s="1243">
        <f t="shared" si="92"/>
        <v>-0.5017301038062284</v>
      </c>
      <c r="O108" s="728">
        <f>O107</f>
        <v>73</v>
      </c>
      <c r="P108" s="1464">
        <f>P107</f>
        <v>73</v>
      </c>
      <c r="Q108" s="728">
        <f>Q107</f>
        <v>80</v>
      </c>
      <c r="R108" s="1464">
        <f>R107</f>
        <v>80</v>
      </c>
      <c r="S108" s="2796"/>
      <c r="T108" s="2734"/>
      <c r="U108" s="2694"/>
      <c r="V108" s="2694"/>
      <c r="W108" s="2694"/>
      <c r="X108" s="2694"/>
      <c r="Y108" s="2694"/>
      <c r="Z108" s="2694"/>
      <c r="AA108" s="2694"/>
      <c r="AB108" s="2694"/>
    </row>
    <row r="109" spans="1:28" s="544" customFormat="1" ht="25.5" hidden="1" customHeight="1">
      <c r="A109" s="913"/>
      <c r="B109" s="673" t="s">
        <v>1355</v>
      </c>
      <c r="C109" s="739"/>
      <c r="D109" s="682"/>
      <c r="E109" s="734">
        <v>40</v>
      </c>
      <c r="F109" s="906">
        <f t="shared" si="98"/>
        <v>0</v>
      </c>
      <c r="G109" s="734">
        <v>50</v>
      </c>
      <c r="H109" s="681">
        <v>40</v>
      </c>
      <c r="I109" s="734"/>
      <c r="J109" s="734"/>
      <c r="K109" s="681">
        <v>105</v>
      </c>
      <c r="L109" s="681">
        <v>70</v>
      </c>
      <c r="M109" s="1470">
        <v>62</v>
      </c>
      <c r="N109" s="778">
        <f t="shared" si="92"/>
        <v>-0.33333333333333331</v>
      </c>
      <c r="O109" s="681">
        <v>45</v>
      </c>
      <c r="P109" s="1470">
        <v>69</v>
      </c>
      <c r="Q109" s="681"/>
      <c r="R109" s="1470">
        <v>76</v>
      </c>
      <c r="S109" s="879"/>
      <c r="T109" s="681" t="s">
        <v>3981</v>
      </c>
      <c r="U109" s="693"/>
      <c r="V109" s="693"/>
      <c r="W109" s="693"/>
      <c r="X109" s="693"/>
      <c r="Y109" s="693"/>
      <c r="Z109" s="693"/>
      <c r="AA109" s="693"/>
      <c r="AB109" s="693"/>
    </row>
    <row r="110" spans="1:28" s="544" customFormat="1" ht="29.4" hidden="1" customHeight="1">
      <c r="A110" s="913"/>
      <c r="B110" s="673" t="s">
        <v>2703</v>
      </c>
      <c r="C110" s="739"/>
      <c r="D110" s="682"/>
      <c r="E110" s="734"/>
      <c r="F110" s="906"/>
      <c r="G110" s="734"/>
      <c r="H110" s="681"/>
      <c r="I110" s="734"/>
      <c r="J110" s="734"/>
      <c r="K110" s="681">
        <v>10.5</v>
      </c>
      <c r="L110" s="681"/>
      <c r="M110" s="1470"/>
      <c r="N110" s="778">
        <f t="shared" si="92"/>
        <v>-1</v>
      </c>
      <c r="O110" s="681"/>
      <c r="P110" s="1470"/>
      <c r="Q110" s="681"/>
      <c r="R110" s="1470"/>
      <c r="S110" s="879"/>
      <c r="T110" s="734"/>
      <c r="U110" s="693"/>
      <c r="V110" s="693"/>
      <c r="W110" s="693"/>
      <c r="X110" s="693"/>
      <c r="Y110" s="693"/>
      <c r="Z110" s="693"/>
      <c r="AA110" s="693"/>
      <c r="AB110" s="693"/>
    </row>
    <row r="111" spans="1:28" s="544" customFormat="1" ht="54" hidden="1" customHeight="1">
      <c r="A111" s="913"/>
      <c r="B111" s="673" t="s">
        <v>3670</v>
      </c>
      <c r="C111" s="739"/>
      <c r="D111" s="682"/>
      <c r="E111" s="734"/>
      <c r="F111" s="906"/>
      <c r="G111" s="734"/>
      <c r="H111" s="681"/>
      <c r="I111" s="734"/>
      <c r="J111" s="734"/>
      <c r="K111" s="681" t="s">
        <v>3813</v>
      </c>
      <c r="L111" s="681"/>
      <c r="M111" s="1470"/>
      <c r="N111" s="778"/>
      <c r="O111" s="681"/>
      <c r="P111" s="1470"/>
      <c r="Q111" s="681"/>
      <c r="R111" s="1470"/>
      <c r="S111" s="879"/>
      <c r="T111" s="734"/>
      <c r="U111" s="693"/>
      <c r="V111" s="693"/>
      <c r="W111" s="693"/>
      <c r="X111" s="693"/>
      <c r="Y111" s="693"/>
      <c r="Z111" s="693"/>
      <c r="AA111" s="693"/>
      <c r="AB111" s="693"/>
    </row>
    <row r="112" spans="1:28" s="544" customFormat="1" ht="55.95" hidden="1" customHeight="1">
      <c r="A112" s="913"/>
      <c r="B112" s="673" t="s">
        <v>3671</v>
      </c>
      <c r="C112" s="739"/>
      <c r="D112" s="682"/>
      <c r="E112" s="734"/>
      <c r="F112" s="906"/>
      <c r="G112" s="734"/>
      <c r="H112" s="681"/>
      <c r="I112" s="734"/>
      <c r="J112" s="734"/>
      <c r="K112" s="681">
        <v>4.25</v>
      </c>
      <c r="L112" s="1708"/>
      <c r="M112" s="1709"/>
      <c r="N112" s="2133">
        <f t="shared" si="92"/>
        <v>-1</v>
      </c>
      <c r="O112" s="879"/>
      <c r="P112" s="1702"/>
      <c r="Q112" s="879"/>
      <c r="R112" s="1702"/>
      <c r="T112" s="734"/>
      <c r="U112" s="693"/>
      <c r="V112" s="693"/>
      <c r="W112" s="693"/>
      <c r="X112" s="693"/>
      <c r="Y112" s="693"/>
      <c r="Z112" s="693"/>
      <c r="AA112" s="693"/>
      <c r="AB112" s="693"/>
    </row>
    <row r="113" spans="1:31" s="544" customFormat="1" ht="25.5" hidden="1" customHeight="1">
      <c r="A113" s="913"/>
      <c r="B113" s="673" t="s">
        <v>1354</v>
      </c>
      <c r="C113" s="739"/>
      <c r="D113" s="682"/>
      <c r="E113" s="734">
        <v>8</v>
      </c>
      <c r="F113" s="906">
        <f t="shared" si="98"/>
        <v>0.25</v>
      </c>
      <c r="G113" s="734">
        <v>12</v>
      </c>
      <c r="H113" s="681">
        <v>10</v>
      </c>
      <c r="I113" s="734"/>
      <c r="J113" s="734"/>
      <c r="K113" s="681">
        <v>21.5</v>
      </c>
      <c r="L113" s="681">
        <v>0</v>
      </c>
      <c r="M113" s="1470"/>
      <c r="N113" s="778">
        <f t="shared" si="92"/>
        <v>-1</v>
      </c>
      <c r="O113" s="681">
        <v>10</v>
      </c>
      <c r="P113" s="1470"/>
      <c r="Q113" s="681"/>
      <c r="R113" s="1470"/>
      <c r="S113" s="879"/>
      <c r="T113" s="1181"/>
      <c r="U113" s="693"/>
      <c r="V113" s="693"/>
      <c r="W113" s="693"/>
      <c r="X113" s="693"/>
      <c r="Y113" s="693"/>
      <c r="Z113" s="693"/>
      <c r="AA113" s="693"/>
      <c r="AB113" s="693"/>
    </row>
    <row r="114" spans="1:31" s="544" customFormat="1" ht="34.950000000000003" hidden="1" customHeight="1">
      <c r="A114" s="913"/>
      <c r="B114" s="673" t="s">
        <v>1356</v>
      </c>
      <c r="C114" s="739"/>
      <c r="D114" s="682"/>
      <c r="E114" s="734">
        <v>0.4</v>
      </c>
      <c r="F114" s="906">
        <f t="shared" si="98"/>
        <v>0</v>
      </c>
      <c r="G114" s="734">
        <v>1.08</v>
      </c>
      <c r="H114" s="681">
        <v>0.4</v>
      </c>
      <c r="I114" s="734"/>
      <c r="J114" s="734">
        <v>1</v>
      </c>
      <c r="K114" s="681">
        <v>3.25</v>
      </c>
      <c r="L114" s="681">
        <v>2</v>
      </c>
      <c r="M114" s="1470">
        <v>4.2</v>
      </c>
      <c r="N114" s="778">
        <f t="shared" si="92"/>
        <v>-0.38461538461538464</v>
      </c>
      <c r="O114" s="681">
        <v>0.5</v>
      </c>
      <c r="P114" s="1470">
        <v>4</v>
      </c>
      <c r="Q114" s="681"/>
      <c r="R114" s="1470">
        <v>4</v>
      </c>
      <c r="S114" s="879"/>
      <c r="T114" s="734"/>
      <c r="U114" s="693"/>
      <c r="V114" s="693"/>
      <c r="W114" s="693"/>
      <c r="X114" s="693"/>
      <c r="Y114" s="693"/>
      <c r="Z114" s="693"/>
      <c r="AA114" s="693"/>
      <c r="AB114" s="693"/>
    </row>
    <row r="115" spans="1:31" ht="35.4" customHeight="1">
      <c r="A115" s="2879" t="s">
        <v>1969</v>
      </c>
      <c r="B115" s="2699" t="s">
        <v>1193</v>
      </c>
      <c r="C115" s="2719" t="s">
        <v>1071</v>
      </c>
      <c r="D115" s="706" t="s">
        <v>470</v>
      </c>
      <c r="E115" s="720">
        <f>SUM(E117,E118,E119,)</f>
        <v>30</v>
      </c>
      <c r="F115" s="892">
        <f t="shared" si="98"/>
        <v>0.1166666666666667</v>
      </c>
      <c r="G115" s="720">
        <f>SUM(G117:G119)</f>
        <v>35.75</v>
      </c>
      <c r="H115" s="722">
        <f>SUM(H117:H119)</f>
        <v>33.5</v>
      </c>
      <c r="I115" s="720"/>
      <c r="J115" s="720"/>
      <c r="K115" s="722">
        <f>SUM(K117:K119)</f>
        <v>54.5</v>
      </c>
      <c r="L115" s="722">
        <f>SUM(L117,L118,L119)</f>
        <v>75.7</v>
      </c>
      <c r="M115" s="1496">
        <f>SUM(M117,M118,M119)</f>
        <v>74.5</v>
      </c>
      <c r="N115" s="1013">
        <f t="shared" si="92"/>
        <v>0.38899082568807347</v>
      </c>
      <c r="O115" s="722">
        <f t="shared" ref="O115:R115" si="131">SUM(O117,O118,O119)</f>
        <v>84.5</v>
      </c>
      <c r="P115" s="1496">
        <f t="shared" si="131"/>
        <v>84.5</v>
      </c>
      <c r="Q115" s="722">
        <f t="shared" si="131"/>
        <v>93.5</v>
      </c>
      <c r="R115" s="1496">
        <f t="shared" si="131"/>
        <v>93.5</v>
      </c>
      <c r="S115" s="2796" t="s">
        <v>2180</v>
      </c>
      <c r="T115" s="2704" t="s">
        <v>3684</v>
      </c>
      <c r="U115" s="2694" t="s">
        <v>1346</v>
      </c>
      <c r="V115" s="2694" t="s">
        <v>3685</v>
      </c>
      <c r="W115" s="2694" t="s">
        <v>324</v>
      </c>
      <c r="X115" s="2694" t="s">
        <v>324</v>
      </c>
      <c r="Y115" s="2694" t="s">
        <v>324</v>
      </c>
      <c r="Z115" s="2694" t="s">
        <v>324</v>
      </c>
      <c r="AA115" s="2694" t="s">
        <v>324</v>
      </c>
      <c r="AB115" s="2694" t="s">
        <v>2181</v>
      </c>
    </row>
    <row r="116" spans="1:31" ht="33.75" customHeight="1">
      <c r="A116" s="2879"/>
      <c r="B116" s="2699"/>
      <c r="C116" s="2719"/>
      <c r="D116" s="725" t="s">
        <v>1067</v>
      </c>
      <c r="E116" s="726">
        <f>E115</f>
        <v>30</v>
      </c>
      <c r="F116" s="911">
        <f t="shared" si="98"/>
        <v>0.1166666666666667</v>
      </c>
      <c r="G116" s="726">
        <f>SUM(G115)</f>
        <v>35.75</v>
      </c>
      <c r="H116" s="728">
        <f>SUM(H115)</f>
        <v>33.5</v>
      </c>
      <c r="I116" s="726"/>
      <c r="J116" s="726"/>
      <c r="K116" s="728">
        <f t="shared" ref="K116:L116" si="132">SUM(K115)</f>
        <v>54.5</v>
      </c>
      <c r="L116" s="728">
        <f t="shared" si="132"/>
        <v>75.7</v>
      </c>
      <c r="M116" s="1464">
        <f t="shared" ref="M116" si="133">SUM(M115)</f>
        <v>74.5</v>
      </c>
      <c r="N116" s="1243">
        <f t="shared" si="92"/>
        <v>0.38899082568807347</v>
      </c>
      <c r="O116" s="728">
        <f>O115</f>
        <v>84.5</v>
      </c>
      <c r="P116" s="1464">
        <f>P115</f>
        <v>84.5</v>
      </c>
      <c r="Q116" s="728">
        <f>Q115</f>
        <v>93.5</v>
      </c>
      <c r="R116" s="1464">
        <f>R115</f>
        <v>93.5</v>
      </c>
      <c r="S116" s="2796"/>
      <c r="T116" s="2734"/>
      <c r="U116" s="2694"/>
      <c r="V116" s="2694"/>
      <c r="W116" s="2694"/>
      <c r="X116" s="2694"/>
      <c r="Y116" s="2694"/>
      <c r="Z116" s="2694"/>
      <c r="AA116" s="2694"/>
      <c r="AB116" s="2694"/>
    </row>
    <row r="117" spans="1:31" s="544" customFormat="1" ht="25.5" hidden="1" customHeight="1">
      <c r="A117" s="910"/>
      <c r="B117" s="1318" t="s">
        <v>1354</v>
      </c>
      <c r="C117" s="1319"/>
      <c r="D117" s="730"/>
      <c r="E117" s="732">
        <v>8</v>
      </c>
      <c r="F117" s="917">
        <f t="shared" si="98"/>
        <v>0</v>
      </c>
      <c r="G117" s="732"/>
      <c r="H117" s="732">
        <v>8</v>
      </c>
      <c r="I117" s="732"/>
      <c r="J117" s="732"/>
      <c r="K117" s="680">
        <v>14</v>
      </c>
      <c r="L117" s="680">
        <v>25</v>
      </c>
      <c r="M117" s="1489">
        <v>12</v>
      </c>
      <c r="N117" s="2134">
        <f t="shared" si="92"/>
        <v>0.7857142857142857</v>
      </c>
      <c r="O117" s="680">
        <v>15</v>
      </c>
      <c r="P117" s="1489">
        <v>15</v>
      </c>
      <c r="Q117" s="680">
        <v>17</v>
      </c>
      <c r="R117" s="1489">
        <v>17</v>
      </c>
      <c r="S117" s="1320"/>
      <c r="T117" s="2139" t="s">
        <v>3999</v>
      </c>
      <c r="U117" s="698"/>
      <c r="V117" s="702"/>
      <c r="W117" s="702"/>
      <c r="X117" s="702"/>
      <c r="Y117" s="702"/>
      <c r="Z117" s="933"/>
      <c r="AA117" s="933"/>
      <c r="AB117" s="934"/>
    </row>
    <row r="118" spans="1:31" s="544" customFormat="1" ht="25.5" hidden="1" customHeight="1">
      <c r="A118" s="913"/>
      <c r="B118" s="904" t="s">
        <v>1355</v>
      </c>
      <c r="C118" s="905"/>
      <c r="D118" s="735"/>
      <c r="E118" s="734">
        <v>21.5</v>
      </c>
      <c r="F118" s="917">
        <f t="shared" si="98"/>
        <v>0.16279069767441867</v>
      </c>
      <c r="G118" s="734">
        <v>35</v>
      </c>
      <c r="H118" s="681">
        <v>25</v>
      </c>
      <c r="I118" s="734"/>
      <c r="J118" s="734"/>
      <c r="K118" s="681">
        <v>40</v>
      </c>
      <c r="L118" s="681">
        <v>50</v>
      </c>
      <c r="M118" s="1470">
        <v>62</v>
      </c>
      <c r="N118" s="778">
        <f t="shared" si="92"/>
        <v>0.25</v>
      </c>
      <c r="O118" s="681">
        <v>69</v>
      </c>
      <c r="P118" s="1470">
        <v>69</v>
      </c>
      <c r="Q118" s="681">
        <v>76</v>
      </c>
      <c r="R118" s="1470">
        <v>76</v>
      </c>
      <c r="S118" s="942"/>
      <c r="T118" s="681"/>
      <c r="U118" s="698"/>
      <c r="V118" s="694"/>
      <c r="W118" s="694"/>
      <c r="X118" s="694"/>
      <c r="Y118" s="694"/>
      <c r="Z118" s="933"/>
      <c r="AA118" s="933"/>
      <c r="AB118" s="934"/>
    </row>
    <row r="119" spans="1:31" s="544" customFormat="1" ht="25.5" hidden="1" customHeight="1">
      <c r="A119" s="903"/>
      <c r="B119" s="908" t="s">
        <v>1356</v>
      </c>
      <c r="C119" s="738"/>
      <c r="D119" s="758"/>
      <c r="E119" s="734">
        <v>0.5</v>
      </c>
      <c r="F119" s="917">
        <f t="shared" si="98"/>
        <v>0</v>
      </c>
      <c r="G119" s="734">
        <v>0.75</v>
      </c>
      <c r="H119" s="681">
        <v>0.5</v>
      </c>
      <c r="I119" s="734"/>
      <c r="J119" s="734">
        <v>0.8</v>
      </c>
      <c r="K119" s="681">
        <v>0.5</v>
      </c>
      <c r="L119" s="681">
        <v>0.7</v>
      </c>
      <c r="M119" s="1470">
        <v>0.5</v>
      </c>
      <c r="N119" s="778">
        <f t="shared" si="92"/>
        <v>0.39999999999999991</v>
      </c>
      <c r="O119" s="681">
        <v>0.5</v>
      </c>
      <c r="P119" s="1470">
        <v>0.5</v>
      </c>
      <c r="Q119" s="681">
        <v>0.5</v>
      </c>
      <c r="R119" s="1470">
        <v>0.5</v>
      </c>
      <c r="S119" s="2594"/>
      <c r="T119" s="684"/>
      <c r="U119" s="702"/>
      <c r="V119" s="694"/>
      <c r="W119" s="694"/>
      <c r="X119" s="694"/>
      <c r="Y119" s="694"/>
      <c r="Z119" s="933"/>
      <c r="AA119" s="933"/>
      <c r="AB119" s="933"/>
    </row>
    <row r="120" spans="1:31" ht="66.75" customHeight="1">
      <c r="A120" s="2740"/>
      <c r="B120" s="2740"/>
      <c r="C120" s="2740"/>
      <c r="D120" s="2740"/>
      <c r="E120" s="783" t="s">
        <v>1081</v>
      </c>
      <c r="F120" s="783"/>
      <c r="G120" s="783" t="str">
        <f>G14</f>
        <v>2024  m.asignavimų poreikis</v>
      </c>
      <c r="H120" s="784" t="str">
        <f>H14</f>
        <v>2024  m.asignavimai ir kitos lėšos, tūkst. Eur</v>
      </c>
      <c r="I120" s="783" t="s">
        <v>2882</v>
      </c>
      <c r="J120" s="783" t="s">
        <v>2883</v>
      </c>
      <c r="K120" s="182" t="str">
        <f>K14</f>
        <v>2025 m. asignavimai ir kitos lėšos, tūkst. Eur</v>
      </c>
      <c r="L120" s="182" t="str">
        <f>L14</f>
        <v>2026 m. asignavimai ir kitos lėšos, tūkst. Eur</v>
      </c>
      <c r="M120" s="1505" t="str">
        <f>M14</f>
        <v>2026 m.asignavimai ir kitos lėšos, tūkst. Eur
(poreikis)</v>
      </c>
      <c r="N120" s="2086"/>
      <c r="O120" s="190" t="s">
        <v>2881</v>
      </c>
      <c r="P120" s="1537" t="s">
        <v>2881</v>
      </c>
      <c r="Q120" s="190" t="s">
        <v>2881</v>
      </c>
      <c r="R120" s="1537" t="s">
        <v>2881</v>
      </c>
      <c r="S120" s="2932"/>
      <c r="T120" s="2932"/>
      <c r="U120" s="2932"/>
      <c r="V120" s="2932"/>
      <c r="W120" s="2932"/>
      <c r="X120" s="2932"/>
      <c r="Y120" s="2932"/>
      <c r="Z120" s="2932"/>
      <c r="AA120" s="2932"/>
      <c r="AB120" s="2932"/>
    </row>
    <row r="121" spans="1:31" ht="25.5" customHeight="1">
      <c r="A121" s="2933"/>
      <c r="B121" s="2925" t="s">
        <v>720</v>
      </c>
      <c r="C121" s="2925"/>
      <c r="D121" s="2925"/>
      <c r="E121" s="935" t="e">
        <f>E122+E123+E125+E126+E127+E128</f>
        <v>#REF!</v>
      </c>
      <c r="F121" s="891" t="e">
        <f t="shared" si="98"/>
        <v>#REF!</v>
      </c>
      <c r="G121" s="936" t="e">
        <f>SUM(G122:G128)</f>
        <v>#REF!</v>
      </c>
      <c r="H121" s="743">
        <f>H122+H123+H125+H126+H127+H128</f>
        <v>1986.1569999999999</v>
      </c>
      <c r="I121" s="936"/>
      <c r="J121" s="936">
        <f t="shared" ref="J121:L121" si="134">J122+J123+J125+J126+J127+J128</f>
        <v>1947.18</v>
      </c>
      <c r="K121" s="743">
        <f t="shared" si="134"/>
        <v>2203.616</v>
      </c>
      <c r="L121" s="743">
        <f t="shared" si="134"/>
        <v>2586.5429999999997</v>
      </c>
      <c r="M121" s="1696">
        <f t="shared" ref="M121" si="135">M122+M123+M125+M126+M127+M128</f>
        <v>2787.494999999999</v>
      </c>
      <c r="N121" s="2135">
        <f t="shared" si="92"/>
        <v>0.17377210911519961</v>
      </c>
      <c r="O121" s="724">
        <f>O122+O123+O125+O126+O127+O128</f>
        <v>2713.3395000000005</v>
      </c>
      <c r="P121" s="1506">
        <f>P122+P123+P125+P126+P127+P128</f>
        <v>2733.1350000000002</v>
      </c>
      <c r="Q121" s="724">
        <f>Q122+Q123+Q125+Q126+Q127+Q128</f>
        <v>2929.9603750000001</v>
      </c>
      <c r="R121" s="1506">
        <f>R122+R123+R125+R126+R127+R128</f>
        <v>2805.3039999999996</v>
      </c>
      <c r="S121" s="882"/>
      <c r="T121" s="937"/>
      <c r="U121" s="937"/>
      <c r="V121" s="937"/>
      <c r="W121" s="937"/>
      <c r="X121" s="937"/>
      <c r="Y121" s="937"/>
      <c r="Z121" s="937"/>
      <c r="AA121" s="937"/>
      <c r="AB121" s="937"/>
    </row>
    <row r="122" spans="1:31" ht="34.5" customHeight="1">
      <c r="A122" s="2934"/>
      <c r="B122" s="2736" t="s">
        <v>1913</v>
      </c>
      <c r="C122" s="2736"/>
      <c r="D122" s="2736"/>
      <c r="E122" s="938" t="e">
        <f>SUM(E17,E37,E42,E50,E55,E59,E64,E68,E73,E77,E83,E91,E95,E101,E107,E115)</f>
        <v>#REF!</v>
      </c>
      <c r="F122" s="891" t="e">
        <f t="shared" si="98"/>
        <v>#REF!</v>
      </c>
      <c r="G122" s="936" t="e">
        <f>SUM(G17,G37,G42,G50,G55,G59,G64,G68,G73,G77,G83,G91,G95,G101,G107,G115,)</f>
        <v>#REF!</v>
      </c>
      <c r="H122" s="743">
        <f>SUM(H17,H37,H42,H50,H55,H59,H64,H68,H73,H77,H91,H95,H101,H107,H115,)</f>
        <v>1847.25</v>
      </c>
      <c r="I122" s="743"/>
      <c r="J122" s="936">
        <f>SUM(J17,J37,J42,J50,J55,J59,J64,J68,J73,J77,J91,J95,J101,J107,J115,)</f>
        <v>1872.28</v>
      </c>
      <c r="K122" s="743">
        <f t="shared" ref="K122:R122" si="136">SUM(K17,K37,K42,K50,K55,K59,K64,K68,K73,K77,K91,K95,K101,K107,K115,K84)</f>
        <v>2129.44</v>
      </c>
      <c r="L122" s="743">
        <f>SUM(L17,L37,L42,L50,L55,L59,L64,L68,L73,L77,L91,L95,L101,L107,L115,L84)</f>
        <v>2499.1999999999998</v>
      </c>
      <c r="M122" s="1696">
        <f>SUM(M17,M37,M42,M50,M55,M59,M64,M68,M73,M77,M91,M95,M101,M107,M115,M84)</f>
        <v>2696.8449999999989</v>
      </c>
      <c r="N122" s="2135">
        <f t="shared" si="92"/>
        <v>0.17364189646104128</v>
      </c>
      <c r="O122" s="724">
        <f t="shared" si="136"/>
        <v>2622.9975000000004</v>
      </c>
      <c r="P122" s="1506">
        <f t="shared" si="136"/>
        <v>2638.4850000000001</v>
      </c>
      <c r="Q122" s="724">
        <f t="shared" si="136"/>
        <v>2836.2983750000003</v>
      </c>
      <c r="R122" s="1506">
        <f t="shared" si="136"/>
        <v>2706.3339999999998</v>
      </c>
      <c r="S122" s="882"/>
      <c r="T122" s="937"/>
      <c r="U122" s="937"/>
      <c r="V122" s="937"/>
      <c r="W122" s="937"/>
      <c r="X122" s="937"/>
      <c r="Y122" s="937"/>
      <c r="Z122" s="937"/>
      <c r="AA122" s="937"/>
      <c r="AB122" s="937"/>
    </row>
    <row r="123" spans="1:31" ht="25.5" customHeight="1">
      <c r="A123" s="2934"/>
      <c r="B123" s="2736" t="s">
        <v>722</v>
      </c>
      <c r="C123" s="2736"/>
      <c r="D123" s="2736"/>
      <c r="E123" s="938">
        <f>SUM(E20)</f>
        <v>23.091999999999999</v>
      </c>
      <c r="F123" s="891">
        <f t="shared" si="98"/>
        <v>0.10358565737051806</v>
      </c>
      <c r="G123" s="720">
        <f>SUM(G20)</f>
        <v>23.78</v>
      </c>
      <c r="H123" s="722">
        <f>SUM(H20)</f>
        <v>25.484000000000002</v>
      </c>
      <c r="I123" s="722"/>
      <c r="J123" s="720">
        <f t="shared" ref="J123:R123" si="137">SUM(J20)</f>
        <v>26</v>
      </c>
      <c r="K123" s="722">
        <f t="shared" si="137"/>
        <v>25.276</v>
      </c>
      <c r="L123" s="722">
        <f t="shared" si="137"/>
        <v>23.692</v>
      </c>
      <c r="M123" s="1496">
        <f t="shared" si="137"/>
        <v>27</v>
      </c>
      <c r="N123" s="1013">
        <f>SUM(L123-K123)/K123</f>
        <v>-6.2668143693622391E-2</v>
      </c>
      <c r="O123" s="722">
        <f t="shared" si="137"/>
        <v>23.692</v>
      </c>
      <c r="P123" s="1496">
        <f t="shared" si="137"/>
        <v>28</v>
      </c>
      <c r="Q123" s="722">
        <f t="shared" si="137"/>
        <v>23.692</v>
      </c>
      <c r="R123" s="1496">
        <f t="shared" si="137"/>
        <v>29</v>
      </c>
      <c r="S123" s="882"/>
      <c r="T123" s="937"/>
      <c r="U123" s="937"/>
      <c r="V123" s="937"/>
      <c r="W123" s="937"/>
      <c r="X123" s="937"/>
      <c r="Y123" s="937"/>
      <c r="Z123" s="937"/>
      <c r="AA123" s="937"/>
      <c r="AB123" s="937"/>
    </row>
    <row r="124" spans="1:31" ht="25.5" hidden="1" customHeight="1">
      <c r="A124" s="2934"/>
      <c r="B124" s="2929" t="s">
        <v>3594</v>
      </c>
      <c r="C124" s="2930"/>
      <c r="D124" s="2931"/>
      <c r="E124" s="939"/>
      <c r="F124" s="923"/>
      <c r="G124" s="757"/>
      <c r="H124" s="689">
        <f>H123</f>
        <v>25.484000000000002</v>
      </c>
      <c r="I124" s="757"/>
      <c r="J124" s="757"/>
      <c r="K124" s="689"/>
      <c r="L124" s="940"/>
      <c r="M124" s="1697"/>
      <c r="N124" s="2136"/>
      <c r="O124" s="689"/>
      <c r="P124" s="1484"/>
      <c r="Q124" s="689"/>
      <c r="R124" s="1484"/>
      <c r="S124" s="882"/>
      <c r="T124" s="937"/>
      <c r="U124" s="937"/>
      <c r="V124" s="937"/>
      <c r="W124" s="937"/>
      <c r="X124" s="937"/>
      <c r="Y124" s="937"/>
      <c r="Z124" s="937"/>
      <c r="AA124" s="937"/>
      <c r="AB124" s="937"/>
    </row>
    <row r="125" spans="1:31" ht="25.5" customHeight="1">
      <c r="A125" s="2934"/>
      <c r="B125" s="2736" t="s">
        <v>3716</v>
      </c>
      <c r="C125" s="2736"/>
      <c r="D125" s="2736"/>
      <c r="E125" s="938">
        <f>SUM(E18)</f>
        <v>55.830000000000005</v>
      </c>
      <c r="F125" s="891">
        <f t="shared" si="98"/>
        <v>0.16245746014687446</v>
      </c>
      <c r="G125" s="720">
        <f>SUM(G18)</f>
        <v>41.6</v>
      </c>
      <c r="H125" s="722">
        <f>SUM(H18)</f>
        <v>64.900000000000006</v>
      </c>
      <c r="I125" s="722"/>
      <c r="J125" s="720">
        <f t="shared" ref="J125:R125" si="138">SUM(J18)</f>
        <v>48.9</v>
      </c>
      <c r="K125" s="722">
        <f t="shared" si="138"/>
        <v>48.9</v>
      </c>
      <c r="L125" s="722">
        <f>SUM(L18,L19)</f>
        <v>63.650999999999996</v>
      </c>
      <c r="M125" s="1496">
        <f>SUM(M18)</f>
        <v>63.65</v>
      </c>
      <c r="N125" s="1013">
        <f t="shared" si="92"/>
        <v>0.30165644171779138</v>
      </c>
      <c r="O125" s="722">
        <f t="shared" si="138"/>
        <v>66.650000000000006</v>
      </c>
      <c r="P125" s="1496">
        <f t="shared" si="138"/>
        <v>66.650000000000006</v>
      </c>
      <c r="Q125" s="722">
        <f t="shared" si="138"/>
        <v>69.97</v>
      </c>
      <c r="R125" s="1496">
        <f t="shared" si="138"/>
        <v>69.97</v>
      </c>
      <c r="S125" s="882"/>
      <c r="T125" s="937"/>
      <c r="U125" s="937"/>
      <c r="V125" s="937"/>
      <c r="W125" s="937"/>
      <c r="X125" s="937"/>
      <c r="Y125" s="937"/>
      <c r="Z125" s="937"/>
      <c r="AA125" s="937"/>
      <c r="AB125" s="937"/>
      <c r="AE125" s="116"/>
    </row>
    <row r="126" spans="1:31" ht="25.5" customHeight="1">
      <c r="A126" s="2934"/>
      <c r="B126" s="2736" t="s">
        <v>2687</v>
      </c>
      <c r="C126" s="2736"/>
      <c r="D126" s="2736"/>
      <c r="E126" s="938">
        <v>0</v>
      </c>
      <c r="F126" s="891"/>
      <c r="G126" s="720">
        <f>SUM(G21,G85,)</f>
        <v>0</v>
      </c>
      <c r="H126" s="722">
        <f>SUM(H21,H85,)</f>
        <v>0</v>
      </c>
      <c r="I126" s="722"/>
      <c r="J126" s="720">
        <f t="shared" ref="J126:R126" si="139">SUM(J21,J85,)</f>
        <v>0</v>
      </c>
      <c r="K126" s="722">
        <f t="shared" si="139"/>
        <v>0</v>
      </c>
      <c r="L126" s="722">
        <f t="shared" si="139"/>
        <v>0</v>
      </c>
      <c r="M126" s="1496">
        <f t="shared" si="139"/>
        <v>0</v>
      </c>
      <c r="N126" s="1013"/>
      <c r="O126" s="722">
        <f t="shared" si="139"/>
        <v>0</v>
      </c>
      <c r="P126" s="1496">
        <f t="shared" si="139"/>
        <v>0</v>
      </c>
      <c r="Q126" s="722">
        <f t="shared" si="139"/>
        <v>0</v>
      </c>
      <c r="R126" s="1496">
        <f t="shared" si="139"/>
        <v>0</v>
      </c>
      <c r="S126" s="882"/>
      <c r="T126" s="937"/>
      <c r="U126" s="937"/>
      <c r="V126" s="937"/>
      <c r="W126" s="937"/>
      <c r="X126" s="937"/>
      <c r="Y126" s="937"/>
      <c r="Z126" s="937"/>
      <c r="AA126" s="937"/>
      <c r="AB126" s="937"/>
    </row>
    <row r="127" spans="1:31" ht="21" customHeight="1">
      <c r="A127" s="2934"/>
      <c r="B127" s="2736" t="s">
        <v>724</v>
      </c>
      <c r="C127" s="2736"/>
      <c r="D127" s="2736"/>
      <c r="E127" s="938">
        <v>0</v>
      </c>
      <c r="F127" s="891"/>
      <c r="G127" s="720">
        <v>0</v>
      </c>
      <c r="H127" s="722">
        <v>0</v>
      </c>
      <c r="I127" s="722"/>
      <c r="J127" s="720">
        <v>0</v>
      </c>
      <c r="K127" s="722">
        <v>0</v>
      </c>
      <c r="L127" s="722">
        <v>0</v>
      </c>
      <c r="M127" s="1496">
        <v>0</v>
      </c>
      <c r="N127" s="1013"/>
      <c r="O127" s="722">
        <v>0</v>
      </c>
      <c r="P127" s="1496">
        <v>0</v>
      </c>
      <c r="Q127" s="722">
        <v>0</v>
      </c>
      <c r="R127" s="1496">
        <v>0</v>
      </c>
      <c r="S127" s="882"/>
      <c r="T127" s="937"/>
      <c r="U127" s="937"/>
      <c r="V127" s="937"/>
      <c r="W127" s="937"/>
      <c r="X127" s="937"/>
      <c r="Y127" s="937"/>
      <c r="Z127" s="937"/>
      <c r="AA127" s="937"/>
      <c r="AB127" s="937"/>
    </row>
    <row r="128" spans="1:31" ht="19.5" customHeight="1">
      <c r="A128" s="2934"/>
      <c r="B128" s="2736" t="s">
        <v>725</v>
      </c>
      <c r="C128" s="2736"/>
      <c r="D128" s="2736"/>
      <c r="E128" s="938">
        <v>0</v>
      </c>
      <c r="F128" s="891"/>
      <c r="G128" s="720">
        <v>0</v>
      </c>
      <c r="H128" s="722">
        <f>SUM(H32,H83)</f>
        <v>48.523000000000003</v>
      </c>
      <c r="I128" s="722"/>
      <c r="J128" s="720">
        <f>SUM(J32,J83)</f>
        <v>0</v>
      </c>
      <c r="K128" s="722">
        <f>SUM(K32,K83)</f>
        <v>0</v>
      </c>
      <c r="L128" s="722">
        <v>0</v>
      </c>
      <c r="M128" s="1496">
        <f>SUM(M32,M83)</f>
        <v>0</v>
      </c>
      <c r="N128" s="1013"/>
      <c r="O128" s="722">
        <v>0</v>
      </c>
      <c r="P128" s="1496">
        <v>0</v>
      </c>
      <c r="Q128" s="722">
        <v>0</v>
      </c>
      <c r="R128" s="1496">
        <v>0</v>
      </c>
      <c r="S128" s="882"/>
      <c r="T128" s="937"/>
      <c r="U128" s="937"/>
      <c r="V128" s="937"/>
      <c r="W128" s="937"/>
      <c r="X128" s="937"/>
      <c r="Y128" s="937"/>
      <c r="Z128" s="937"/>
      <c r="AA128" s="937"/>
      <c r="AB128" s="937"/>
    </row>
    <row r="129" spans="1:28" ht="41.25" customHeight="1">
      <c r="A129" s="2934"/>
      <c r="B129" s="2703" t="s">
        <v>726</v>
      </c>
      <c r="C129" s="2703"/>
      <c r="D129" s="2703"/>
      <c r="E129" s="720">
        <v>0</v>
      </c>
      <c r="F129" s="720"/>
      <c r="G129" s="720">
        <v>0</v>
      </c>
      <c r="H129" s="722">
        <f>H22</f>
        <v>16</v>
      </c>
      <c r="I129" s="722"/>
      <c r="J129" s="720">
        <f t="shared" ref="J129:Q129" si="140">J22</f>
        <v>34</v>
      </c>
      <c r="K129" s="722">
        <f t="shared" si="140"/>
        <v>34</v>
      </c>
      <c r="L129" s="722">
        <f t="shared" si="140"/>
        <v>26</v>
      </c>
      <c r="M129" s="1496">
        <f t="shared" si="140"/>
        <v>26.8</v>
      </c>
      <c r="N129" s="1013">
        <f t="shared" si="92"/>
        <v>-0.23529411764705882</v>
      </c>
      <c r="O129" s="722">
        <f t="shared" si="140"/>
        <v>26</v>
      </c>
      <c r="P129" s="1496">
        <f t="shared" si="140"/>
        <v>26.6</v>
      </c>
      <c r="Q129" s="722">
        <f t="shared" si="140"/>
        <v>26.6</v>
      </c>
      <c r="R129" s="722">
        <f>R22</f>
        <v>26.6</v>
      </c>
      <c r="S129" s="882"/>
      <c r="T129" s="937"/>
      <c r="U129" s="937"/>
      <c r="V129" s="937"/>
      <c r="W129" s="937"/>
      <c r="X129" s="937"/>
      <c r="Y129" s="937"/>
      <c r="Z129" s="937"/>
      <c r="AA129" s="937"/>
      <c r="AB129" s="937"/>
    </row>
    <row r="130" spans="1:28" ht="30.75" customHeight="1">
      <c r="A130" s="2934"/>
      <c r="B130" s="2703" t="s">
        <v>1082</v>
      </c>
      <c r="C130" s="2703"/>
      <c r="D130" s="2703"/>
      <c r="E130" s="786" t="e">
        <f>SUM(E121,E129)</f>
        <v>#REF!</v>
      </c>
      <c r="F130" s="892" t="e">
        <f t="shared" si="98"/>
        <v>#REF!</v>
      </c>
      <c r="G130" s="786" t="e">
        <f>SUM(G121,G129)</f>
        <v>#REF!</v>
      </c>
      <c r="H130" s="724">
        <f>SUM(H121,H129)</f>
        <v>2002.1569999999999</v>
      </c>
      <c r="I130" s="724"/>
      <c r="J130" s="786">
        <f t="shared" ref="J130:O130" si="141">SUM(J121,J129)</f>
        <v>1981.18</v>
      </c>
      <c r="K130" s="724">
        <f>SUM(K121,K129)</f>
        <v>2237.616</v>
      </c>
      <c r="L130" s="724">
        <f t="shared" si="141"/>
        <v>2612.5429999999997</v>
      </c>
      <c r="M130" s="1506">
        <f t="shared" ref="M130" si="142">SUM(M121,M129)</f>
        <v>2814.2949999999992</v>
      </c>
      <c r="N130" s="2137">
        <f>SUM(L130-K130)/K130</f>
        <v>0.16755645293919944</v>
      </c>
      <c r="O130" s="724">
        <f t="shared" si="141"/>
        <v>2739.3395000000005</v>
      </c>
      <c r="P130" s="1506">
        <f t="shared" ref="P130:Q130" si="143">SUM(P121,P129)</f>
        <v>2759.7350000000001</v>
      </c>
      <c r="Q130" s="724">
        <f t="shared" si="143"/>
        <v>2956.560375</v>
      </c>
      <c r="R130" s="1506">
        <f t="shared" ref="R130" si="144">SUM(R121,R129)</f>
        <v>2831.9039999999995</v>
      </c>
      <c r="S130" s="882"/>
      <c r="T130" s="937"/>
      <c r="U130" s="937"/>
      <c r="V130" s="937"/>
      <c r="W130" s="937"/>
      <c r="X130" s="937"/>
      <c r="Y130" s="937"/>
      <c r="Z130" s="937"/>
      <c r="AA130" s="937"/>
      <c r="AB130" s="937"/>
    </row>
    <row r="131" spans="1:28" ht="25.5" customHeight="1">
      <c r="A131" s="2934"/>
      <c r="B131" s="2703" t="s">
        <v>1914</v>
      </c>
      <c r="C131" s="2703"/>
      <c r="D131" s="2703"/>
      <c r="E131" s="786">
        <v>0</v>
      </c>
      <c r="F131" s="892"/>
      <c r="G131" s="786">
        <v>0</v>
      </c>
      <c r="H131" s="724">
        <v>0</v>
      </c>
      <c r="I131" s="724"/>
      <c r="J131" s="786">
        <v>0</v>
      </c>
      <c r="K131" s="724"/>
      <c r="L131" s="724"/>
      <c r="M131" s="1506"/>
      <c r="N131" s="2137"/>
      <c r="O131" s="724"/>
      <c r="P131" s="1506"/>
      <c r="Q131" s="724"/>
      <c r="R131" s="1506">
        <v>0</v>
      </c>
      <c r="S131" s="882"/>
      <c r="T131" s="937"/>
      <c r="U131" s="937"/>
      <c r="V131" s="937"/>
      <c r="W131" s="937"/>
      <c r="X131" s="937"/>
      <c r="Y131" s="937"/>
      <c r="Z131" s="937"/>
      <c r="AA131" s="937"/>
      <c r="AB131" s="937"/>
    </row>
    <row r="132" spans="1:28" ht="48.75" customHeight="1">
      <c r="A132" s="2934"/>
      <c r="B132" s="2928" t="s">
        <v>727</v>
      </c>
      <c r="C132" s="2928"/>
      <c r="D132" s="2928"/>
      <c r="E132" s="941">
        <v>0</v>
      </c>
      <c r="F132" s="911"/>
      <c r="G132" s="941">
        <v>0</v>
      </c>
      <c r="H132" s="788">
        <v>0.17</v>
      </c>
      <c r="I132" s="727"/>
      <c r="J132" s="727"/>
      <c r="K132" s="788">
        <v>0.12</v>
      </c>
      <c r="L132" s="788">
        <f>(L130-K130)/K130</f>
        <v>0.16755645293919944</v>
      </c>
      <c r="M132" s="1507"/>
      <c r="N132" s="2102"/>
      <c r="O132" s="788">
        <f>(O130-L130)/L130</f>
        <v>4.8533746621587034E-2</v>
      </c>
      <c r="P132" s="1507"/>
      <c r="Q132" s="788">
        <f>(Q130-O130)/O130</f>
        <v>7.9296806766740474E-2</v>
      </c>
      <c r="R132" s="1507"/>
      <c r="S132" s="882"/>
      <c r="T132" s="937"/>
      <c r="U132" s="937"/>
      <c r="V132" s="937"/>
      <c r="W132" s="937"/>
      <c r="X132" s="937"/>
      <c r="Y132" s="937"/>
      <c r="Z132" s="937"/>
      <c r="AA132" s="937"/>
      <c r="AB132" s="937"/>
    </row>
    <row r="133" spans="1:28" ht="25.5" customHeight="1">
      <c r="E133" s="89"/>
      <c r="F133" s="89"/>
    </row>
    <row r="134" spans="1:28" ht="25.5" hidden="1" customHeight="1">
      <c r="E134" s="89"/>
      <c r="F134" s="89"/>
      <c r="J134" s="479" t="s">
        <v>3557</v>
      </c>
      <c r="K134" s="89">
        <v>2178.34</v>
      </c>
    </row>
    <row r="135" spans="1:28" ht="25.5" hidden="1" customHeight="1">
      <c r="E135" s="89"/>
      <c r="F135" s="89"/>
      <c r="K135" s="116">
        <f>K134-K122-K125-K127-K128</f>
        <v>9.2370555648813024E-14</v>
      </c>
    </row>
    <row r="136" spans="1:28" ht="25.5" hidden="1" customHeight="1">
      <c r="A136" s="87"/>
      <c r="B136" s="124"/>
      <c r="E136" s="123"/>
      <c r="F136" s="123"/>
      <c r="G136" s="123"/>
      <c r="H136" s="123">
        <v>1960.673</v>
      </c>
      <c r="I136" s="482"/>
      <c r="J136" s="482"/>
      <c r="K136" s="123"/>
      <c r="L136" s="123"/>
      <c r="M136" s="1698"/>
      <c r="N136" s="2138"/>
      <c r="O136" s="123"/>
      <c r="P136" s="1698"/>
      <c r="Q136" s="123"/>
      <c r="R136" s="1698"/>
      <c r="T136" s="123"/>
    </row>
    <row r="137" spans="1:28" ht="25.5" hidden="1" customHeight="1">
      <c r="A137" s="87"/>
      <c r="B137" s="87"/>
      <c r="C137" s="87"/>
      <c r="D137" s="87"/>
      <c r="E137" s="87"/>
      <c r="F137" s="87"/>
      <c r="G137" s="87"/>
      <c r="H137" s="115">
        <f>H136-H122-H125-H128</f>
        <v>0</v>
      </c>
      <c r="I137" s="477"/>
      <c r="J137" s="477"/>
      <c r="K137" s="87"/>
      <c r="L137" s="87"/>
      <c r="M137" s="1633"/>
      <c r="N137" s="87"/>
      <c r="O137" s="87"/>
      <c r="P137" s="1633"/>
      <c r="Q137" s="87"/>
      <c r="R137" s="1633"/>
      <c r="T137" s="87"/>
    </row>
    <row r="138" spans="1:28" ht="25.5" hidden="1" customHeight="1">
      <c r="A138" s="87"/>
      <c r="B138" s="87"/>
      <c r="C138" s="87"/>
      <c r="D138" s="87"/>
      <c r="E138" s="87"/>
      <c r="F138" s="87"/>
      <c r="G138" s="87"/>
      <c r="H138" s="87"/>
      <c r="I138" s="409"/>
      <c r="J138" s="409"/>
      <c r="K138" s="87"/>
      <c r="L138" s="87"/>
      <c r="M138" s="1633"/>
      <c r="N138" s="87"/>
      <c r="O138" s="87"/>
      <c r="P138" s="1633"/>
      <c r="Q138" s="87"/>
      <c r="R138" s="1633"/>
      <c r="T138" s="87"/>
    </row>
    <row r="139" spans="1:28" ht="25.5" hidden="1" customHeight="1">
      <c r="A139" s="87"/>
      <c r="B139" s="87"/>
      <c r="C139" s="87"/>
      <c r="D139" s="87"/>
      <c r="E139" s="87"/>
      <c r="F139" s="87"/>
      <c r="G139" s="87"/>
      <c r="H139" s="87"/>
      <c r="I139" s="409"/>
      <c r="J139" s="409"/>
      <c r="K139" s="87"/>
      <c r="L139" s="87"/>
      <c r="M139" s="1633"/>
      <c r="N139" s="87"/>
      <c r="O139" s="87"/>
      <c r="P139" s="1633"/>
      <c r="Q139" s="87"/>
      <c r="R139" s="1633"/>
      <c r="T139" s="87"/>
    </row>
    <row r="140" spans="1:28" ht="25.5" hidden="1" customHeight="1">
      <c r="A140" s="87"/>
      <c r="B140" s="87"/>
      <c r="C140" s="87"/>
      <c r="D140" s="87"/>
      <c r="E140" s="87"/>
      <c r="F140" s="87"/>
      <c r="G140" s="87"/>
      <c r="H140" s="87"/>
      <c r="I140" s="409"/>
      <c r="J140" s="409"/>
      <c r="K140" s="800">
        <v>2203.616</v>
      </c>
      <c r="L140" s="800">
        <v>2130.1559999999999</v>
      </c>
      <c r="M140" s="1699">
        <v>2130.1559999999999</v>
      </c>
      <c r="N140" s="800"/>
      <c r="O140" s="800">
        <v>2194.3359999999998</v>
      </c>
      <c r="P140" s="1699">
        <v>2194.3359999999998</v>
      </c>
      <c r="Q140" s="800">
        <v>2194.3359999999998</v>
      </c>
      <c r="R140" s="1699">
        <v>2194.3359999999998</v>
      </c>
      <c r="T140" s="87"/>
    </row>
    <row r="141" spans="1:28" ht="25.5" hidden="1" customHeight="1">
      <c r="A141" s="87"/>
      <c r="B141" s="87"/>
      <c r="C141" s="87"/>
      <c r="D141" s="87"/>
      <c r="E141" s="87"/>
      <c r="F141" s="87"/>
      <c r="G141" s="87"/>
      <c r="H141" s="87"/>
      <c r="I141" s="409"/>
      <c r="J141" s="409"/>
      <c r="K141" s="801">
        <f t="shared" ref="K141:R141" si="145">K130-K140</f>
        <v>34</v>
      </c>
      <c r="L141" s="801">
        <f t="shared" si="145"/>
        <v>482.38699999999972</v>
      </c>
      <c r="M141" s="1700">
        <f t="shared" si="145"/>
        <v>684.13899999999921</v>
      </c>
      <c r="N141" s="801"/>
      <c r="O141" s="801">
        <f t="shared" si="145"/>
        <v>545.00350000000071</v>
      </c>
      <c r="P141" s="1700">
        <f t="shared" si="145"/>
        <v>565.39900000000034</v>
      </c>
      <c r="Q141" s="801">
        <f t="shared" si="145"/>
        <v>762.22437500000024</v>
      </c>
      <c r="R141" s="1700">
        <f t="shared" si="145"/>
        <v>637.56799999999976</v>
      </c>
      <c r="T141" s="87"/>
    </row>
    <row r="142" spans="1:28" ht="25.5" hidden="1" customHeight="1">
      <c r="A142" s="87"/>
      <c r="B142" s="87"/>
      <c r="C142" s="87"/>
      <c r="D142" s="87"/>
      <c r="E142" s="87"/>
      <c r="F142" s="87"/>
      <c r="G142" s="87"/>
      <c r="H142" s="87"/>
      <c r="I142" s="409"/>
      <c r="J142" s="409"/>
      <c r="K142" s="87"/>
      <c r="L142" s="87"/>
      <c r="M142" s="1633"/>
      <c r="N142" s="87"/>
      <c r="O142" s="87"/>
      <c r="P142" s="1633"/>
      <c r="Q142" s="87"/>
      <c r="R142" s="1633"/>
      <c r="T142" s="87"/>
    </row>
    <row r="143" spans="1:28" ht="25.5" hidden="1" customHeight="1">
      <c r="A143" s="87"/>
      <c r="B143" s="87"/>
      <c r="C143" s="87"/>
      <c r="D143" s="87"/>
      <c r="E143" s="87"/>
      <c r="F143" s="87"/>
      <c r="G143" s="87"/>
      <c r="H143" s="87"/>
      <c r="I143" s="409"/>
      <c r="J143" s="409"/>
      <c r="K143" s="87"/>
      <c r="L143" s="115"/>
      <c r="M143" s="1695"/>
      <c r="N143" s="115"/>
      <c r="O143" s="115"/>
      <c r="P143" s="1695"/>
      <c r="Q143" s="115"/>
      <c r="R143" s="1695"/>
      <c r="T143" s="87"/>
    </row>
    <row r="144" spans="1:28" ht="25.5" hidden="1" customHeight="1">
      <c r="A144" s="87"/>
      <c r="B144" s="87"/>
      <c r="C144" s="87"/>
      <c r="D144" s="87"/>
      <c r="E144" s="87"/>
      <c r="F144" s="87"/>
      <c r="G144" s="87"/>
      <c r="H144" s="87"/>
      <c r="I144" s="409"/>
      <c r="J144" s="409"/>
      <c r="K144" s="87"/>
      <c r="L144" s="116"/>
      <c r="M144" s="669"/>
      <c r="N144" s="710"/>
      <c r="O144" s="1923" t="s">
        <v>4157</v>
      </c>
      <c r="P144" s="1923" t="s">
        <v>4159</v>
      </c>
      <c r="Q144" s="1923" t="s">
        <v>4158</v>
      </c>
      <c r="R144" s="278"/>
      <c r="T144" s="87"/>
    </row>
    <row r="145" spans="1:20" ht="25.5" hidden="1" customHeight="1">
      <c r="A145" s="87"/>
      <c r="B145" s="87"/>
      <c r="C145" s="87"/>
      <c r="D145" s="87"/>
      <c r="E145" s="87"/>
      <c r="F145" s="87"/>
      <c r="G145" s="87"/>
      <c r="H145" s="87"/>
      <c r="I145" s="409"/>
      <c r="J145" s="409"/>
      <c r="K145" s="87"/>
      <c r="L145" s="115"/>
      <c r="M145" s="2748" t="s">
        <v>4160</v>
      </c>
      <c r="N145" s="710" t="s">
        <v>4156</v>
      </c>
      <c r="O145" s="1935">
        <f>SUM(K17,)</f>
        <v>1654.5900000000001</v>
      </c>
      <c r="P145" s="2035">
        <f t="shared" ref="P145:Q145" si="146">SUM(L17,)</f>
        <v>1912.3500000000001</v>
      </c>
      <c r="Q145" s="1935">
        <f t="shared" si="146"/>
        <v>1979.623</v>
      </c>
      <c r="R145" s="1941">
        <f>(P145-O145)/O145</f>
        <v>0.1557848167824053</v>
      </c>
      <c r="T145" s="87"/>
    </row>
    <row r="146" spans="1:20" ht="25.5" hidden="1" customHeight="1">
      <c r="A146" s="87"/>
      <c r="B146" s="87"/>
      <c r="C146" s="87"/>
      <c r="D146" s="87"/>
      <c r="E146" s="87"/>
      <c r="F146" s="87"/>
      <c r="G146" s="87"/>
      <c r="H146" s="87"/>
      <c r="I146" s="409"/>
      <c r="J146" s="409"/>
      <c r="K146" s="87"/>
      <c r="L146" s="115"/>
      <c r="M146" s="2748"/>
      <c r="N146" s="710" t="s">
        <v>3508</v>
      </c>
      <c r="O146" s="1924">
        <f>SUM(K37,K42,K50,K55,K59,K64,K68,K73,K77,K91,K95,K101,K107,K115)</f>
        <v>474.84999999999997</v>
      </c>
      <c r="P146" s="1924">
        <f t="shared" ref="P146:Q146" si="147">SUM(L37,L42,L50,L55,L59,L64,L68,L73,L77,L91,L95,L101,L107,L115)</f>
        <v>586.85</v>
      </c>
      <c r="Q146" s="1924">
        <f t="shared" si="147"/>
        <v>717.22200000000009</v>
      </c>
      <c r="R146" s="1941">
        <f>(P146-O146)/O146</f>
        <v>0.2358639570390651</v>
      </c>
      <c r="T146" s="87"/>
    </row>
    <row r="147" spans="1:20" ht="25.5" hidden="1" customHeight="1">
      <c r="A147" s="87"/>
      <c r="B147" s="87"/>
      <c r="C147" s="87"/>
      <c r="D147" s="87"/>
      <c r="E147" s="87"/>
      <c r="F147" s="87"/>
      <c r="G147" s="87"/>
      <c r="H147" s="87"/>
      <c r="I147" s="409"/>
      <c r="J147" s="409"/>
      <c r="K147" s="87"/>
      <c r="L147" s="87"/>
      <c r="M147" s="2748"/>
      <c r="N147" s="710" t="s">
        <v>4155</v>
      </c>
      <c r="O147" s="1935"/>
      <c r="P147" s="1935"/>
      <c r="Q147" s="1935"/>
      <c r="R147" s="1941" t="e">
        <f t="shared" ref="R147:R148" si="148">(P147-O147)/O147</f>
        <v>#DIV/0!</v>
      </c>
      <c r="T147" s="87"/>
    </row>
    <row r="148" spans="1:20" ht="25.5" hidden="1" customHeight="1">
      <c r="A148" s="87"/>
      <c r="B148" s="87"/>
      <c r="C148" s="87"/>
      <c r="D148" s="87"/>
      <c r="E148" s="87"/>
      <c r="F148" s="87"/>
      <c r="G148" s="87"/>
      <c r="H148" s="87"/>
      <c r="I148" s="409"/>
      <c r="J148" s="409"/>
      <c r="K148" s="87"/>
      <c r="L148" s="87"/>
      <c r="M148" s="278"/>
      <c r="N148" s="278"/>
      <c r="O148" s="1694">
        <f>SUM(O145,O146)</f>
        <v>2129.44</v>
      </c>
      <c r="P148" s="1694">
        <f>SUM(P145,P146)</f>
        <v>2499.2000000000003</v>
      </c>
      <c r="Q148" s="1694">
        <f t="shared" ref="Q148" si="149">SUM(Q145,Q146)</f>
        <v>2696.8450000000003</v>
      </c>
      <c r="R148" s="1941">
        <f t="shared" si="148"/>
        <v>0.1736418964610415</v>
      </c>
      <c r="T148" s="87"/>
    </row>
    <row r="149" spans="1:20" ht="25.5" hidden="1" customHeight="1">
      <c r="A149" s="87"/>
      <c r="B149" s="87"/>
      <c r="C149" s="87"/>
      <c r="D149" s="87"/>
      <c r="E149" s="87"/>
      <c r="F149" s="87"/>
      <c r="G149" s="87"/>
      <c r="H149" s="87"/>
      <c r="I149" s="409"/>
      <c r="J149" s="409"/>
      <c r="K149" s="87"/>
      <c r="L149" s="87"/>
      <c r="M149" s="278"/>
      <c r="N149" s="329"/>
      <c r="O149" s="1694">
        <f>K122-O148</f>
        <v>0</v>
      </c>
      <c r="P149" s="1694">
        <f t="shared" ref="P149:Q149" si="150">L122-P148</f>
        <v>0</v>
      </c>
      <c r="Q149" s="1694">
        <f t="shared" si="150"/>
        <v>0</v>
      </c>
      <c r="R149" s="278"/>
      <c r="T149" s="87"/>
    </row>
    <row r="150" spans="1:20" ht="25.5" hidden="1" customHeight="1">
      <c r="A150" s="87"/>
      <c r="B150" s="87"/>
      <c r="C150" s="87"/>
      <c r="D150" s="87"/>
      <c r="E150" s="87"/>
      <c r="F150" s="87"/>
      <c r="G150" s="87"/>
      <c r="H150" s="87"/>
      <c r="I150" s="409"/>
      <c r="J150" s="409"/>
      <c r="K150" s="87"/>
      <c r="L150" s="87"/>
      <c r="M150" s="278"/>
      <c r="N150" s="278"/>
      <c r="O150" s="1525"/>
      <c r="P150" s="329"/>
      <c r="Q150" s="1694"/>
      <c r="R150" s="278"/>
      <c r="T150" s="87"/>
    </row>
    <row r="151" spans="1:20" ht="89.4" hidden="1" customHeight="1">
      <c r="A151" s="87"/>
      <c r="B151" s="87"/>
      <c r="C151" s="87"/>
      <c r="D151" s="87"/>
      <c r="E151" s="87"/>
      <c r="F151" s="87"/>
      <c r="G151" s="87"/>
      <c r="H151" s="87"/>
      <c r="I151" s="409"/>
      <c r="J151" s="409"/>
      <c r="K151" s="1921" t="s">
        <v>4171</v>
      </c>
      <c r="L151" s="1940">
        <f>SUM(P146-O146)</f>
        <v>112.00000000000006</v>
      </c>
      <c r="M151" s="1633"/>
      <c r="N151" s="87"/>
      <c r="O151" s="115">
        <f>SUM(O37,O42,O50,O55,O59,O64,O68,O73,O77,O91,O95,O101,O107,O115)</f>
        <v>615.03000000000009</v>
      </c>
      <c r="P151" s="1695">
        <f>SUM(Q37,Q42,Q50,Q55,Q59,Q64,Q68,Q73,Q77,Q91,Q95,Q101,Q107,Q115)</f>
        <v>727.9325</v>
      </c>
      <c r="Q151" s="87"/>
      <c r="R151" s="1633"/>
      <c r="T151" s="87"/>
    </row>
    <row r="152" spans="1:20" ht="25.5" hidden="1" customHeight="1">
      <c r="A152" s="87"/>
      <c r="B152" s="87"/>
      <c r="C152" s="87"/>
      <c r="D152" s="87"/>
      <c r="E152" s="87"/>
      <c r="F152" s="87"/>
      <c r="G152" s="87"/>
      <c r="H152" s="87"/>
      <c r="I152" s="409"/>
      <c r="J152" s="409"/>
      <c r="K152" s="87"/>
      <c r="L152" s="87"/>
      <c r="M152" s="1633"/>
      <c r="N152" s="87"/>
      <c r="O152" s="87"/>
      <c r="P152" s="1633"/>
      <c r="Q152" s="87"/>
      <c r="R152" s="1633"/>
      <c r="T152" s="87"/>
    </row>
    <row r="153" spans="1:20" ht="25.5" hidden="1" customHeight="1">
      <c r="A153" s="87"/>
      <c r="B153" s="87"/>
      <c r="C153" s="87"/>
      <c r="D153" s="87"/>
      <c r="E153" s="87"/>
      <c r="F153" s="87"/>
      <c r="G153" s="87"/>
      <c r="H153" s="87"/>
      <c r="I153" s="409"/>
      <c r="J153" s="409"/>
      <c r="K153" s="87"/>
      <c r="L153" s="87"/>
      <c r="M153" s="1633"/>
      <c r="N153" s="87"/>
      <c r="O153" s="87"/>
      <c r="P153" s="1633"/>
      <c r="Q153" s="87"/>
      <c r="R153" s="1633"/>
      <c r="T153" s="87"/>
    </row>
    <row r="154" spans="1:20" ht="25.5" hidden="1" customHeight="1">
      <c r="A154" s="87"/>
      <c r="B154" s="87"/>
      <c r="C154" s="87"/>
      <c r="D154" s="87"/>
      <c r="E154" s="87"/>
      <c r="F154" s="87"/>
      <c r="G154" s="87"/>
      <c r="H154" s="87"/>
      <c r="I154" s="409"/>
      <c r="J154" s="409"/>
      <c r="K154" s="87"/>
      <c r="L154" s="115">
        <f>SUM(L16,L41,L63,L90,L100,)</f>
        <v>2612.5430000000001</v>
      </c>
      <c r="M154" s="115">
        <f t="shared" ref="M154:Q154" si="151">SUM(M16,M41,M63,M90,M100,)</f>
        <v>2814.2950000000001</v>
      </c>
      <c r="N154" s="115">
        <f t="shared" si="151"/>
        <v>11.850353999570016</v>
      </c>
      <c r="O154" s="115">
        <f t="shared" si="151"/>
        <v>2739.3395000000005</v>
      </c>
      <c r="P154" s="115">
        <f t="shared" si="151"/>
        <v>2757.7350000000001</v>
      </c>
      <c r="Q154" s="115">
        <f t="shared" si="151"/>
        <v>2956.5603750000009</v>
      </c>
      <c r="R154" s="1633"/>
      <c r="T154" s="87"/>
    </row>
    <row r="155" spans="1:20" ht="25.5" hidden="1" customHeight="1">
      <c r="A155" s="87"/>
      <c r="B155" s="87"/>
      <c r="C155" s="87"/>
      <c r="D155" s="87"/>
      <c r="E155" s="87"/>
      <c r="F155" s="87"/>
      <c r="G155" s="87"/>
      <c r="H155" s="87"/>
      <c r="I155" s="409"/>
      <c r="J155" s="409"/>
      <c r="K155" s="87"/>
      <c r="L155" s="115">
        <f>L154-L130</f>
        <v>0</v>
      </c>
      <c r="M155" s="115">
        <f t="shared" ref="M155:Q155" si="152">M154-M130</f>
        <v>0</v>
      </c>
      <c r="N155" s="115">
        <f t="shared" si="152"/>
        <v>11.682797546630816</v>
      </c>
      <c r="O155" s="115">
        <f t="shared" si="152"/>
        <v>0</v>
      </c>
      <c r="P155" s="115">
        <f t="shared" si="152"/>
        <v>-2</v>
      </c>
      <c r="Q155" s="115">
        <f t="shared" si="152"/>
        <v>0</v>
      </c>
      <c r="R155" s="1633"/>
      <c r="T155" s="87"/>
    </row>
    <row r="156" spans="1:20" ht="25.5" hidden="1" customHeight="1">
      <c r="A156" s="87"/>
      <c r="B156" s="87"/>
      <c r="C156" s="87"/>
      <c r="D156" s="87"/>
      <c r="E156" s="87"/>
      <c r="F156" s="87"/>
      <c r="G156" s="87"/>
      <c r="H156" s="87"/>
      <c r="I156" s="409"/>
      <c r="J156" s="409"/>
      <c r="K156" s="87"/>
      <c r="L156" s="87"/>
      <c r="M156" s="1633"/>
      <c r="N156" s="87"/>
      <c r="O156" s="87"/>
      <c r="P156" s="1633"/>
      <c r="Q156" s="87"/>
      <c r="R156" s="1633"/>
      <c r="T156" s="87"/>
    </row>
    <row r="157" spans="1:20" ht="25.5" customHeight="1">
      <c r="A157" s="87"/>
      <c r="B157" s="87"/>
      <c r="C157" s="87"/>
      <c r="D157" s="87"/>
      <c r="E157" s="87"/>
      <c r="F157" s="87"/>
      <c r="G157" s="87"/>
      <c r="H157" s="87"/>
      <c r="I157" s="409"/>
      <c r="J157" s="409"/>
      <c r="K157" s="87"/>
      <c r="L157" s="87"/>
      <c r="M157" s="1633"/>
      <c r="N157" s="87"/>
      <c r="O157" s="87"/>
      <c r="P157" s="1633"/>
      <c r="Q157" s="87"/>
      <c r="R157" s="1633"/>
      <c r="T157" s="87"/>
    </row>
    <row r="158" spans="1:20" ht="25.5" customHeight="1">
      <c r="A158" s="87"/>
      <c r="B158" s="87"/>
      <c r="C158" s="87"/>
      <c r="D158" s="87"/>
      <c r="E158" s="87"/>
      <c r="F158" s="87"/>
      <c r="G158" s="87"/>
      <c r="H158" s="87"/>
      <c r="I158" s="409"/>
      <c r="J158" s="409"/>
      <c r="K158" s="87"/>
      <c r="L158" s="87"/>
      <c r="M158" s="1633"/>
      <c r="N158" s="87"/>
      <c r="O158" s="87"/>
      <c r="P158" s="1633"/>
      <c r="Q158" s="87"/>
      <c r="R158" s="1633"/>
      <c r="T158" s="87"/>
    </row>
    <row r="159" spans="1:20" ht="25.5" customHeight="1">
      <c r="A159" s="87"/>
      <c r="B159" s="87"/>
      <c r="C159" s="87"/>
      <c r="D159" s="87"/>
      <c r="E159" s="87"/>
      <c r="F159" s="87"/>
      <c r="G159" s="87"/>
      <c r="H159" s="87"/>
      <c r="I159" s="409"/>
      <c r="J159" s="409"/>
      <c r="K159" s="87"/>
      <c r="L159" s="87"/>
      <c r="M159" s="1633"/>
      <c r="N159" s="87"/>
      <c r="O159" s="87"/>
      <c r="P159" s="1633"/>
      <c r="Q159" s="87"/>
      <c r="R159" s="1633"/>
      <c r="T159" s="87"/>
    </row>
    <row r="160" spans="1:20" ht="25.5" customHeight="1">
      <c r="A160" s="87"/>
      <c r="B160" s="87"/>
      <c r="C160" s="87"/>
      <c r="D160" s="87"/>
      <c r="E160" s="87"/>
      <c r="F160" s="87"/>
      <c r="G160" s="87"/>
      <c r="H160" s="87"/>
      <c r="I160" s="409"/>
      <c r="J160" s="409"/>
      <c r="K160" s="87"/>
      <c r="L160" s="87"/>
      <c r="M160" s="1633"/>
      <c r="N160" s="87"/>
      <c r="O160" s="87"/>
      <c r="P160" s="1633"/>
      <c r="Q160" s="87"/>
      <c r="R160" s="1633"/>
      <c r="T160" s="87"/>
    </row>
    <row r="161" spans="1:20" ht="25.5" customHeight="1">
      <c r="A161" s="87"/>
      <c r="B161" s="87"/>
      <c r="C161" s="87"/>
      <c r="D161" s="87"/>
      <c r="E161" s="87"/>
      <c r="F161" s="87"/>
      <c r="G161" s="87"/>
      <c r="H161" s="87"/>
      <c r="I161" s="409"/>
      <c r="J161" s="409"/>
      <c r="K161" s="87"/>
      <c r="L161" s="87"/>
      <c r="M161" s="1633"/>
      <c r="N161" s="87"/>
      <c r="O161" s="87"/>
      <c r="P161" s="1633"/>
      <c r="Q161" s="87"/>
      <c r="R161" s="1633"/>
      <c r="T161" s="87"/>
    </row>
    <row r="162" spans="1:20" ht="25.5" customHeight="1">
      <c r="A162" s="87"/>
      <c r="B162" s="87"/>
      <c r="C162" s="87"/>
      <c r="D162" s="87"/>
      <c r="E162" s="87"/>
      <c r="F162" s="87"/>
      <c r="G162" s="87"/>
      <c r="H162" s="87"/>
      <c r="I162" s="409"/>
      <c r="J162" s="409"/>
      <c r="K162" s="87"/>
      <c r="L162" s="87"/>
      <c r="M162" s="1633"/>
      <c r="N162" s="87"/>
      <c r="O162" s="87"/>
      <c r="P162" s="1633"/>
      <c r="Q162" s="87"/>
      <c r="R162" s="1633"/>
      <c r="T162" s="87"/>
    </row>
    <row r="163" spans="1:20" ht="25.5" customHeight="1">
      <c r="A163" s="87"/>
      <c r="B163" s="87"/>
      <c r="C163" s="87"/>
      <c r="D163" s="87"/>
      <c r="E163" s="87"/>
      <c r="F163" s="87"/>
      <c r="G163" s="87"/>
      <c r="H163" s="87"/>
      <c r="I163" s="409"/>
      <c r="J163" s="409"/>
      <c r="K163" s="87"/>
      <c r="L163" s="87"/>
      <c r="M163" s="1633"/>
      <c r="N163" s="87"/>
      <c r="O163" s="87"/>
      <c r="P163" s="1633"/>
      <c r="Q163" s="87"/>
      <c r="R163" s="1633"/>
      <c r="T163" s="87"/>
    </row>
    <row r="164" spans="1:20" ht="25.5" customHeight="1">
      <c r="A164" s="87"/>
      <c r="B164" s="87"/>
      <c r="C164" s="87"/>
      <c r="D164" s="87"/>
      <c r="E164" s="87"/>
      <c r="F164" s="87"/>
      <c r="G164" s="87"/>
      <c r="H164" s="87"/>
      <c r="I164" s="409"/>
      <c r="J164" s="409"/>
      <c r="K164" s="87"/>
      <c r="L164" s="87"/>
      <c r="M164" s="1633"/>
      <c r="N164" s="87"/>
      <c r="O164" s="87"/>
      <c r="P164" s="1633"/>
      <c r="Q164" s="87"/>
      <c r="R164" s="1633"/>
      <c r="T164" s="87"/>
    </row>
    <row r="165" spans="1:20" ht="25.5" customHeight="1">
      <c r="A165" s="87"/>
      <c r="B165" s="87"/>
      <c r="C165" s="87"/>
      <c r="D165" s="87"/>
      <c r="E165" s="87"/>
      <c r="F165" s="87"/>
      <c r="G165" s="87"/>
      <c r="H165" s="87"/>
      <c r="I165" s="409"/>
      <c r="J165" s="409"/>
      <c r="K165" s="87"/>
      <c r="L165" s="87"/>
      <c r="M165" s="1633"/>
      <c r="N165" s="87"/>
      <c r="O165" s="87"/>
      <c r="P165" s="1633"/>
      <c r="Q165" s="87"/>
      <c r="R165" s="1633"/>
      <c r="T165" s="87"/>
    </row>
    <row r="166" spans="1:20" ht="25.5" customHeight="1">
      <c r="A166" s="87"/>
      <c r="B166" s="87"/>
      <c r="C166" s="87"/>
      <c r="D166" s="87"/>
      <c r="E166" s="87"/>
      <c r="F166" s="87"/>
      <c r="G166" s="87"/>
      <c r="H166" s="87"/>
      <c r="I166" s="409"/>
      <c r="J166" s="409"/>
      <c r="K166" s="87"/>
      <c r="L166" s="87"/>
      <c r="M166" s="1633"/>
      <c r="N166" s="87"/>
      <c r="O166" s="87"/>
      <c r="P166" s="1633"/>
      <c r="Q166" s="87"/>
      <c r="R166" s="1633"/>
      <c r="T166" s="87"/>
    </row>
    <row r="167" spans="1:20" ht="25.5" customHeight="1">
      <c r="A167" s="87"/>
      <c r="B167" s="87"/>
      <c r="C167" s="87"/>
      <c r="D167" s="87"/>
      <c r="E167" s="87"/>
      <c r="F167" s="87"/>
      <c r="G167" s="87"/>
      <c r="H167" s="87"/>
      <c r="I167" s="409"/>
      <c r="J167" s="409"/>
      <c r="K167" s="87"/>
      <c r="L167" s="87"/>
      <c r="M167" s="1633"/>
      <c r="N167" s="87"/>
      <c r="O167" s="87"/>
      <c r="P167" s="1633"/>
      <c r="Q167" s="87"/>
      <c r="R167" s="1633"/>
      <c r="T167" s="87"/>
    </row>
    <row r="168" spans="1:20" ht="25.5" customHeight="1">
      <c r="A168" s="87"/>
      <c r="B168" s="87"/>
      <c r="C168" s="87"/>
      <c r="D168" s="87"/>
      <c r="E168" s="87"/>
      <c r="F168" s="87"/>
      <c r="G168" s="87"/>
      <c r="H168" s="87"/>
      <c r="I168" s="409"/>
      <c r="J168" s="409"/>
      <c r="K168" s="87"/>
      <c r="L168" s="87"/>
      <c r="M168" s="1633"/>
      <c r="N168" s="87"/>
      <c r="O168" s="87"/>
      <c r="P168" s="1633"/>
      <c r="Q168" s="87"/>
      <c r="R168" s="1633"/>
      <c r="T168" s="87"/>
    </row>
    <row r="169" spans="1:20" ht="25.5" customHeight="1">
      <c r="A169" s="87"/>
      <c r="B169" s="87"/>
      <c r="C169" s="87"/>
      <c r="D169" s="87"/>
      <c r="E169" s="87"/>
      <c r="F169" s="87"/>
      <c r="G169" s="87"/>
      <c r="H169" s="87"/>
      <c r="I169" s="409"/>
      <c r="J169" s="409"/>
      <c r="K169" s="87"/>
      <c r="L169" s="87"/>
      <c r="M169" s="1633"/>
      <c r="N169" s="87"/>
      <c r="O169" s="87"/>
      <c r="P169" s="1633"/>
      <c r="Q169" s="87"/>
      <c r="R169" s="1633"/>
      <c r="T169" s="87"/>
    </row>
    <row r="170" spans="1:20" ht="25.5" customHeight="1">
      <c r="A170" s="87"/>
      <c r="B170" s="87"/>
      <c r="C170" s="87"/>
      <c r="D170" s="87"/>
      <c r="E170" s="87"/>
      <c r="F170" s="87"/>
      <c r="G170" s="87"/>
      <c r="H170" s="87"/>
      <c r="I170" s="409"/>
      <c r="J170" s="409"/>
      <c r="K170" s="87"/>
      <c r="L170" s="87"/>
      <c r="M170" s="1633"/>
      <c r="N170" s="87"/>
      <c r="O170" s="87"/>
      <c r="P170" s="1633"/>
      <c r="Q170" s="87"/>
      <c r="R170" s="1633"/>
      <c r="T170" s="87"/>
    </row>
    <row r="171" spans="1:20" ht="25.5" customHeight="1">
      <c r="A171" s="87"/>
      <c r="B171" s="87"/>
      <c r="C171" s="87"/>
      <c r="D171" s="87"/>
      <c r="E171" s="87"/>
      <c r="F171" s="87"/>
      <c r="G171" s="87"/>
      <c r="H171" s="87"/>
      <c r="I171" s="409"/>
      <c r="J171" s="409"/>
      <c r="K171" s="87"/>
      <c r="L171" s="87"/>
      <c r="M171" s="1633"/>
      <c r="N171" s="87"/>
      <c r="O171" s="87"/>
      <c r="P171" s="1633"/>
      <c r="Q171" s="87"/>
      <c r="R171" s="1633"/>
      <c r="T171" s="87"/>
    </row>
    <row r="172" spans="1:20" ht="25.5" customHeight="1">
      <c r="A172" s="87"/>
      <c r="B172" s="87"/>
      <c r="C172" s="87"/>
      <c r="D172" s="87"/>
      <c r="E172" s="87"/>
      <c r="F172" s="87"/>
      <c r="G172" s="87"/>
      <c r="H172" s="87"/>
      <c r="I172" s="409"/>
      <c r="J172" s="409"/>
      <c r="K172" s="87"/>
      <c r="L172" s="87"/>
      <c r="M172" s="1633"/>
      <c r="N172" s="87"/>
      <c r="O172" s="87"/>
      <c r="P172" s="1633"/>
      <c r="Q172" s="87"/>
      <c r="R172" s="1633"/>
      <c r="T172" s="87"/>
    </row>
    <row r="173" spans="1:20" ht="25.5" customHeight="1">
      <c r="A173" s="87"/>
      <c r="B173" s="87"/>
      <c r="C173" s="87"/>
      <c r="D173" s="87"/>
      <c r="E173" s="87"/>
      <c r="F173" s="87"/>
      <c r="G173" s="87"/>
      <c r="H173" s="87"/>
      <c r="I173" s="409"/>
      <c r="J173" s="409"/>
      <c r="K173" s="87"/>
      <c r="L173" s="87"/>
      <c r="M173" s="1633"/>
      <c r="N173" s="87"/>
      <c r="O173" s="87"/>
      <c r="P173" s="1633"/>
      <c r="Q173" s="87"/>
      <c r="R173" s="1633"/>
      <c r="T173" s="87"/>
    </row>
    <row r="174" spans="1:20" ht="25.5" customHeight="1">
      <c r="A174" s="87"/>
      <c r="B174" s="87"/>
      <c r="C174" s="87"/>
      <c r="D174" s="87"/>
      <c r="E174" s="87"/>
      <c r="F174" s="87"/>
      <c r="G174" s="87"/>
      <c r="H174" s="87"/>
      <c r="I174" s="409"/>
      <c r="J174" s="409"/>
      <c r="K174" s="87"/>
      <c r="L174" s="87"/>
      <c r="M174" s="1633"/>
      <c r="N174" s="87"/>
      <c r="O174" s="87"/>
      <c r="P174" s="1633"/>
      <c r="Q174" s="87"/>
      <c r="R174" s="1633"/>
      <c r="T174" s="87"/>
    </row>
    <row r="175" spans="1:20" ht="25.5" customHeight="1">
      <c r="A175" s="87"/>
      <c r="B175" s="87"/>
      <c r="C175" s="87"/>
      <c r="D175" s="87"/>
      <c r="E175" s="87"/>
      <c r="F175" s="87"/>
      <c r="G175" s="87"/>
      <c r="H175" s="87"/>
      <c r="I175" s="409"/>
      <c r="J175" s="409"/>
      <c r="K175" s="87"/>
      <c r="L175" s="87"/>
      <c r="M175" s="1633"/>
      <c r="N175" s="87"/>
      <c r="O175" s="87"/>
      <c r="P175" s="1633"/>
      <c r="Q175" s="87"/>
      <c r="R175" s="1633"/>
      <c r="T175" s="87"/>
    </row>
    <row r="176" spans="1:20" ht="25.5" customHeight="1">
      <c r="A176" s="87"/>
      <c r="B176" s="87"/>
      <c r="C176" s="87"/>
      <c r="D176" s="87"/>
      <c r="E176" s="87"/>
      <c r="F176" s="87"/>
      <c r="G176" s="87"/>
      <c r="H176" s="87"/>
      <c r="I176" s="409"/>
      <c r="J176" s="409"/>
      <c r="K176" s="87"/>
      <c r="L176" s="87"/>
      <c r="M176" s="1633"/>
      <c r="N176" s="87"/>
      <c r="O176" s="87"/>
      <c r="P176" s="1633"/>
      <c r="Q176" s="87"/>
      <c r="R176" s="1633"/>
      <c r="T176" s="87"/>
    </row>
    <row r="177" spans="1:20" ht="25.5" customHeight="1">
      <c r="A177" s="87"/>
      <c r="B177" s="87"/>
      <c r="C177" s="87"/>
      <c r="D177" s="87"/>
      <c r="E177" s="87"/>
      <c r="F177" s="87"/>
      <c r="G177" s="87"/>
      <c r="H177" s="87"/>
      <c r="I177" s="409"/>
      <c r="J177" s="409"/>
      <c r="K177" s="87"/>
      <c r="L177" s="87"/>
      <c r="M177" s="1633"/>
      <c r="N177" s="87"/>
      <c r="O177" s="87"/>
      <c r="P177" s="1633"/>
      <c r="Q177" s="87"/>
      <c r="R177" s="1633"/>
      <c r="T177" s="87"/>
    </row>
    <row r="178" spans="1:20" ht="25.5" customHeight="1">
      <c r="A178" s="87"/>
      <c r="B178" s="87"/>
      <c r="C178" s="87"/>
      <c r="D178" s="87"/>
      <c r="E178" s="87"/>
      <c r="F178" s="87"/>
      <c r="G178" s="87"/>
      <c r="H178" s="87"/>
      <c r="I178" s="409"/>
      <c r="J178" s="409"/>
      <c r="K178" s="87"/>
      <c r="L178" s="87"/>
      <c r="M178" s="1633"/>
      <c r="N178" s="87"/>
      <c r="O178" s="87"/>
      <c r="P178" s="1633"/>
      <c r="Q178" s="87"/>
      <c r="R178" s="1633"/>
      <c r="T178" s="87"/>
    </row>
    <row r="179" spans="1:20" ht="25.5" customHeight="1">
      <c r="A179" s="87"/>
      <c r="B179" s="87"/>
      <c r="C179" s="87"/>
      <c r="D179" s="87"/>
      <c r="E179" s="87"/>
      <c r="F179" s="87"/>
      <c r="G179" s="87"/>
      <c r="H179" s="87"/>
      <c r="I179" s="409"/>
      <c r="J179" s="409"/>
      <c r="K179" s="87"/>
      <c r="L179" s="87"/>
      <c r="M179" s="1633"/>
      <c r="N179" s="87"/>
      <c r="O179" s="87"/>
      <c r="P179" s="1633"/>
      <c r="Q179" s="87"/>
      <c r="R179" s="1633"/>
      <c r="T179" s="87"/>
    </row>
    <row r="180" spans="1:20" ht="25.5" customHeight="1">
      <c r="A180" s="87"/>
      <c r="B180" s="87"/>
      <c r="C180" s="87"/>
      <c r="D180" s="87"/>
      <c r="E180" s="87"/>
      <c r="F180" s="87"/>
      <c r="G180" s="87"/>
      <c r="H180" s="87"/>
      <c r="I180" s="409"/>
      <c r="J180" s="409"/>
      <c r="K180" s="87"/>
      <c r="L180" s="87"/>
      <c r="M180" s="1633"/>
      <c r="N180" s="87"/>
      <c r="O180" s="87"/>
      <c r="P180" s="1633"/>
      <c r="Q180" s="87"/>
      <c r="R180" s="1633"/>
      <c r="T180" s="87"/>
    </row>
    <row r="181" spans="1:20" ht="25.5" customHeight="1">
      <c r="A181" s="87"/>
      <c r="B181" s="87"/>
      <c r="C181" s="87"/>
      <c r="D181" s="87"/>
      <c r="E181" s="87"/>
      <c r="F181" s="87"/>
      <c r="G181" s="87"/>
      <c r="H181" s="87"/>
      <c r="I181" s="409"/>
      <c r="J181" s="409"/>
      <c r="K181" s="87"/>
      <c r="L181" s="87"/>
      <c r="M181" s="1633"/>
      <c r="N181" s="87"/>
      <c r="O181" s="87"/>
      <c r="P181" s="1633"/>
      <c r="Q181" s="87"/>
      <c r="R181" s="1633"/>
      <c r="T181" s="87"/>
    </row>
    <row r="182" spans="1:20" ht="25.5" customHeight="1">
      <c r="E182" s="89"/>
      <c r="F182" s="89"/>
    </row>
    <row r="183" spans="1:20" ht="25.5" customHeight="1">
      <c r="E183" s="89"/>
      <c r="F183" s="89"/>
    </row>
    <row r="184" spans="1:20" ht="25.5" customHeight="1">
      <c r="E184" s="89"/>
      <c r="F184" s="89"/>
    </row>
    <row r="185" spans="1:20" ht="25.5" customHeight="1">
      <c r="E185" s="89"/>
      <c r="F185" s="89"/>
    </row>
    <row r="186" spans="1:20" ht="25.5" customHeight="1">
      <c r="E186" s="89"/>
      <c r="F186" s="89"/>
    </row>
    <row r="187" spans="1:20" ht="25.5" customHeight="1">
      <c r="E187" s="89"/>
      <c r="F187" s="89"/>
    </row>
    <row r="188" spans="1:20" ht="25.5" customHeight="1">
      <c r="E188" s="89"/>
      <c r="F188" s="89"/>
    </row>
    <row r="189" spans="1:20" ht="25.5" customHeight="1">
      <c r="E189" s="89"/>
      <c r="F189" s="89"/>
    </row>
    <row r="190" spans="1:20" ht="25.5" customHeight="1">
      <c r="E190" s="89"/>
      <c r="F190" s="89"/>
    </row>
    <row r="191" spans="1:20" ht="25.5" customHeight="1">
      <c r="E191" s="89"/>
      <c r="F191" s="89"/>
    </row>
    <row r="192" spans="1:20" ht="25.5" customHeight="1">
      <c r="E192" s="89"/>
      <c r="F192" s="89"/>
    </row>
    <row r="193" spans="5:6" ht="25.5" customHeight="1">
      <c r="E193" s="89"/>
      <c r="F193" s="89"/>
    </row>
    <row r="194" spans="5:6" ht="25.5" customHeight="1">
      <c r="E194" s="89"/>
      <c r="F194" s="89"/>
    </row>
    <row r="195" spans="5:6" ht="25.5" customHeight="1">
      <c r="E195" s="89"/>
      <c r="F195" s="89"/>
    </row>
    <row r="196" spans="5:6" ht="25.5" customHeight="1">
      <c r="E196" s="89"/>
      <c r="F196" s="89"/>
    </row>
    <row r="197" spans="5:6" ht="25.5" customHeight="1">
      <c r="E197" s="89"/>
      <c r="F197" s="89"/>
    </row>
    <row r="198" spans="5:6" ht="25.5" customHeight="1">
      <c r="E198" s="89"/>
      <c r="F198" s="89"/>
    </row>
    <row r="199" spans="5:6" ht="25.5" customHeight="1">
      <c r="E199" s="89"/>
      <c r="F199" s="89"/>
    </row>
    <row r="200" spans="5:6" ht="25.5" customHeight="1">
      <c r="E200" s="89"/>
      <c r="F200" s="89"/>
    </row>
    <row r="201" spans="5:6" ht="25.5" customHeight="1">
      <c r="E201" s="89"/>
      <c r="F201" s="89"/>
    </row>
    <row r="202" spans="5:6" ht="25.5" customHeight="1">
      <c r="E202" s="89"/>
      <c r="F202" s="89"/>
    </row>
    <row r="203" spans="5:6" ht="25.5" customHeight="1">
      <c r="E203" s="89"/>
      <c r="F203" s="89"/>
    </row>
    <row r="204" spans="5:6" ht="25.5" customHeight="1">
      <c r="E204" s="89"/>
      <c r="F204" s="89"/>
    </row>
    <row r="205" spans="5:6" ht="25.5" customHeight="1">
      <c r="E205" s="89"/>
      <c r="F205" s="89"/>
    </row>
    <row r="206" spans="5:6" ht="25.5" customHeight="1">
      <c r="E206" s="89"/>
      <c r="F206" s="89"/>
    </row>
    <row r="207" spans="5:6" ht="25.5" customHeight="1">
      <c r="E207" s="89"/>
      <c r="F207" s="89"/>
    </row>
    <row r="208" spans="5:6" ht="25.5" customHeight="1">
      <c r="E208" s="89"/>
      <c r="F208" s="89"/>
    </row>
    <row r="209" spans="5:6" ht="25.5" customHeight="1">
      <c r="E209" s="89"/>
      <c r="F209" s="89"/>
    </row>
    <row r="210" spans="5:6" ht="25.5" customHeight="1">
      <c r="E210" s="89"/>
      <c r="F210" s="89"/>
    </row>
    <row r="211" spans="5:6" ht="25.5" customHeight="1">
      <c r="E211" s="89"/>
      <c r="F211" s="89"/>
    </row>
    <row r="212" spans="5:6" ht="25.5" customHeight="1">
      <c r="E212" s="89"/>
      <c r="F212" s="89"/>
    </row>
    <row r="213" spans="5:6" ht="25.5" customHeight="1">
      <c r="E213" s="89"/>
      <c r="F213" s="89"/>
    </row>
    <row r="214" spans="5:6" ht="25.5" customHeight="1">
      <c r="E214" s="89"/>
      <c r="F214" s="89"/>
    </row>
    <row r="215" spans="5:6" ht="25.5" customHeight="1">
      <c r="E215" s="89"/>
      <c r="F215" s="89"/>
    </row>
    <row r="216" spans="5:6" ht="25.5" customHeight="1">
      <c r="E216" s="89"/>
      <c r="F216" s="89"/>
    </row>
    <row r="217" spans="5:6" ht="25.5" customHeight="1">
      <c r="E217" s="89"/>
      <c r="F217" s="89"/>
    </row>
    <row r="218" spans="5:6" ht="25.5" customHeight="1">
      <c r="E218" s="89"/>
      <c r="F218" s="89"/>
    </row>
    <row r="219" spans="5:6" ht="25.5" customHeight="1">
      <c r="E219" s="89"/>
      <c r="F219" s="89"/>
    </row>
    <row r="220" spans="5:6" ht="25.5" customHeight="1">
      <c r="E220" s="89"/>
      <c r="F220" s="89"/>
    </row>
    <row r="221" spans="5:6" ht="25.5" customHeight="1">
      <c r="E221" s="89"/>
      <c r="F221" s="89"/>
    </row>
    <row r="222" spans="5:6" ht="25.5" customHeight="1">
      <c r="E222" s="89"/>
      <c r="F222" s="89"/>
    </row>
    <row r="223" spans="5:6" ht="25.5" customHeight="1">
      <c r="E223" s="89"/>
      <c r="F223" s="89"/>
    </row>
    <row r="224" spans="5:6" ht="25.5" customHeight="1">
      <c r="E224" s="89"/>
      <c r="F224" s="89"/>
    </row>
    <row r="225" spans="5:6" ht="25.5" customHeight="1">
      <c r="E225" s="89"/>
      <c r="F225" s="89"/>
    </row>
    <row r="226" spans="5:6" ht="25.5" customHeight="1">
      <c r="E226" s="89"/>
      <c r="F226" s="89"/>
    </row>
    <row r="227" spans="5:6" ht="25.5" customHeight="1">
      <c r="E227" s="89"/>
      <c r="F227" s="89"/>
    </row>
    <row r="228" spans="5:6" ht="25.5" customHeight="1">
      <c r="E228" s="89"/>
      <c r="F228" s="89"/>
    </row>
    <row r="229" spans="5:6" ht="25.5" customHeight="1">
      <c r="E229" s="89"/>
      <c r="F229" s="89"/>
    </row>
    <row r="230" spans="5:6" ht="25.5" customHeight="1">
      <c r="E230" s="89"/>
      <c r="F230" s="89"/>
    </row>
    <row r="231" spans="5:6" ht="25.5" customHeight="1">
      <c r="E231" s="89"/>
      <c r="F231" s="89"/>
    </row>
    <row r="232" spans="5:6" ht="25.5" customHeight="1">
      <c r="E232" s="89"/>
      <c r="F232" s="89"/>
    </row>
    <row r="233" spans="5:6" ht="25.5" customHeight="1">
      <c r="E233" s="89"/>
      <c r="F233" s="89"/>
    </row>
    <row r="234" spans="5:6" ht="25.5" customHeight="1">
      <c r="E234" s="89"/>
      <c r="F234" s="89"/>
    </row>
    <row r="235" spans="5:6" ht="25.5" customHeight="1">
      <c r="E235" s="89"/>
      <c r="F235" s="89"/>
    </row>
    <row r="236" spans="5:6" ht="25.5" customHeight="1">
      <c r="E236" s="89"/>
      <c r="F236" s="89"/>
    </row>
    <row r="237" spans="5:6" ht="25.5" customHeight="1">
      <c r="E237" s="89"/>
      <c r="F237" s="89"/>
    </row>
    <row r="238" spans="5:6" ht="25.5" customHeight="1">
      <c r="E238" s="89"/>
      <c r="F238" s="89"/>
    </row>
    <row r="239" spans="5:6" ht="25.5" customHeight="1">
      <c r="E239" s="89"/>
      <c r="F239" s="89"/>
    </row>
    <row r="240" spans="5:6" ht="25.5" customHeight="1">
      <c r="E240" s="89"/>
      <c r="F240" s="89"/>
    </row>
    <row r="241" spans="5:6" ht="25.5" customHeight="1">
      <c r="E241" s="89"/>
      <c r="F241" s="89"/>
    </row>
    <row r="242" spans="5:6" ht="25.5" customHeight="1">
      <c r="E242" s="89"/>
      <c r="F242" s="89"/>
    </row>
    <row r="243" spans="5:6" ht="25.5" customHeight="1">
      <c r="E243" s="89"/>
      <c r="F243" s="89"/>
    </row>
    <row r="244" spans="5:6" ht="25.5" customHeight="1">
      <c r="E244" s="89"/>
      <c r="F244" s="89"/>
    </row>
    <row r="245" spans="5:6" ht="25.5" customHeight="1">
      <c r="E245" s="89"/>
      <c r="F245" s="89"/>
    </row>
    <row r="246" spans="5:6" ht="25.5" customHeight="1">
      <c r="E246" s="89"/>
      <c r="F246" s="89"/>
    </row>
    <row r="247" spans="5:6" ht="25.5" customHeight="1">
      <c r="E247" s="89"/>
      <c r="F247" s="89"/>
    </row>
    <row r="248" spans="5:6" ht="25.5" customHeight="1">
      <c r="E248" s="89"/>
      <c r="F248" s="89"/>
    </row>
    <row r="249" spans="5:6" ht="25.5" customHeight="1">
      <c r="E249" s="89"/>
      <c r="F249" s="89"/>
    </row>
    <row r="250" spans="5:6" ht="25.5" customHeight="1">
      <c r="E250" s="89"/>
      <c r="F250" s="89"/>
    </row>
    <row r="251" spans="5:6" ht="25.5" customHeight="1">
      <c r="E251" s="89"/>
      <c r="F251" s="89"/>
    </row>
    <row r="252" spans="5:6" ht="25.5" customHeight="1">
      <c r="E252" s="89"/>
      <c r="F252" s="89"/>
    </row>
    <row r="253" spans="5:6" ht="25.5" customHeight="1">
      <c r="E253" s="89"/>
      <c r="F253" s="89"/>
    </row>
    <row r="254" spans="5:6" ht="25.5" customHeight="1">
      <c r="E254" s="89"/>
      <c r="F254" s="89"/>
    </row>
    <row r="255" spans="5:6" ht="25.5" customHeight="1">
      <c r="E255" s="89"/>
      <c r="F255" s="89"/>
    </row>
    <row r="256" spans="5:6" ht="25.5" customHeight="1">
      <c r="E256" s="89"/>
      <c r="F256" s="89"/>
    </row>
    <row r="257" spans="5:6" ht="25.5" customHeight="1">
      <c r="E257" s="89"/>
      <c r="F257" s="89"/>
    </row>
    <row r="258" spans="5:6" ht="25.5" customHeight="1">
      <c r="E258" s="89"/>
      <c r="F258" s="89"/>
    </row>
    <row r="259" spans="5:6" ht="25.5" customHeight="1">
      <c r="E259" s="89"/>
      <c r="F259" s="89"/>
    </row>
    <row r="260" spans="5:6" ht="25.5" customHeight="1">
      <c r="E260" s="89"/>
      <c r="F260" s="89"/>
    </row>
    <row r="261" spans="5:6" ht="25.5" customHeight="1">
      <c r="E261" s="89"/>
      <c r="F261" s="89"/>
    </row>
    <row r="262" spans="5:6" ht="25.5" customHeight="1">
      <c r="E262" s="89"/>
      <c r="F262" s="89"/>
    </row>
    <row r="263" spans="5:6" ht="25.5" customHeight="1">
      <c r="E263" s="89"/>
      <c r="F263" s="89"/>
    </row>
    <row r="264" spans="5:6" ht="25.5" customHeight="1">
      <c r="E264" s="89"/>
      <c r="F264" s="89"/>
    </row>
    <row r="265" spans="5:6" ht="25.5" customHeight="1">
      <c r="E265" s="89"/>
      <c r="F265" s="89"/>
    </row>
    <row r="266" spans="5:6" ht="25.5" customHeight="1">
      <c r="E266" s="89"/>
      <c r="F266" s="89"/>
    </row>
    <row r="267" spans="5:6" ht="25.5" customHeight="1">
      <c r="E267" s="89"/>
      <c r="F267" s="89"/>
    </row>
    <row r="268" spans="5:6" ht="25.5" customHeight="1">
      <c r="E268" s="89"/>
      <c r="F268" s="89"/>
    </row>
    <row r="269" spans="5:6" ht="25.5" customHeight="1">
      <c r="E269" s="89"/>
      <c r="F269" s="89"/>
    </row>
    <row r="270" spans="5:6" ht="25.5" customHeight="1">
      <c r="E270" s="89"/>
      <c r="F270" s="89"/>
    </row>
    <row r="271" spans="5:6" ht="25.5" customHeight="1">
      <c r="E271" s="89"/>
      <c r="F271" s="89"/>
    </row>
    <row r="272" spans="5:6" ht="25.5" customHeight="1">
      <c r="E272" s="89"/>
      <c r="F272" s="89"/>
    </row>
    <row r="273" spans="5:6" ht="25.5" customHeight="1">
      <c r="E273" s="89"/>
      <c r="F273" s="89"/>
    </row>
    <row r="274" spans="5:6" ht="25.5" customHeight="1">
      <c r="E274" s="89"/>
      <c r="F274" s="89"/>
    </row>
    <row r="275" spans="5:6" ht="25.5" customHeight="1">
      <c r="E275" s="89"/>
      <c r="F275" s="89"/>
    </row>
    <row r="276" spans="5:6" ht="25.5" customHeight="1">
      <c r="E276" s="89"/>
      <c r="F276" s="89"/>
    </row>
    <row r="277" spans="5:6" ht="25.5" customHeight="1">
      <c r="E277" s="89"/>
      <c r="F277" s="89"/>
    </row>
    <row r="278" spans="5:6" ht="25.5" customHeight="1">
      <c r="E278" s="89"/>
      <c r="F278" s="89"/>
    </row>
    <row r="279" spans="5:6" ht="25.5" customHeight="1">
      <c r="E279" s="89"/>
      <c r="F279" s="89"/>
    </row>
    <row r="280" spans="5:6" ht="25.5" customHeight="1">
      <c r="E280" s="89"/>
      <c r="F280" s="89"/>
    </row>
    <row r="281" spans="5:6" ht="25.5" customHeight="1">
      <c r="E281" s="89"/>
      <c r="F281" s="89"/>
    </row>
    <row r="282" spans="5:6" ht="25.5" customHeight="1">
      <c r="E282" s="89"/>
      <c r="F282" s="89"/>
    </row>
    <row r="283" spans="5:6" ht="25.5" customHeight="1">
      <c r="E283" s="89"/>
      <c r="F283" s="89"/>
    </row>
    <row r="284" spans="5:6" ht="25.5" customHeight="1">
      <c r="E284" s="89"/>
      <c r="F284" s="89"/>
    </row>
    <row r="285" spans="5:6" ht="25.5" customHeight="1">
      <c r="E285" s="89"/>
      <c r="F285" s="89"/>
    </row>
    <row r="286" spans="5:6" ht="25.5" customHeight="1">
      <c r="E286" s="89"/>
      <c r="F286" s="89"/>
    </row>
    <row r="287" spans="5:6" ht="25.5" customHeight="1">
      <c r="E287" s="89"/>
      <c r="F287" s="89"/>
    </row>
    <row r="288" spans="5:6" ht="25.5" customHeight="1">
      <c r="E288" s="89"/>
      <c r="F288" s="89"/>
    </row>
    <row r="289" spans="5:6" ht="25.5" customHeight="1">
      <c r="E289" s="89"/>
      <c r="F289" s="89"/>
    </row>
    <row r="290" spans="5:6" ht="25.5" customHeight="1">
      <c r="E290" s="89"/>
      <c r="F290" s="89"/>
    </row>
    <row r="291" spans="5:6" ht="25.5" customHeight="1">
      <c r="E291" s="89"/>
      <c r="F291" s="89"/>
    </row>
    <row r="292" spans="5:6" ht="25.5" customHeight="1">
      <c r="E292" s="89"/>
      <c r="F292" s="89"/>
    </row>
    <row r="293" spans="5:6" ht="25.5" customHeight="1">
      <c r="E293" s="89"/>
      <c r="F293" s="89"/>
    </row>
    <row r="294" spans="5:6" ht="25.5" customHeight="1">
      <c r="E294" s="89"/>
      <c r="F294" s="89"/>
    </row>
    <row r="295" spans="5:6" ht="25.5" customHeight="1">
      <c r="E295" s="89"/>
      <c r="F295" s="89"/>
    </row>
    <row r="296" spans="5:6" ht="25.5" customHeight="1">
      <c r="E296" s="89"/>
      <c r="F296" s="89"/>
    </row>
    <row r="297" spans="5:6" ht="25.5" customHeight="1">
      <c r="E297" s="89"/>
      <c r="F297" s="89"/>
    </row>
    <row r="298" spans="5:6" ht="25.5" customHeight="1">
      <c r="E298" s="89"/>
      <c r="F298" s="89"/>
    </row>
    <row r="299" spans="5:6" ht="25.5" customHeight="1">
      <c r="E299" s="89"/>
      <c r="F299" s="89"/>
    </row>
    <row r="300" spans="5:6" ht="25.5" customHeight="1">
      <c r="E300" s="89"/>
      <c r="F300" s="89"/>
    </row>
    <row r="301" spans="5:6" ht="25.5" customHeight="1">
      <c r="E301" s="89"/>
      <c r="F301" s="89"/>
    </row>
    <row r="302" spans="5:6" ht="25.5" customHeight="1">
      <c r="E302" s="89"/>
      <c r="F302" s="89"/>
    </row>
    <row r="303" spans="5:6" ht="25.5" customHeight="1">
      <c r="E303" s="89"/>
      <c r="F303" s="89"/>
    </row>
    <row r="304" spans="5:6" ht="25.5" customHeight="1">
      <c r="E304" s="89"/>
      <c r="F304" s="89"/>
    </row>
    <row r="305" spans="5:6" ht="25.5" customHeight="1">
      <c r="E305" s="89"/>
      <c r="F305" s="89"/>
    </row>
    <row r="306" spans="5:6" ht="25.5" customHeight="1">
      <c r="E306" s="89"/>
      <c r="F306" s="89"/>
    </row>
    <row r="307" spans="5:6" ht="25.5" customHeight="1">
      <c r="E307" s="89"/>
      <c r="F307" s="89"/>
    </row>
    <row r="308" spans="5:6" ht="25.5" customHeight="1">
      <c r="E308" s="89"/>
      <c r="F308" s="89"/>
    </row>
    <row r="309" spans="5:6" ht="25.5" customHeight="1">
      <c r="E309" s="89"/>
      <c r="F309" s="89"/>
    </row>
    <row r="310" spans="5:6" ht="25.5" customHeight="1">
      <c r="E310" s="89"/>
      <c r="F310" s="89"/>
    </row>
    <row r="311" spans="5:6" ht="25.5" customHeight="1">
      <c r="E311" s="89"/>
      <c r="F311" s="89"/>
    </row>
    <row r="312" spans="5:6" ht="25.5" customHeight="1">
      <c r="E312" s="89"/>
      <c r="F312" s="89"/>
    </row>
    <row r="313" spans="5:6" ht="25.5" customHeight="1">
      <c r="E313" s="89"/>
      <c r="F313" s="89"/>
    </row>
    <row r="314" spans="5:6" ht="25.5" customHeight="1">
      <c r="E314" s="89"/>
      <c r="F314" s="89"/>
    </row>
    <row r="315" spans="5:6" ht="25.5" customHeight="1">
      <c r="E315" s="89"/>
      <c r="F315" s="89"/>
    </row>
    <row r="316" spans="5:6" ht="25.5" customHeight="1">
      <c r="E316" s="89"/>
      <c r="F316" s="89"/>
    </row>
    <row r="317" spans="5:6" ht="25.5" customHeight="1">
      <c r="E317" s="89"/>
      <c r="F317" s="89"/>
    </row>
    <row r="318" spans="5:6" ht="25.5" customHeight="1">
      <c r="E318" s="89"/>
      <c r="F318" s="89"/>
    </row>
    <row r="319" spans="5:6" ht="25.5" customHeight="1">
      <c r="E319" s="89"/>
      <c r="F319" s="89"/>
    </row>
    <row r="320" spans="5:6" ht="25.5" customHeight="1">
      <c r="E320" s="89"/>
      <c r="F320" s="89"/>
    </row>
    <row r="321" spans="5:6" ht="25.5" customHeight="1">
      <c r="E321" s="89"/>
      <c r="F321" s="89"/>
    </row>
    <row r="322" spans="5:6" ht="25.5" customHeight="1">
      <c r="E322" s="89"/>
      <c r="F322" s="89"/>
    </row>
    <row r="323" spans="5:6" ht="25.5" customHeight="1">
      <c r="E323" s="89"/>
      <c r="F323" s="89"/>
    </row>
    <row r="324" spans="5:6" ht="25.5" customHeight="1">
      <c r="E324" s="89"/>
      <c r="F324" s="89"/>
    </row>
    <row r="325" spans="5:6" ht="25.5" customHeight="1">
      <c r="E325" s="89"/>
      <c r="F325" s="89"/>
    </row>
    <row r="326" spans="5:6" ht="25.5" customHeight="1">
      <c r="E326" s="89"/>
      <c r="F326" s="89"/>
    </row>
    <row r="327" spans="5:6" ht="25.5" customHeight="1">
      <c r="E327" s="89"/>
      <c r="F327" s="89"/>
    </row>
    <row r="328" spans="5:6" ht="25.5" customHeight="1">
      <c r="E328" s="89"/>
      <c r="F328" s="89"/>
    </row>
    <row r="329" spans="5:6" ht="25.5" customHeight="1">
      <c r="E329" s="89"/>
      <c r="F329" s="89"/>
    </row>
    <row r="330" spans="5:6" ht="25.5" customHeight="1">
      <c r="E330" s="89"/>
      <c r="F330" s="89"/>
    </row>
    <row r="331" spans="5:6" ht="25.5" customHeight="1">
      <c r="E331" s="89"/>
      <c r="F331" s="89"/>
    </row>
    <row r="332" spans="5:6" ht="25.5" customHeight="1">
      <c r="E332" s="89"/>
      <c r="F332" s="89"/>
    </row>
    <row r="333" spans="5:6" ht="25.5" customHeight="1">
      <c r="E333" s="89"/>
      <c r="F333" s="89"/>
    </row>
    <row r="334" spans="5:6" ht="25.5" customHeight="1">
      <c r="E334" s="89"/>
      <c r="F334" s="89"/>
    </row>
    <row r="335" spans="5:6" ht="25.5" customHeight="1">
      <c r="E335" s="89"/>
      <c r="F335" s="89"/>
    </row>
    <row r="336" spans="5:6" ht="25.5" customHeight="1">
      <c r="E336" s="89"/>
      <c r="F336" s="89"/>
    </row>
    <row r="337" spans="5:6" ht="25.5" customHeight="1">
      <c r="E337" s="89"/>
      <c r="F337" s="89"/>
    </row>
    <row r="338" spans="5:6" ht="25.5" customHeight="1">
      <c r="E338" s="89"/>
      <c r="F338" s="89"/>
    </row>
    <row r="339" spans="5:6" ht="25.5" customHeight="1">
      <c r="E339" s="89"/>
      <c r="F339" s="89"/>
    </row>
    <row r="340" spans="5:6" ht="25.5" customHeight="1">
      <c r="E340" s="89"/>
      <c r="F340" s="89"/>
    </row>
    <row r="341" spans="5:6" ht="25.5" customHeight="1">
      <c r="E341" s="89"/>
      <c r="F341" s="89"/>
    </row>
    <row r="342" spans="5:6" ht="25.5" customHeight="1">
      <c r="E342" s="89"/>
      <c r="F342" s="89"/>
    </row>
    <row r="343" spans="5:6" ht="25.5" customHeight="1">
      <c r="E343" s="89"/>
      <c r="F343" s="89"/>
    </row>
    <row r="344" spans="5:6" ht="25.5" customHeight="1">
      <c r="E344" s="89"/>
      <c r="F344" s="89"/>
    </row>
    <row r="345" spans="5:6" ht="25.5" customHeight="1">
      <c r="E345" s="89"/>
      <c r="F345" s="89"/>
    </row>
    <row r="346" spans="5:6" ht="25.5" customHeight="1">
      <c r="E346" s="89"/>
      <c r="F346" s="89"/>
    </row>
    <row r="347" spans="5:6" ht="25.5" customHeight="1">
      <c r="E347" s="89"/>
      <c r="F347" s="89"/>
    </row>
    <row r="348" spans="5:6" ht="25.5" customHeight="1">
      <c r="E348" s="89"/>
      <c r="F348" s="89"/>
    </row>
    <row r="349" spans="5:6" ht="25.5" customHeight="1">
      <c r="E349" s="89"/>
      <c r="F349" s="89"/>
    </row>
    <row r="350" spans="5:6" ht="25.5" customHeight="1">
      <c r="E350" s="89"/>
      <c r="F350" s="89"/>
    </row>
    <row r="351" spans="5:6" ht="25.5" customHeight="1">
      <c r="E351" s="89"/>
      <c r="F351" s="89"/>
    </row>
    <row r="352" spans="5:6" ht="25.5" customHeight="1">
      <c r="E352" s="89"/>
      <c r="F352" s="89"/>
    </row>
    <row r="353" spans="5:6" ht="25.5" customHeight="1">
      <c r="E353" s="89"/>
      <c r="F353" s="89"/>
    </row>
    <row r="354" spans="5:6" ht="25.5" customHeight="1">
      <c r="E354" s="89"/>
      <c r="F354" s="89"/>
    </row>
    <row r="355" spans="5:6" ht="25.5" customHeight="1">
      <c r="E355" s="89"/>
      <c r="F355" s="89"/>
    </row>
    <row r="356" spans="5:6" ht="25.5" customHeight="1">
      <c r="E356" s="89"/>
      <c r="F356" s="89"/>
    </row>
    <row r="357" spans="5:6" ht="25.5" customHeight="1">
      <c r="E357" s="89"/>
      <c r="F357" s="89"/>
    </row>
    <row r="358" spans="5:6" ht="25.5" customHeight="1">
      <c r="E358" s="89"/>
      <c r="F358" s="89"/>
    </row>
    <row r="359" spans="5:6" ht="25.5" customHeight="1">
      <c r="E359" s="89"/>
      <c r="F359" s="89"/>
    </row>
    <row r="360" spans="5:6" ht="25.5" customHeight="1">
      <c r="E360" s="89"/>
      <c r="F360" s="89"/>
    </row>
    <row r="361" spans="5:6" ht="25.5" customHeight="1">
      <c r="E361" s="89"/>
      <c r="F361" s="89"/>
    </row>
    <row r="362" spans="5:6" ht="25.5" customHeight="1">
      <c r="E362" s="89"/>
      <c r="F362" s="89"/>
    </row>
    <row r="363" spans="5:6" ht="25.5" customHeight="1">
      <c r="E363" s="89"/>
      <c r="F363" s="89"/>
    </row>
    <row r="364" spans="5:6" ht="25.5" customHeight="1">
      <c r="E364" s="89"/>
      <c r="F364" s="89"/>
    </row>
    <row r="365" spans="5:6" ht="25.5" customHeight="1">
      <c r="E365" s="89"/>
      <c r="F365" s="89"/>
    </row>
    <row r="366" spans="5:6" ht="25.5" customHeight="1">
      <c r="E366" s="89"/>
      <c r="F366" s="89"/>
    </row>
    <row r="367" spans="5:6" ht="25.5" customHeight="1">
      <c r="E367" s="89"/>
      <c r="F367" s="89"/>
    </row>
    <row r="368" spans="5:6" ht="25.5" customHeight="1">
      <c r="E368" s="89"/>
      <c r="F368" s="89"/>
    </row>
    <row r="369" spans="5:6" ht="25.5" customHeight="1">
      <c r="E369" s="89"/>
      <c r="F369" s="89"/>
    </row>
    <row r="370" spans="5:6" ht="25.5" customHeight="1">
      <c r="E370" s="89"/>
      <c r="F370" s="89"/>
    </row>
    <row r="371" spans="5:6" ht="25.5" customHeight="1">
      <c r="E371" s="89"/>
      <c r="F371" s="89"/>
    </row>
    <row r="372" spans="5:6" ht="25.5" customHeight="1">
      <c r="E372" s="89"/>
      <c r="F372" s="89"/>
    </row>
    <row r="373" spans="5:6" ht="25.5" customHeight="1">
      <c r="E373" s="89"/>
      <c r="F373" s="89"/>
    </row>
    <row r="374" spans="5:6" ht="25.5" customHeight="1">
      <c r="E374" s="89"/>
      <c r="F374" s="89"/>
    </row>
    <row r="375" spans="5:6" ht="25.5" customHeight="1">
      <c r="E375" s="89"/>
      <c r="F375" s="89"/>
    </row>
    <row r="376" spans="5:6" ht="25.5" customHeight="1">
      <c r="E376" s="89"/>
      <c r="F376" s="89"/>
    </row>
    <row r="377" spans="5:6" ht="25.5" customHeight="1">
      <c r="E377" s="89"/>
      <c r="F377" s="89"/>
    </row>
    <row r="378" spans="5:6" ht="25.5" customHeight="1">
      <c r="E378" s="89"/>
      <c r="F378" s="89"/>
    </row>
    <row r="379" spans="5:6" ht="25.5" customHeight="1">
      <c r="E379" s="89"/>
      <c r="F379" s="89"/>
    </row>
    <row r="380" spans="5:6" ht="25.5" customHeight="1">
      <c r="E380" s="89"/>
      <c r="F380" s="89"/>
    </row>
    <row r="381" spans="5:6" ht="25.5" customHeight="1">
      <c r="E381" s="89"/>
      <c r="F381" s="89"/>
    </row>
    <row r="382" spans="5:6" ht="25.5" customHeight="1">
      <c r="E382" s="89"/>
      <c r="F382" s="89"/>
    </row>
    <row r="383" spans="5:6" ht="25.5" customHeight="1">
      <c r="E383" s="89"/>
      <c r="F383" s="89"/>
    </row>
    <row r="384" spans="5:6" ht="25.5" customHeight="1">
      <c r="E384" s="89"/>
      <c r="F384" s="89"/>
    </row>
    <row r="385" spans="5:6" ht="25.5" customHeight="1">
      <c r="E385" s="89"/>
      <c r="F385" s="89"/>
    </row>
    <row r="386" spans="5:6" ht="25.5" customHeight="1">
      <c r="E386" s="89"/>
      <c r="F386" s="89"/>
    </row>
    <row r="387" spans="5:6" ht="25.5" customHeight="1">
      <c r="E387" s="89"/>
      <c r="F387" s="89"/>
    </row>
    <row r="388" spans="5:6" ht="25.5" customHeight="1">
      <c r="E388" s="89"/>
      <c r="F388" s="89"/>
    </row>
    <row r="389" spans="5:6" ht="25.5" customHeight="1">
      <c r="E389" s="89"/>
      <c r="F389" s="89"/>
    </row>
    <row r="390" spans="5:6" ht="25.5" customHeight="1">
      <c r="E390" s="89"/>
      <c r="F390" s="89"/>
    </row>
    <row r="391" spans="5:6" ht="25.5" customHeight="1">
      <c r="E391" s="89"/>
      <c r="F391" s="89"/>
    </row>
    <row r="392" spans="5:6" ht="25.5" customHeight="1">
      <c r="E392" s="89"/>
      <c r="F392" s="89"/>
    </row>
    <row r="393" spans="5:6" ht="25.5" customHeight="1">
      <c r="E393" s="89"/>
      <c r="F393" s="89"/>
    </row>
    <row r="394" spans="5:6" ht="25.5" customHeight="1">
      <c r="E394" s="89"/>
      <c r="F394" s="89"/>
    </row>
    <row r="395" spans="5:6" ht="25.5" customHeight="1">
      <c r="E395" s="89"/>
      <c r="F395" s="89"/>
    </row>
    <row r="396" spans="5:6" ht="25.5" customHeight="1">
      <c r="E396" s="89"/>
      <c r="F396" s="89"/>
    </row>
    <row r="397" spans="5:6" ht="25.5" customHeight="1">
      <c r="E397" s="89"/>
      <c r="F397" s="89"/>
    </row>
    <row r="398" spans="5:6" ht="25.5" customHeight="1">
      <c r="E398" s="89"/>
      <c r="F398" s="89"/>
    </row>
    <row r="399" spans="5:6" ht="25.5" customHeight="1">
      <c r="E399" s="89"/>
      <c r="F399" s="89"/>
    </row>
    <row r="400" spans="5:6" ht="25.5" customHeight="1">
      <c r="E400" s="89"/>
      <c r="F400" s="89"/>
    </row>
    <row r="401" spans="5:6" ht="25.5" customHeight="1">
      <c r="E401" s="89"/>
      <c r="F401" s="89"/>
    </row>
    <row r="402" spans="5:6" ht="25.5" customHeight="1">
      <c r="E402" s="89"/>
      <c r="F402" s="89"/>
    </row>
    <row r="403" spans="5:6" ht="25.5" customHeight="1">
      <c r="E403" s="89"/>
      <c r="F403" s="89"/>
    </row>
    <row r="404" spans="5:6" ht="25.5" customHeight="1">
      <c r="E404" s="89"/>
      <c r="F404" s="89"/>
    </row>
    <row r="405" spans="5:6" ht="25.5" customHeight="1">
      <c r="E405" s="89"/>
      <c r="F405" s="89"/>
    </row>
    <row r="406" spans="5:6" ht="25.5" customHeight="1">
      <c r="E406" s="89"/>
      <c r="F406" s="89"/>
    </row>
    <row r="407" spans="5:6" ht="25.5" customHeight="1">
      <c r="E407" s="89"/>
      <c r="F407" s="89"/>
    </row>
    <row r="408" spans="5:6" ht="25.5" customHeight="1">
      <c r="E408" s="89"/>
      <c r="F408" s="89"/>
    </row>
    <row r="409" spans="5:6" ht="25.5" customHeight="1">
      <c r="E409" s="89"/>
      <c r="F409" s="89"/>
    </row>
    <row r="410" spans="5:6" ht="25.5" customHeight="1">
      <c r="E410" s="89"/>
      <c r="F410" s="89"/>
    </row>
    <row r="411" spans="5:6" ht="25.5" customHeight="1">
      <c r="E411" s="89"/>
      <c r="F411" s="89"/>
    </row>
    <row r="412" spans="5:6" ht="25.5" customHeight="1">
      <c r="E412" s="89"/>
      <c r="F412" s="89"/>
    </row>
    <row r="413" spans="5:6" ht="25.5" customHeight="1">
      <c r="E413" s="89"/>
      <c r="F413" s="89"/>
    </row>
    <row r="414" spans="5:6" ht="25.5" customHeight="1">
      <c r="E414" s="89"/>
      <c r="F414" s="89"/>
    </row>
    <row r="415" spans="5:6" ht="25.5" customHeight="1">
      <c r="E415" s="89"/>
      <c r="F415" s="89"/>
    </row>
    <row r="416" spans="5:6" ht="25.5" customHeight="1">
      <c r="E416" s="89"/>
      <c r="F416" s="89"/>
    </row>
    <row r="417" spans="5:6" ht="25.5" customHeight="1">
      <c r="E417" s="89"/>
      <c r="F417" s="89"/>
    </row>
    <row r="418" spans="5:6" ht="25.5" customHeight="1">
      <c r="E418" s="89"/>
      <c r="F418" s="89"/>
    </row>
    <row r="419" spans="5:6" ht="25.5" customHeight="1">
      <c r="E419" s="89"/>
      <c r="F419" s="89"/>
    </row>
    <row r="420" spans="5:6" ht="25.5" customHeight="1">
      <c r="E420" s="89"/>
      <c r="F420" s="89"/>
    </row>
    <row r="421" spans="5:6" ht="25.5" customHeight="1">
      <c r="E421" s="89"/>
      <c r="F421" s="89"/>
    </row>
    <row r="422" spans="5:6" ht="25.5" customHeight="1">
      <c r="E422" s="89"/>
      <c r="F422" s="89"/>
    </row>
    <row r="423" spans="5:6" ht="25.5" customHeight="1">
      <c r="E423" s="89"/>
      <c r="F423" s="89"/>
    </row>
    <row r="424" spans="5:6" ht="25.5" customHeight="1">
      <c r="E424" s="89"/>
      <c r="F424" s="89"/>
    </row>
    <row r="425" spans="5:6" ht="25.5" customHeight="1">
      <c r="E425" s="89"/>
      <c r="F425" s="89"/>
    </row>
    <row r="426" spans="5:6" ht="25.5" customHeight="1">
      <c r="E426" s="89"/>
      <c r="F426" s="89"/>
    </row>
    <row r="427" spans="5:6" ht="25.5" customHeight="1">
      <c r="E427" s="89"/>
      <c r="F427" s="89"/>
    </row>
    <row r="428" spans="5:6" ht="25.5" customHeight="1">
      <c r="E428" s="89"/>
      <c r="F428" s="89"/>
    </row>
    <row r="429" spans="5:6" ht="25.5" customHeight="1">
      <c r="E429" s="89"/>
      <c r="F429" s="89"/>
    </row>
    <row r="430" spans="5:6" ht="25.5" customHeight="1">
      <c r="E430" s="89"/>
      <c r="F430" s="89"/>
    </row>
    <row r="431" spans="5:6" ht="25.5" customHeight="1">
      <c r="E431" s="89"/>
      <c r="F431" s="89"/>
    </row>
    <row r="432" spans="5:6" ht="25.5" customHeight="1">
      <c r="E432" s="89"/>
      <c r="F432" s="89"/>
    </row>
    <row r="433" spans="5:6" ht="25.5" customHeight="1">
      <c r="E433" s="89"/>
      <c r="F433" s="89"/>
    </row>
    <row r="434" spans="5:6" ht="25.5" customHeight="1">
      <c r="E434" s="89"/>
      <c r="F434" s="89"/>
    </row>
    <row r="435" spans="5:6" ht="25.5" customHeight="1">
      <c r="E435" s="89"/>
      <c r="F435" s="89"/>
    </row>
    <row r="436" spans="5:6" ht="25.5" customHeight="1">
      <c r="E436" s="89"/>
      <c r="F436" s="89"/>
    </row>
    <row r="437" spans="5:6" ht="25.5" customHeight="1">
      <c r="E437" s="89"/>
      <c r="F437" s="89"/>
    </row>
    <row r="438" spans="5:6" ht="25.5" customHeight="1">
      <c r="E438" s="89"/>
      <c r="F438" s="89"/>
    </row>
    <row r="439" spans="5:6" ht="25.5" customHeight="1">
      <c r="E439" s="89"/>
      <c r="F439" s="89"/>
    </row>
    <row r="440" spans="5:6" ht="25.5" customHeight="1">
      <c r="E440" s="89"/>
      <c r="F440" s="89"/>
    </row>
    <row r="441" spans="5:6" ht="25.5" customHeight="1">
      <c r="E441" s="89"/>
      <c r="F441" s="89"/>
    </row>
    <row r="442" spans="5:6" ht="25.5" customHeight="1">
      <c r="E442" s="89"/>
      <c r="F442" s="89"/>
    </row>
    <row r="443" spans="5:6" ht="25.5" customHeight="1">
      <c r="E443" s="89"/>
      <c r="F443" s="89"/>
    </row>
    <row r="444" spans="5:6" ht="25.5" customHeight="1">
      <c r="E444" s="89"/>
      <c r="F444" s="89"/>
    </row>
    <row r="445" spans="5:6" ht="25.5" customHeight="1">
      <c r="E445" s="89"/>
      <c r="F445" s="89"/>
    </row>
    <row r="446" spans="5:6" ht="25.5" customHeight="1">
      <c r="E446" s="89"/>
      <c r="F446" s="89"/>
    </row>
    <row r="447" spans="5:6" ht="25.5" customHeight="1">
      <c r="E447" s="89"/>
      <c r="F447" s="89"/>
    </row>
    <row r="448" spans="5:6" ht="25.5" customHeight="1">
      <c r="E448" s="89"/>
      <c r="F448" s="89"/>
    </row>
    <row r="449" spans="5:6" ht="25.5" customHeight="1">
      <c r="E449" s="89"/>
      <c r="F449" s="89"/>
    </row>
    <row r="450" spans="5:6" ht="25.5" customHeight="1">
      <c r="E450" s="89"/>
      <c r="F450" s="89"/>
    </row>
    <row r="451" spans="5:6" ht="25.5" customHeight="1">
      <c r="E451" s="89"/>
      <c r="F451" s="89"/>
    </row>
    <row r="452" spans="5:6" ht="25.5" customHeight="1">
      <c r="E452" s="89"/>
      <c r="F452" s="89"/>
    </row>
    <row r="453" spans="5:6" ht="25.5" customHeight="1">
      <c r="E453" s="89"/>
      <c r="F453" s="89"/>
    </row>
    <row r="454" spans="5:6" ht="25.5" customHeight="1">
      <c r="E454" s="89"/>
      <c r="F454" s="89"/>
    </row>
    <row r="455" spans="5:6" ht="25.5" customHeight="1">
      <c r="E455" s="89"/>
      <c r="F455" s="89"/>
    </row>
    <row r="456" spans="5:6" ht="25.5" customHeight="1">
      <c r="E456" s="89"/>
      <c r="F456" s="89"/>
    </row>
    <row r="457" spans="5:6" ht="25.5" customHeight="1">
      <c r="E457" s="89"/>
      <c r="F457" s="89"/>
    </row>
    <row r="458" spans="5:6" ht="25.5" customHeight="1">
      <c r="E458" s="89"/>
      <c r="F458" s="89"/>
    </row>
    <row r="459" spans="5:6" ht="25.5" customHeight="1">
      <c r="E459" s="89"/>
      <c r="F459" s="89"/>
    </row>
    <row r="460" spans="5:6" ht="25.5" customHeight="1">
      <c r="E460" s="89"/>
      <c r="F460" s="89"/>
    </row>
    <row r="461" spans="5:6" ht="25.5" customHeight="1">
      <c r="E461" s="89"/>
      <c r="F461" s="89"/>
    </row>
    <row r="462" spans="5:6" ht="25.5" customHeight="1">
      <c r="E462" s="89"/>
      <c r="F462" s="89"/>
    </row>
    <row r="463" spans="5:6" ht="25.5" customHeight="1">
      <c r="E463" s="89"/>
      <c r="F463" s="89"/>
    </row>
    <row r="464" spans="5:6" ht="25.5" customHeight="1">
      <c r="E464" s="89"/>
      <c r="F464" s="89"/>
    </row>
    <row r="465" spans="5:6" ht="25.5" customHeight="1">
      <c r="E465" s="89"/>
      <c r="F465" s="89"/>
    </row>
    <row r="466" spans="5:6" ht="25.5" customHeight="1">
      <c r="E466" s="89"/>
      <c r="F466" s="89"/>
    </row>
    <row r="467" spans="5:6" ht="25.5" customHeight="1">
      <c r="E467" s="89"/>
      <c r="F467" s="89"/>
    </row>
    <row r="468" spans="5:6" ht="25.5" customHeight="1">
      <c r="E468" s="89"/>
      <c r="F468" s="89"/>
    </row>
    <row r="469" spans="5:6" ht="25.5" customHeight="1">
      <c r="E469" s="89"/>
      <c r="F469" s="89"/>
    </row>
    <row r="470" spans="5:6" ht="25.5" customHeight="1">
      <c r="E470" s="89"/>
      <c r="F470" s="89"/>
    </row>
    <row r="471" spans="5:6" ht="25.5" customHeight="1">
      <c r="E471" s="89"/>
      <c r="F471" s="89"/>
    </row>
    <row r="472" spans="5:6" ht="25.5" customHeight="1">
      <c r="E472" s="89"/>
      <c r="F472" s="89"/>
    </row>
    <row r="473" spans="5:6" ht="25.5" customHeight="1">
      <c r="E473" s="89"/>
      <c r="F473" s="89"/>
    </row>
    <row r="474" spans="5:6" ht="25.5" customHeight="1">
      <c r="E474" s="89"/>
      <c r="F474" s="89"/>
    </row>
    <row r="475" spans="5:6" ht="25.5" customHeight="1">
      <c r="E475" s="89"/>
      <c r="F475" s="89"/>
    </row>
    <row r="476" spans="5:6" ht="25.5" customHeight="1">
      <c r="E476" s="89"/>
      <c r="F476" s="89"/>
    </row>
    <row r="477" spans="5:6" ht="25.5" customHeight="1">
      <c r="E477" s="89"/>
      <c r="F477" s="89"/>
    </row>
    <row r="478" spans="5:6" ht="25.5" customHeight="1">
      <c r="E478" s="89"/>
      <c r="F478" s="89"/>
    </row>
    <row r="479" spans="5:6" ht="25.5" customHeight="1">
      <c r="E479" s="89"/>
      <c r="F479" s="89"/>
    </row>
    <row r="480" spans="5:6" ht="25.5" customHeight="1">
      <c r="E480" s="89"/>
      <c r="F480" s="89"/>
    </row>
    <row r="481" spans="5:6" ht="25.5" customHeight="1">
      <c r="E481" s="89"/>
      <c r="F481" s="89"/>
    </row>
    <row r="482" spans="5:6" ht="25.5" customHeight="1">
      <c r="E482" s="89"/>
      <c r="F482" s="89"/>
    </row>
    <row r="483" spans="5:6" ht="25.5" customHeight="1">
      <c r="E483" s="89"/>
      <c r="F483" s="89"/>
    </row>
    <row r="484" spans="5:6" ht="25.5" customHeight="1">
      <c r="E484" s="89"/>
      <c r="F484" s="89"/>
    </row>
    <row r="485" spans="5:6" ht="25.5" customHeight="1">
      <c r="E485" s="89"/>
      <c r="F485" s="89"/>
    </row>
    <row r="486" spans="5:6" ht="25.5" customHeight="1">
      <c r="E486" s="89"/>
      <c r="F486" s="89"/>
    </row>
    <row r="487" spans="5:6" ht="25.5" customHeight="1">
      <c r="E487" s="89"/>
      <c r="F487" s="89"/>
    </row>
    <row r="488" spans="5:6" ht="25.5" customHeight="1">
      <c r="E488" s="89"/>
      <c r="F488" s="89"/>
    </row>
    <row r="489" spans="5:6" ht="25.5" customHeight="1">
      <c r="E489" s="89"/>
      <c r="F489" s="89"/>
    </row>
    <row r="490" spans="5:6" ht="25.5" customHeight="1">
      <c r="E490" s="89"/>
      <c r="F490" s="89"/>
    </row>
    <row r="491" spans="5:6" ht="25.5" customHeight="1">
      <c r="E491" s="89"/>
      <c r="F491" s="89"/>
    </row>
    <row r="492" spans="5:6" ht="25.5" customHeight="1">
      <c r="E492" s="89"/>
      <c r="F492" s="89"/>
    </row>
    <row r="493" spans="5:6" ht="25.5" customHeight="1">
      <c r="E493" s="89"/>
      <c r="F493" s="89"/>
    </row>
    <row r="494" spans="5:6" ht="25.5" customHeight="1">
      <c r="E494" s="89"/>
      <c r="F494" s="89"/>
    </row>
    <row r="495" spans="5:6" ht="25.5" customHeight="1">
      <c r="E495" s="89"/>
      <c r="F495" s="89"/>
    </row>
    <row r="496" spans="5:6" ht="25.5" customHeight="1">
      <c r="E496" s="89"/>
      <c r="F496" s="89"/>
    </row>
    <row r="497" spans="5:6" ht="25.5" customHeight="1">
      <c r="E497" s="89"/>
      <c r="F497" s="89"/>
    </row>
    <row r="498" spans="5:6" ht="25.5" customHeight="1">
      <c r="E498" s="89"/>
      <c r="F498" s="89"/>
    </row>
    <row r="499" spans="5:6" ht="25.5" customHeight="1">
      <c r="E499" s="89"/>
      <c r="F499" s="89"/>
    </row>
    <row r="500" spans="5:6" ht="25.5" customHeight="1">
      <c r="E500" s="89"/>
      <c r="F500" s="89"/>
    </row>
    <row r="501" spans="5:6" ht="25.5" customHeight="1">
      <c r="E501" s="89"/>
      <c r="F501" s="89"/>
    </row>
    <row r="502" spans="5:6" ht="25.5" customHeight="1">
      <c r="E502" s="89"/>
      <c r="F502" s="89"/>
    </row>
    <row r="503" spans="5:6" ht="25.5" customHeight="1">
      <c r="E503" s="89"/>
      <c r="F503" s="89"/>
    </row>
    <row r="504" spans="5:6" ht="25.5" customHeight="1">
      <c r="E504" s="89"/>
      <c r="F504" s="89"/>
    </row>
    <row r="505" spans="5:6" ht="25.5" customHeight="1">
      <c r="E505" s="89"/>
      <c r="F505" s="89"/>
    </row>
    <row r="506" spans="5:6" ht="25.5" customHeight="1">
      <c r="E506" s="89"/>
      <c r="F506" s="89"/>
    </row>
    <row r="507" spans="5:6" ht="25.5" customHeight="1">
      <c r="E507" s="89"/>
      <c r="F507" s="89"/>
    </row>
    <row r="508" spans="5:6" ht="25.5" customHeight="1">
      <c r="E508" s="89"/>
      <c r="F508" s="89"/>
    </row>
    <row r="509" spans="5:6" ht="25.5" customHeight="1">
      <c r="E509" s="89"/>
      <c r="F509" s="89"/>
    </row>
    <row r="510" spans="5:6" ht="25.5" customHeight="1">
      <c r="E510" s="89"/>
      <c r="F510" s="89"/>
    </row>
    <row r="511" spans="5:6" ht="25.5" customHeight="1">
      <c r="E511" s="89"/>
      <c r="F511" s="89"/>
    </row>
    <row r="512" spans="5:6" ht="25.5" customHeight="1">
      <c r="E512" s="89"/>
      <c r="F512" s="89"/>
    </row>
    <row r="513" spans="5:6" ht="25.5" customHeight="1">
      <c r="E513" s="89"/>
      <c r="F513" s="89"/>
    </row>
    <row r="514" spans="5:6" ht="25.5" customHeight="1">
      <c r="E514" s="89"/>
      <c r="F514" s="89"/>
    </row>
    <row r="515" spans="5:6" ht="25.5" customHeight="1">
      <c r="E515" s="89"/>
      <c r="F515" s="89"/>
    </row>
    <row r="516" spans="5:6" ht="25.5" customHeight="1">
      <c r="E516" s="89"/>
      <c r="F516" s="89"/>
    </row>
    <row r="517" spans="5:6" ht="25.5" customHeight="1">
      <c r="E517" s="89"/>
      <c r="F517" s="89"/>
    </row>
    <row r="518" spans="5:6" ht="25.5" customHeight="1">
      <c r="E518" s="89"/>
      <c r="F518" s="89"/>
    </row>
    <row r="519" spans="5:6" ht="25.5" customHeight="1">
      <c r="E519" s="89"/>
      <c r="F519" s="89"/>
    </row>
    <row r="520" spans="5:6" ht="25.5" customHeight="1">
      <c r="E520" s="89"/>
      <c r="F520" s="89"/>
    </row>
    <row r="521" spans="5:6" ht="25.5" customHeight="1">
      <c r="E521" s="89"/>
      <c r="F521" s="89"/>
    </row>
    <row r="522" spans="5:6" ht="25.5" customHeight="1">
      <c r="E522" s="89"/>
      <c r="F522" s="89"/>
    </row>
    <row r="523" spans="5:6" ht="25.5" customHeight="1">
      <c r="E523" s="89"/>
      <c r="F523" s="89"/>
    </row>
    <row r="524" spans="5:6" ht="25.5" customHeight="1">
      <c r="E524" s="89"/>
      <c r="F524" s="89"/>
    </row>
    <row r="525" spans="5:6" ht="25.5" customHeight="1">
      <c r="E525" s="89"/>
      <c r="F525" s="89"/>
    </row>
    <row r="526" spans="5:6" ht="25.5" customHeight="1">
      <c r="E526" s="89"/>
      <c r="F526" s="89"/>
    </row>
    <row r="527" spans="5:6" ht="25.5" customHeight="1">
      <c r="E527" s="89"/>
      <c r="F527" s="89"/>
    </row>
    <row r="528" spans="5:6" ht="25.5" customHeight="1">
      <c r="E528" s="89"/>
      <c r="F528" s="89"/>
    </row>
    <row r="529" spans="5:6" ht="25.5" customHeight="1">
      <c r="E529" s="89"/>
      <c r="F529" s="89"/>
    </row>
    <row r="530" spans="5:6" ht="25.5" customHeight="1">
      <c r="E530" s="89"/>
      <c r="F530" s="89"/>
    </row>
    <row r="531" spans="5:6" ht="25.5" customHeight="1">
      <c r="E531" s="89"/>
      <c r="F531" s="89"/>
    </row>
    <row r="532" spans="5:6" ht="25.5" customHeight="1">
      <c r="E532" s="89"/>
      <c r="F532" s="89"/>
    </row>
    <row r="533" spans="5:6" ht="25.5" customHeight="1">
      <c r="E533" s="89"/>
      <c r="F533" s="89"/>
    </row>
    <row r="534" spans="5:6" ht="25.5" customHeight="1">
      <c r="E534" s="89"/>
      <c r="F534" s="89"/>
    </row>
    <row r="535" spans="5:6" ht="25.5" customHeight="1">
      <c r="E535" s="89"/>
      <c r="F535" s="89"/>
    </row>
    <row r="536" spans="5:6" ht="25.5" customHeight="1">
      <c r="E536" s="89"/>
      <c r="F536" s="89"/>
    </row>
    <row r="537" spans="5:6" ht="25.5" customHeight="1">
      <c r="E537" s="89"/>
      <c r="F537" s="89"/>
    </row>
    <row r="538" spans="5:6" ht="25.5" customHeight="1">
      <c r="E538" s="89"/>
      <c r="F538" s="89"/>
    </row>
    <row r="539" spans="5:6" ht="25.5" customHeight="1">
      <c r="E539" s="89"/>
      <c r="F539" s="89"/>
    </row>
    <row r="540" spans="5:6" ht="25.5" customHeight="1">
      <c r="E540" s="89"/>
      <c r="F540" s="89"/>
    </row>
    <row r="541" spans="5:6" ht="25.5" customHeight="1">
      <c r="E541" s="89"/>
      <c r="F541" s="89"/>
    </row>
    <row r="542" spans="5:6" ht="25.5" customHeight="1">
      <c r="E542" s="89"/>
      <c r="F542" s="89"/>
    </row>
    <row r="543" spans="5:6" ht="25.5" customHeight="1">
      <c r="E543" s="89"/>
      <c r="F543" s="89"/>
    </row>
    <row r="544" spans="5:6" ht="25.5" customHeight="1">
      <c r="E544" s="89"/>
      <c r="F544" s="89"/>
    </row>
    <row r="545" spans="5:6" ht="25.5" customHeight="1">
      <c r="E545" s="89"/>
      <c r="F545" s="89"/>
    </row>
    <row r="546" spans="5:6" ht="25.5" customHeight="1">
      <c r="E546" s="89"/>
      <c r="F546" s="89"/>
    </row>
    <row r="547" spans="5:6" ht="25.5" customHeight="1">
      <c r="E547" s="89"/>
      <c r="F547" s="89"/>
    </row>
    <row r="548" spans="5:6" ht="25.5" customHeight="1">
      <c r="E548" s="89"/>
      <c r="F548" s="89"/>
    </row>
    <row r="549" spans="5:6" ht="25.5" customHeight="1">
      <c r="E549" s="89"/>
      <c r="F549" s="89"/>
    </row>
    <row r="550" spans="5:6" ht="25.5" customHeight="1">
      <c r="E550" s="89"/>
      <c r="F550" s="89"/>
    </row>
    <row r="551" spans="5:6" ht="25.5" customHeight="1">
      <c r="E551" s="89"/>
      <c r="F551" s="89"/>
    </row>
    <row r="552" spans="5:6" ht="25.5" customHeight="1">
      <c r="E552" s="89"/>
      <c r="F552" s="89"/>
    </row>
    <row r="553" spans="5:6" ht="25.5" customHeight="1">
      <c r="E553" s="89"/>
      <c r="F553" s="89"/>
    </row>
    <row r="554" spans="5:6" ht="25.5" customHeight="1">
      <c r="E554" s="89"/>
      <c r="F554" s="89"/>
    </row>
    <row r="555" spans="5:6" ht="25.5" customHeight="1">
      <c r="E555" s="89"/>
      <c r="F555" s="89"/>
    </row>
    <row r="556" spans="5:6" ht="25.5" customHeight="1">
      <c r="E556" s="89"/>
      <c r="F556" s="89"/>
    </row>
    <row r="557" spans="5:6" ht="25.5" customHeight="1">
      <c r="E557" s="89"/>
      <c r="F557" s="89"/>
    </row>
    <row r="558" spans="5:6" ht="25.5" customHeight="1">
      <c r="E558" s="89"/>
      <c r="F558" s="89"/>
    </row>
    <row r="559" spans="5:6" ht="25.5" customHeight="1">
      <c r="E559" s="89"/>
      <c r="F559" s="89"/>
    </row>
    <row r="560" spans="5:6" ht="25.5" customHeight="1">
      <c r="E560" s="89"/>
      <c r="F560" s="89"/>
    </row>
    <row r="561" spans="5:6" ht="25.5" customHeight="1">
      <c r="E561" s="89"/>
      <c r="F561" s="89"/>
    </row>
    <row r="562" spans="5:6" ht="25.5" customHeight="1">
      <c r="E562" s="89"/>
      <c r="F562" s="89"/>
    </row>
    <row r="563" spans="5:6" ht="25.5" customHeight="1">
      <c r="E563" s="89"/>
      <c r="F563" s="89"/>
    </row>
    <row r="564" spans="5:6" ht="25.5" customHeight="1">
      <c r="E564" s="89"/>
      <c r="F564" s="89"/>
    </row>
    <row r="565" spans="5:6" ht="25.5" customHeight="1">
      <c r="E565" s="89"/>
      <c r="F565" s="89"/>
    </row>
    <row r="566" spans="5:6" ht="25.5" customHeight="1">
      <c r="E566" s="89"/>
      <c r="F566" s="89"/>
    </row>
    <row r="567" spans="5:6" ht="25.5" customHeight="1">
      <c r="E567" s="89"/>
      <c r="F567" s="89"/>
    </row>
    <row r="568" spans="5:6" ht="25.5" customHeight="1">
      <c r="E568" s="89"/>
      <c r="F568" s="89"/>
    </row>
    <row r="569" spans="5:6" ht="25.5" customHeight="1">
      <c r="E569" s="89"/>
      <c r="F569" s="89"/>
    </row>
    <row r="570" spans="5:6" ht="25.5" customHeight="1">
      <c r="E570" s="89"/>
      <c r="F570" s="89"/>
    </row>
    <row r="571" spans="5:6" ht="25.5" customHeight="1">
      <c r="E571" s="89"/>
      <c r="F571" s="89"/>
    </row>
    <row r="572" spans="5:6" ht="25.5" customHeight="1">
      <c r="E572" s="89"/>
      <c r="F572" s="89"/>
    </row>
    <row r="573" spans="5:6" ht="25.5" customHeight="1">
      <c r="E573" s="89"/>
      <c r="F573" s="89"/>
    </row>
    <row r="574" spans="5:6" ht="25.5" customHeight="1">
      <c r="E574" s="89"/>
      <c r="F574" s="89"/>
    </row>
    <row r="575" spans="5:6" ht="25.5" customHeight="1">
      <c r="E575" s="89"/>
      <c r="F575" s="89"/>
    </row>
    <row r="576" spans="5:6" ht="25.5" customHeight="1">
      <c r="E576" s="89"/>
      <c r="F576" s="89"/>
    </row>
    <row r="577" spans="5:6" ht="25.5" customHeight="1">
      <c r="E577" s="89"/>
      <c r="F577" s="89"/>
    </row>
    <row r="578" spans="5:6" ht="25.5" customHeight="1">
      <c r="E578" s="89"/>
      <c r="F578" s="89"/>
    </row>
    <row r="579" spans="5:6" ht="25.5" customHeight="1">
      <c r="E579" s="89"/>
      <c r="F579" s="89"/>
    </row>
    <row r="580" spans="5:6" ht="25.5" customHeight="1">
      <c r="E580" s="89"/>
      <c r="F580" s="89"/>
    </row>
    <row r="581" spans="5:6" ht="25.5" customHeight="1">
      <c r="E581" s="89"/>
      <c r="F581" s="89"/>
    </row>
    <row r="582" spans="5:6" ht="25.5" customHeight="1">
      <c r="E582" s="89"/>
      <c r="F582" s="89"/>
    </row>
    <row r="583" spans="5:6" ht="25.5" customHeight="1">
      <c r="E583" s="89"/>
      <c r="F583" s="89"/>
    </row>
    <row r="584" spans="5:6" ht="25.5" customHeight="1">
      <c r="E584" s="89"/>
      <c r="F584" s="89"/>
    </row>
    <row r="585" spans="5:6" ht="25.5" customHeight="1">
      <c r="E585" s="89"/>
      <c r="F585" s="89"/>
    </row>
    <row r="586" spans="5:6" ht="25.5" customHeight="1">
      <c r="E586" s="89"/>
      <c r="F586" s="89"/>
    </row>
    <row r="587" spans="5:6" ht="25.5" customHeight="1">
      <c r="E587" s="89"/>
      <c r="F587" s="89"/>
    </row>
    <row r="588" spans="5:6" ht="25.5" customHeight="1">
      <c r="E588" s="89"/>
      <c r="F588" s="89"/>
    </row>
    <row r="589" spans="5:6" ht="25.5" customHeight="1">
      <c r="E589" s="89"/>
      <c r="F589" s="89"/>
    </row>
    <row r="590" spans="5:6" ht="25.5" customHeight="1">
      <c r="E590" s="89"/>
      <c r="F590" s="89"/>
    </row>
    <row r="591" spans="5:6" ht="25.5" customHeight="1">
      <c r="E591" s="89"/>
      <c r="F591" s="89"/>
    </row>
    <row r="592" spans="5:6" ht="25.5" customHeight="1">
      <c r="E592" s="89"/>
      <c r="F592" s="89"/>
    </row>
    <row r="593" spans="5:6" ht="25.5" customHeight="1">
      <c r="E593" s="89"/>
      <c r="F593" s="89"/>
    </row>
    <row r="594" spans="5:6" ht="25.5" customHeight="1">
      <c r="E594" s="89"/>
      <c r="F594" s="89"/>
    </row>
    <row r="595" spans="5:6" ht="25.5" customHeight="1">
      <c r="E595" s="89"/>
      <c r="F595" s="89"/>
    </row>
    <row r="596" spans="5:6" ht="25.5" customHeight="1">
      <c r="E596" s="89"/>
      <c r="F596" s="89"/>
    </row>
    <row r="597" spans="5:6" ht="25.5" customHeight="1">
      <c r="E597" s="89"/>
      <c r="F597" s="89"/>
    </row>
    <row r="598" spans="5:6" ht="25.5" customHeight="1">
      <c r="E598" s="89"/>
      <c r="F598" s="89"/>
    </row>
    <row r="599" spans="5:6" ht="25.5" customHeight="1">
      <c r="E599" s="89"/>
      <c r="F599" s="89"/>
    </row>
    <row r="600" spans="5:6" ht="25.5" customHeight="1">
      <c r="E600" s="89"/>
      <c r="F600" s="89"/>
    </row>
    <row r="601" spans="5:6" ht="25.5" customHeight="1">
      <c r="E601" s="89"/>
      <c r="F601" s="89"/>
    </row>
    <row r="602" spans="5:6" ht="25.5" customHeight="1">
      <c r="E602" s="89"/>
      <c r="F602" s="89"/>
    </row>
    <row r="603" spans="5:6" ht="25.5" customHeight="1">
      <c r="E603" s="89"/>
      <c r="F603" s="89"/>
    </row>
    <row r="604" spans="5:6" ht="25.5" customHeight="1">
      <c r="E604" s="89"/>
      <c r="F604" s="89"/>
    </row>
    <row r="605" spans="5:6" ht="25.5" customHeight="1">
      <c r="E605" s="89"/>
      <c r="F605" s="89"/>
    </row>
    <row r="606" spans="5:6" ht="25.5" customHeight="1">
      <c r="E606" s="89"/>
      <c r="F606" s="89"/>
    </row>
    <row r="607" spans="5:6" ht="25.5" customHeight="1">
      <c r="E607" s="89"/>
      <c r="F607" s="89"/>
    </row>
    <row r="608" spans="5:6" ht="25.5" customHeight="1">
      <c r="E608" s="89"/>
      <c r="F608" s="89"/>
    </row>
    <row r="609" spans="5:6" ht="25.5" customHeight="1">
      <c r="E609" s="89"/>
      <c r="F609" s="89"/>
    </row>
    <row r="610" spans="5:6" ht="25.5" customHeight="1">
      <c r="E610" s="89"/>
      <c r="F610" s="89"/>
    </row>
    <row r="611" spans="5:6" ht="25.5" customHeight="1">
      <c r="E611" s="89"/>
      <c r="F611" s="89"/>
    </row>
    <row r="612" spans="5:6" ht="25.5" customHeight="1">
      <c r="E612" s="89"/>
      <c r="F612" s="89"/>
    </row>
    <row r="613" spans="5:6" ht="25.5" customHeight="1">
      <c r="E613" s="89"/>
      <c r="F613" s="89"/>
    </row>
    <row r="614" spans="5:6" ht="25.5" customHeight="1">
      <c r="E614" s="89"/>
      <c r="F614" s="89"/>
    </row>
    <row r="615" spans="5:6" ht="25.5" customHeight="1">
      <c r="E615" s="89"/>
      <c r="F615" s="89"/>
    </row>
    <row r="616" spans="5:6" ht="25.5" customHeight="1">
      <c r="E616" s="89"/>
      <c r="F616" s="89"/>
    </row>
    <row r="617" spans="5:6" ht="25.5" customHeight="1">
      <c r="E617" s="89"/>
      <c r="F617" s="89"/>
    </row>
    <row r="618" spans="5:6" ht="25.5" customHeight="1">
      <c r="E618" s="89"/>
      <c r="F618" s="89"/>
    </row>
    <row r="619" spans="5:6" ht="25.5" customHeight="1">
      <c r="E619" s="89"/>
      <c r="F619" s="89"/>
    </row>
    <row r="620" spans="5:6" ht="25.5" customHeight="1">
      <c r="E620" s="89"/>
      <c r="F620" s="89"/>
    </row>
    <row r="621" spans="5:6" ht="25.5" customHeight="1">
      <c r="E621" s="89"/>
      <c r="F621" s="89"/>
    </row>
    <row r="622" spans="5:6" ht="25.5" customHeight="1">
      <c r="E622" s="89"/>
      <c r="F622" s="89"/>
    </row>
    <row r="623" spans="5:6" ht="25.5" customHeight="1">
      <c r="E623" s="89"/>
      <c r="F623" s="89"/>
    </row>
    <row r="624" spans="5:6" ht="25.5" customHeight="1">
      <c r="E624" s="89"/>
      <c r="F624" s="89"/>
    </row>
    <row r="625" spans="5:6" ht="25.5" customHeight="1">
      <c r="E625" s="89"/>
      <c r="F625" s="89"/>
    </row>
    <row r="626" spans="5:6" ht="25.5" customHeight="1">
      <c r="E626" s="89"/>
      <c r="F626" s="89"/>
    </row>
    <row r="627" spans="5:6" ht="25.5" customHeight="1">
      <c r="E627" s="89"/>
      <c r="F627" s="89"/>
    </row>
    <row r="628" spans="5:6" ht="25.5" customHeight="1">
      <c r="E628" s="89"/>
      <c r="F628" s="89"/>
    </row>
    <row r="629" spans="5:6" ht="25.5" customHeight="1">
      <c r="E629" s="89"/>
      <c r="F629" s="89"/>
    </row>
    <row r="630" spans="5:6" ht="25.5" customHeight="1">
      <c r="E630" s="89"/>
      <c r="F630" s="89"/>
    </row>
    <row r="631" spans="5:6" ht="25.5" customHeight="1">
      <c r="E631" s="89"/>
      <c r="F631" s="89"/>
    </row>
    <row r="632" spans="5:6" ht="25.5" customHeight="1">
      <c r="E632" s="89"/>
      <c r="F632" s="89"/>
    </row>
    <row r="633" spans="5:6" ht="25.5" customHeight="1">
      <c r="E633" s="89"/>
      <c r="F633" s="89"/>
    </row>
    <row r="634" spans="5:6" ht="25.5" customHeight="1">
      <c r="E634" s="89"/>
      <c r="F634" s="89"/>
    </row>
    <row r="635" spans="5:6" ht="25.5" customHeight="1">
      <c r="E635" s="89"/>
      <c r="F635" s="89"/>
    </row>
    <row r="636" spans="5:6" ht="25.5" customHeight="1">
      <c r="E636" s="89"/>
      <c r="F636" s="89"/>
    </row>
    <row r="637" spans="5:6" ht="25.5" customHeight="1">
      <c r="E637" s="89"/>
      <c r="F637" s="89"/>
    </row>
    <row r="638" spans="5:6" ht="25.5" customHeight="1">
      <c r="E638" s="89"/>
      <c r="F638" s="89"/>
    </row>
    <row r="639" spans="5:6" ht="25.5" customHeight="1">
      <c r="E639" s="89"/>
      <c r="F639" s="89"/>
    </row>
    <row r="640" spans="5:6" ht="25.5" customHeight="1">
      <c r="E640" s="89"/>
      <c r="F640" s="89"/>
    </row>
    <row r="641" spans="5:6" ht="25.5" customHeight="1">
      <c r="E641" s="89"/>
      <c r="F641" s="89"/>
    </row>
    <row r="642" spans="5:6" ht="25.5" customHeight="1">
      <c r="E642" s="89"/>
      <c r="F642" s="89"/>
    </row>
    <row r="643" spans="5:6" ht="25.5" customHeight="1">
      <c r="E643" s="89"/>
      <c r="F643" s="89"/>
    </row>
    <row r="644" spans="5:6" ht="25.5" customHeight="1">
      <c r="E644" s="89"/>
      <c r="F644" s="89"/>
    </row>
    <row r="645" spans="5:6" ht="25.5" customHeight="1">
      <c r="E645" s="89"/>
      <c r="F645" s="89"/>
    </row>
    <row r="646" spans="5:6" ht="25.5" customHeight="1">
      <c r="E646" s="89"/>
      <c r="F646" s="89"/>
    </row>
    <row r="647" spans="5:6" ht="25.5" customHeight="1">
      <c r="E647" s="89"/>
      <c r="F647" s="89"/>
    </row>
    <row r="648" spans="5:6" ht="25.5" customHeight="1">
      <c r="E648" s="89"/>
      <c r="F648" s="89"/>
    </row>
    <row r="649" spans="5:6" ht="25.5" customHeight="1">
      <c r="E649" s="89"/>
      <c r="F649" s="89"/>
    </row>
    <row r="650" spans="5:6" ht="25.5" customHeight="1">
      <c r="E650" s="89"/>
      <c r="F650" s="89"/>
    </row>
    <row r="651" spans="5:6" ht="25.5" customHeight="1">
      <c r="E651" s="89"/>
      <c r="F651" s="89"/>
    </row>
    <row r="652" spans="5:6" ht="25.5" customHeight="1">
      <c r="E652" s="89"/>
      <c r="F652" s="89"/>
    </row>
    <row r="653" spans="5:6" ht="25.5" customHeight="1">
      <c r="E653" s="89"/>
      <c r="F653" s="89"/>
    </row>
    <row r="654" spans="5:6" ht="25.5" customHeight="1">
      <c r="E654" s="89"/>
      <c r="F654" s="89"/>
    </row>
    <row r="655" spans="5:6" ht="25.5" customHeight="1">
      <c r="E655" s="89"/>
      <c r="F655" s="89"/>
    </row>
    <row r="656" spans="5:6" ht="25.5" customHeight="1">
      <c r="E656" s="89"/>
      <c r="F656" s="89"/>
    </row>
    <row r="657" spans="5:6" ht="25.5" customHeight="1">
      <c r="E657" s="89"/>
      <c r="F657" s="89"/>
    </row>
    <row r="658" spans="5:6" ht="25.5" customHeight="1">
      <c r="E658" s="89"/>
      <c r="F658" s="89"/>
    </row>
    <row r="659" spans="5:6" ht="25.5" customHeight="1">
      <c r="E659" s="89"/>
      <c r="F659" s="89"/>
    </row>
    <row r="660" spans="5:6" ht="25.5" customHeight="1">
      <c r="E660" s="89"/>
      <c r="F660" s="89"/>
    </row>
    <row r="661" spans="5:6" ht="25.5" customHeight="1">
      <c r="E661" s="89"/>
      <c r="F661" s="89"/>
    </row>
    <row r="662" spans="5:6" ht="25.5" customHeight="1">
      <c r="E662" s="89"/>
      <c r="F662" s="89"/>
    </row>
    <row r="663" spans="5:6" ht="25.5" customHeight="1">
      <c r="E663" s="89"/>
      <c r="F663" s="89"/>
    </row>
    <row r="664" spans="5:6" ht="25.5" customHeight="1">
      <c r="E664" s="89"/>
      <c r="F664" s="89"/>
    </row>
    <row r="665" spans="5:6" ht="25.5" customHeight="1">
      <c r="E665" s="89"/>
      <c r="F665" s="89"/>
    </row>
    <row r="666" spans="5:6" ht="25.5" customHeight="1">
      <c r="E666" s="89"/>
      <c r="F666" s="89"/>
    </row>
    <row r="667" spans="5:6" ht="25.5" customHeight="1">
      <c r="E667" s="89"/>
      <c r="F667" s="89"/>
    </row>
    <row r="668" spans="5:6" ht="25.5" customHeight="1">
      <c r="E668" s="89"/>
      <c r="F668" s="89"/>
    </row>
    <row r="669" spans="5:6" ht="25.5" customHeight="1">
      <c r="E669" s="89"/>
      <c r="F669" s="89"/>
    </row>
    <row r="670" spans="5:6" ht="25.5" customHeight="1">
      <c r="E670" s="89"/>
      <c r="F670" s="89"/>
    </row>
    <row r="671" spans="5:6" ht="25.5" customHeight="1">
      <c r="E671" s="89"/>
      <c r="F671" s="89"/>
    </row>
    <row r="672" spans="5:6" ht="25.5" customHeight="1">
      <c r="E672" s="89"/>
      <c r="F672" s="89"/>
    </row>
    <row r="673" spans="5:6" ht="25.5" customHeight="1">
      <c r="E673" s="89"/>
      <c r="F673" s="89"/>
    </row>
    <row r="674" spans="5:6" ht="25.5" customHeight="1">
      <c r="E674" s="89"/>
      <c r="F674" s="89"/>
    </row>
    <row r="675" spans="5:6" ht="25.5" customHeight="1">
      <c r="E675" s="89"/>
      <c r="F675" s="89"/>
    </row>
    <row r="676" spans="5:6" ht="25.5" customHeight="1">
      <c r="E676" s="89"/>
      <c r="F676" s="89"/>
    </row>
    <row r="677" spans="5:6" ht="25.5" customHeight="1">
      <c r="E677" s="89"/>
      <c r="F677" s="89"/>
    </row>
    <row r="678" spans="5:6" ht="25.5" customHeight="1">
      <c r="E678" s="89"/>
      <c r="F678" s="89"/>
    </row>
    <row r="679" spans="5:6" ht="25.5" customHeight="1">
      <c r="E679" s="89"/>
      <c r="F679" s="89"/>
    </row>
    <row r="680" spans="5:6" ht="25.5" customHeight="1">
      <c r="E680" s="89"/>
      <c r="F680" s="89"/>
    </row>
    <row r="681" spans="5:6" ht="25.5" customHeight="1">
      <c r="E681" s="89"/>
      <c r="F681" s="89"/>
    </row>
    <row r="682" spans="5:6" ht="25.5" customHeight="1">
      <c r="E682" s="89"/>
      <c r="F682" s="89"/>
    </row>
    <row r="683" spans="5:6" ht="25.5" customHeight="1">
      <c r="E683" s="89"/>
      <c r="F683" s="89"/>
    </row>
    <row r="684" spans="5:6" ht="25.5" customHeight="1">
      <c r="E684" s="89"/>
      <c r="F684" s="89"/>
    </row>
    <row r="685" spans="5:6" ht="25.5" customHeight="1">
      <c r="E685" s="89"/>
      <c r="F685" s="89"/>
    </row>
    <row r="686" spans="5:6" ht="25.5" customHeight="1">
      <c r="E686" s="89"/>
      <c r="F686" s="89"/>
    </row>
    <row r="687" spans="5:6" ht="25.5" customHeight="1">
      <c r="E687" s="89"/>
      <c r="F687" s="89"/>
    </row>
    <row r="688" spans="5:6" ht="25.5" customHeight="1">
      <c r="E688" s="89"/>
      <c r="F688" s="89"/>
    </row>
    <row r="689" spans="5:6" ht="25.5" customHeight="1">
      <c r="E689" s="89"/>
      <c r="F689" s="89"/>
    </row>
    <row r="690" spans="5:6" ht="25.5" customHeight="1">
      <c r="E690" s="89"/>
      <c r="F690" s="89"/>
    </row>
    <row r="691" spans="5:6" ht="25.5" customHeight="1">
      <c r="E691" s="89"/>
      <c r="F691" s="89"/>
    </row>
    <row r="692" spans="5:6" ht="25.5" customHeight="1">
      <c r="E692" s="89"/>
      <c r="F692" s="89"/>
    </row>
    <row r="693" spans="5:6" ht="25.5" customHeight="1">
      <c r="E693" s="89"/>
      <c r="F693" s="89"/>
    </row>
    <row r="694" spans="5:6" ht="25.5" customHeight="1">
      <c r="E694" s="89"/>
      <c r="F694" s="89"/>
    </row>
    <row r="695" spans="5:6" ht="25.5" customHeight="1">
      <c r="E695" s="89"/>
      <c r="F695" s="89"/>
    </row>
    <row r="696" spans="5:6" ht="25.5" customHeight="1">
      <c r="E696" s="89"/>
      <c r="F696" s="89"/>
    </row>
    <row r="697" spans="5:6" ht="25.5" customHeight="1">
      <c r="E697" s="89"/>
      <c r="F697" s="89"/>
    </row>
    <row r="698" spans="5:6" ht="25.5" customHeight="1">
      <c r="E698" s="89"/>
      <c r="F698" s="89"/>
    </row>
    <row r="699" spans="5:6" ht="25.5" customHeight="1">
      <c r="E699" s="89"/>
      <c r="F699" s="89"/>
    </row>
    <row r="700" spans="5:6" ht="25.5" customHeight="1">
      <c r="E700" s="89"/>
      <c r="F700" s="89"/>
    </row>
    <row r="701" spans="5:6" ht="25.5" customHeight="1">
      <c r="E701" s="89"/>
      <c r="F701" s="89"/>
    </row>
    <row r="702" spans="5:6" ht="25.5" customHeight="1">
      <c r="E702" s="89"/>
      <c r="F702" s="89"/>
    </row>
    <row r="703" spans="5:6" ht="25.5" customHeight="1">
      <c r="E703" s="89"/>
      <c r="F703" s="89"/>
    </row>
    <row r="704" spans="5:6" ht="25.5" customHeight="1">
      <c r="E704" s="89"/>
      <c r="F704" s="89"/>
    </row>
    <row r="705" spans="5:6" ht="25.5" customHeight="1">
      <c r="E705" s="89"/>
      <c r="F705" s="89"/>
    </row>
    <row r="706" spans="5:6" ht="25.5" customHeight="1">
      <c r="E706" s="89"/>
      <c r="F706" s="89"/>
    </row>
    <row r="707" spans="5:6" ht="25.5" customHeight="1">
      <c r="E707" s="89"/>
      <c r="F707" s="89"/>
    </row>
    <row r="708" spans="5:6" ht="25.5" customHeight="1">
      <c r="E708" s="89"/>
      <c r="F708" s="89"/>
    </row>
    <row r="709" spans="5:6" ht="25.5" customHeight="1">
      <c r="E709" s="89"/>
      <c r="F709" s="89"/>
    </row>
    <row r="710" spans="5:6" ht="25.5" customHeight="1">
      <c r="E710" s="89"/>
      <c r="F710" s="89"/>
    </row>
    <row r="711" spans="5:6" ht="25.5" customHeight="1">
      <c r="E711" s="89"/>
      <c r="F711" s="89"/>
    </row>
    <row r="712" spans="5:6" ht="25.5" customHeight="1">
      <c r="E712" s="89"/>
      <c r="F712" s="89"/>
    </row>
    <row r="713" spans="5:6" ht="25.5" customHeight="1">
      <c r="E713" s="89"/>
      <c r="F713" s="89"/>
    </row>
    <row r="714" spans="5:6" ht="25.5" customHeight="1">
      <c r="E714" s="89"/>
      <c r="F714" s="89"/>
    </row>
    <row r="715" spans="5:6" ht="25.5" customHeight="1">
      <c r="E715" s="89"/>
      <c r="F715" s="89"/>
    </row>
    <row r="716" spans="5:6" ht="25.5" customHeight="1">
      <c r="E716" s="89"/>
      <c r="F716" s="89"/>
    </row>
    <row r="717" spans="5:6" ht="25.5" customHeight="1">
      <c r="E717" s="89"/>
      <c r="F717" s="89"/>
    </row>
    <row r="718" spans="5:6" ht="25.5" customHeight="1">
      <c r="E718" s="89"/>
      <c r="F718" s="89"/>
    </row>
    <row r="719" spans="5:6" ht="25.5" customHeight="1">
      <c r="E719" s="89"/>
      <c r="F719" s="89"/>
    </row>
    <row r="720" spans="5:6" ht="25.5" customHeight="1">
      <c r="E720" s="89"/>
      <c r="F720" s="89"/>
    </row>
    <row r="721" spans="5:6" ht="25.5" customHeight="1">
      <c r="E721" s="89"/>
      <c r="F721" s="89"/>
    </row>
    <row r="722" spans="5:6" ht="25.5" customHeight="1">
      <c r="E722" s="89"/>
      <c r="F722" s="89"/>
    </row>
    <row r="723" spans="5:6" ht="25.5" customHeight="1">
      <c r="E723" s="89"/>
      <c r="F723" s="89"/>
    </row>
    <row r="724" spans="5:6" ht="25.5" customHeight="1">
      <c r="E724" s="89"/>
      <c r="F724" s="89"/>
    </row>
    <row r="725" spans="5:6" ht="25.5" customHeight="1">
      <c r="E725" s="89"/>
      <c r="F725" s="89"/>
    </row>
    <row r="726" spans="5:6" ht="25.5" customHeight="1">
      <c r="E726" s="89"/>
      <c r="F726" s="89"/>
    </row>
    <row r="727" spans="5:6" ht="25.5" customHeight="1">
      <c r="E727" s="89"/>
      <c r="F727" s="89"/>
    </row>
    <row r="728" spans="5:6" ht="25.5" customHeight="1">
      <c r="E728" s="89"/>
      <c r="F728" s="89"/>
    </row>
    <row r="729" spans="5:6" ht="25.5" customHeight="1">
      <c r="E729" s="89"/>
      <c r="F729" s="89"/>
    </row>
    <row r="730" spans="5:6" ht="25.5" customHeight="1">
      <c r="E730" s="89"/>
      <c r="F730" s="89"/>
    </row>
    <row r="731" spans="5:6" ht="25.5" customHeight="1">
      <c r="E731" s="89"/>
      <c r="F731" s="89"/>
    </row>
    <row r="732" spans="5:6" ht="25.5" customHeight="1">
      <c r="E732" s="89"/>
      <c r="F732" s="89"/>
    </row>
    <row r="733" spans="5:6" ht="25.5" customHeight="1">
      <c r="E733" s="89"/>
      <c r="F733" s="89"/>
    </row>
    <row r="734" spans="5:6" ht="25.5" customHeight="1">
      <c r="E734" s="89"/>
      <c r="F734" s="89"/>
    </row>
    <row r="735" spans="5:6" ht="25.5" customHeight="1">
      <c r="E735" s="89"/>
      <c r="F735" s="89"/>
    </row>
    <row r="736" spans="5:6" ht="25.5" customHeight="1">
      <c r="E736" s="89"/>
      <c r="F736" s="89"/>
    </row>
    <row r="737" spans="5:6" ht="25.5" customHeight="1">
      <c r="E737" s="89"/>
      <c r="F737" s="89"/>
    </row>
    <row r="738" spans="5:6" ht="25.5" customHeight="1">
      <c r="E738" s="89"/>
      <c r="F738" s="89"/>
    </row>
    <row r="739" spans="5:6" ht="25.5" customHeight="1">
      <c r="E739" s="89"/>
      <c r="F739" s="89"/>
    </row>
    <row r="740" spans="5:6" ht="25.5" customHeight="1">
      <c r="E740" s="89"/>
      <c r="F740" s="89"/>
    </row>
    <row r="741" spans="5:6" ht="25.5" customHeight="1">
      <c r="E741" s="89"/>
      <c r="F741" s="89"/>
    </row>
    <row r="742" spans="5:6" ht="25.5" customHeight="1">
      <c r="E742" s="89"/>
      <c r="F742" s="89"/>
    </row>
    <row r="743" spans="5:6" ht="25.5" customHeight="1">
      <c r="E743" s="89"/>
      <c r="F743" s="89"/>
    </row>
    <row r="744" spans="5:6" ht="25.5" customHeight="1">
      <c r="E744" s="89"/>
      <c r="F744" s="89"/>
    </row>
    <row r="745" spans="5:6" ht="25.5" customHeight="1">
      <c r="E745" s="89"/>
      <c r="F745" s="89"/>
    </row>
    <row r="746" spans="5:6" ht="25.5" customHeight="1">
      <c r="E746" s="89"/>
      <c r="F746" s="89"/>
    </row>
    <row r="747" spans="5:6" ht="25.5" customHeight="1">
      <c r="E747" s="89"/>
      <c r="F747" s="89"/>
    </row>
    <row r="748" spans="5:6" ht="25.5" customHeight="1">
      <c r="E748" s="89"/>
      <c r="F748" s="89"/>
    </row>
    <row r="749" spans="5:6" ht="25.5" customHeight="1">
      <c r="E749" s="89"/>
      <c r="F749" s="89"/>
    </row>
    <row r="750" spans="5:6" ht="25.5" customHeight="1">
      <c r="E750" s="89"/>
      <c r="F750" s="89"/>
    </row>
    <row r="751" spans="5:6" ht="25.5" customHeight="1">
      <c r="E751" s="89"/>
      <c r="F751" s="89"/>
    </row>
    <row r="752" spans="5:6" ht="25.5" customHeight="1">
      <c r="E752" s="89"/>
      <c r="F752" s="89"/>
    </row>
    <row r="753" spans="5:6" ht="25.5" customHeight="1">
      <c r="E753" s="89"/>
      <c r="F753" s="89"/>
    </row>
    <row r="754" spans="5:6" ht="25.5" customHeight="1">
      <c r="E754" s="89"/>
      <c r="F754" s="89"/>
    </row>
    <row r="755" spans="5:6" ht="25.5" customHeight="1">
      <c r="E755" s="89"/>
      <c r="F755" s="89"/>
    </row>
    <row r="756" spans="5:6" ht="25.5" customHeight="1">
      <c r="E756" s="89"/>
      <c r="F756" s="89"/>
    </row>
    <row r="757" spans="5:6" ht="25.5" customHeight="1">
      <c r="E757" s="89"/>
      <c r="F757" s="89"/>
    </row>
    <row r="758" spans="5:6" ht="25.5" customHeight="1">
      <c r="E758" s="89"/>
      <c r="F758" s="89"/>
    </row>
    <row r="759" spans="5:6" ht="25.5" customHeight="1">
      <c r="E759" s="89"/>
      <c r="F759" s="89"/>
    </row>
    <row r="760" spans="5:6" ht="25.5" customHeight="1">
      <c r="E760" s="89"/>
      <c r="F760" s="89"/>
    </row>
    <row r="761" spans="5:6" ht="25.5" customHeight="1">
      <c r="E761" s="89"/>
      <c r="F761" s="89"/>
    </row>
    <row r="762" spans="5:6" ht="25.5" customHeight="1">
      <c r="E762" s="89"/>
      <c r="F762" s="89"/>
    </row>
    <row r="763" spans="5:6" ht="25.5" customHeight="1">
      <c r="E763" s="89"/>
      <c r="F763" s="89"/>
    </row>
    <row r="764" spans="5:6" ht="25.5" customHeight="1">
      <c r="E764" s="89"/>
      <c r="F764" s="89"/>
    </row>
    <row r="765" spans="5:6" ht="25.5" customHeight="1">
      <c r="E765" s="89"/>
      <c r="F765" s="89"/>
    </row>
    <row r="766" spans="5:6" ht="25.5" customHeight="1">
      <c r="E766" s="89"/>
      <c r="F766" s="89"/>
    </row>
    <row r="767" spans="5:6" ht="25.5" customHeight="1">
      <c r="E767" s="89"/>
      <c r="F767" s="89"/>
    </row>
    <row r="768" spans="5:6" ht="25.5" customHeight="1">
      <c r="E768" s="89"/>
      <c r="F768" s="89"/>
    </row>
    <row r="769" spans="5:6" ht="25.5" customHeight="1">
      <c r="E769" s="89"/>
      <c r="F769" s="89"/>
    </row>
    <row r="770" spans="5:6" ht="25.5" customHeight="1">
      <c r="E770" s="89"/>
      <c r="F770" s="89"/>
    </row>
    <row r="771" spans="5:6" ht="25.5" customHeight="1">
      <c r="E771" s="89"/>
      <c r="F771" s="89"/>
    </row>
    <row r="772" spans="5:6" ht="25.5" customHeight="1">
      <c r="E772" s="89"/>
      <c r="F772" s="89"/>
    </row>
    <row r="773" spans="5:6" ht="25.5" customHeight="1">
      <c r="E773" s="89"/>
      <c r="F773" s="89"/>
    </row>
    <row r="774" spans="5:6" ht="25.5" customHeight="1">
      <c r="E774" s="89"/>
      <c r="F774" s="89"/>
    </row>
    <row r="775" spans="5:6" ht="25.5" customHeight="1">
      <c r="E775" s="89"/>
      <c r="F775" s="89"/>
    </row>
    <row r="776" spans="5:6" ht="25.5" customHeight="1">
      <c r="E776" s="89"/>
      <c r="F776" s="89"/>
    </row>
    <row r="777" spans="5:6" ht="25.5" customHeight="1">
      <c r="E777" s="89"/>
      <c r="F777" s="89"/>
    </row>
    <row r="778" spans="5:6" ht="25.5" customHeight="1">
      <c r="E778" s="89"/>
      <c r="F778" s="89"/>
    </row>
    <row r="779" spans="5:6" ht="25.5" customHeight="1">
      <c r="E779" s="89"/>
      <c r="F779" s="89"/>
    </row>
    <row r="780" spans="5:6" ht="25.5" customHeight="1">
      <c r="E780" s="89"/>
      <c r="F780" s="89"/>
    </row>
    <row r="781" spans="5:6" ht="25.5" customHeight="1">
      <c r="E781" s="89"/>
      <c r="F781" s="89"/>
    </row>
    <row r="782" spans="5:6" ht="25.5" customHeight="1">
      <c r="E782" s="89"/>
      <c r="F782" s="89"/>
    </row>
    <row r="783" spans="5:6" ht="25.5" customHeight="1">
      <c r="E783" s="89"/>
      <c r="F783" s="89"/>
    </row>
    <row r="784" spans="5:6" ht="25.5" customHeight="1">
      <c r="E784" s="89"/>
      <c r="F784" s="89"/>
    </row>
    <row r="785" spans="5:6" ht="25.5" customHeight="1">
      <c r="E785" s="89"/>
      <c r="F785" s="89"/>
    </row>
    <row r="786" spans="5:6" ht="25.5" customHeight="1">
      <c r="E786" s="89"/>
      <c r="F786" s="89"/>
    </row>
    <row r="787" spans="5:6" ht="25.5" customHeight="1">
      <c r="E787" s="89"/>
      <c r="F787" s="89"/>
    </row>
    <row r="788" spans="5:6" ht="25.5" customHeight="1">
      <c r="E788" s="89"/>
      <c r="F788" s="89"/>
    </row>
    <row r="789" spans="5:6" ht="25.5" customHeight="1">
      <c r="E789" s="89"/>
      <c r="F789" s="89"/>
    </row>
    <row r="790" spans="5:6" ht="25.5" customHeight="1">
      <c r="E790" s="89"/>
      <c r="F790" s="89"/>
    </row>
    <row r="791" spans="5:6" ht="25.5" customHeight="1">
      <c r="E791" s="89"/>
      <c r="F791" s="89"/>
    </row>
    <row r="792" spans="5:6" ht="25.5" customHeight="1">
      <c r="E792" s="89"/>
      <c r="F792" s="89"/>
    </row>
    <row r="793" spans="5:6" ht="25.5" customHeight="1">
      <c r="E793" s="89"/>
      <c r="F793" s="89"/>
    </row>
    <row r="794" spans="5:6" ht="25.5" customHeight="1">
      <c r="E794" s="89"/>
      <c r="F794" s="89"/>
    </row>
    <row r="795" spans="5:6" ht="25.5" customHeight="1">
      <c r="E795" s="89"/>
      <c r="F795" s="89"/>
    </row>
    <row r="796" spans="5:6" ht="25.5" customHeight="1">
      <c r="E796" s="89"/>
      <c r="F796" s="89"/>
    </row>
    <row r="797" spans="5:6" ht="25.5" customHeight="1">
      <c r="E797" s="89"/>
      <c r="F797" s="89"/>
    </row>
    <row r="798" spans="5:6" ht="25.5" customHeight="1">
      <c r="E798" s="89"/>
      <c r="F798" s="89"/>
    </row>
    <row r="799" spans="5:6" ht="25.5" customHeight="1">
      <c r="E799" s="89"/>
      <c r="F799" s="89"/>
    </row>
    <row r="800" spans="5:6" ht="25.5" customHeight="1">
      <c r="E800" s="89"/>
      <c r="F800" s="89"/>
    </row>
    <row r="801" spans="5:6" ht="25.5" customHeight="1">
      <c r="E801" s="89"/>
      <c r="F801" s="89"/>
    </row>
    <row r="802" spans="5:6" ht="25.5" customHeight="1">
      <c r="E802" s="89"/>
      <c r="F802" s="89"/>
    </row>
    <row r="803" spans="5:6" ht="25.5" customHeight="1">
      <c r="E803" s="89"/>
      <c r="F803" s="89"/>
    </row>
    <row r="804" spans="5:6" ht="25.5" customHeight="1">
      <c r="E804" s="89"/>
      <c r="F804" s="89"/>
    </row>
    <row r="805" spans="5:6" ht="25.5" customHeight="1">
      <c r="E805" s="89"/>
      <c r="F805" s="89"/>
    </row>
    <row r="806" spans="5:6" ht="25.5" customHeight="1">
      <c r="E806" s="89"/>
      <c r="F806" s="89"/>
    </row>
    <row r="807" spans="5:6" ht="25.5" customHeight="1">
      <c r="E807" s="89"/>
      <c r="F807" s="89"/>
    </row>
    <row r="808" spans="5:6" ht="25.5" customHeight="1">
      <c r="E808" s="89"/>
      <c r="F808" s="89"/>
    </row>
    <row r="809" spans="5:6" ht="25.5" customHeight="1">
      <c r="E809" s="89"/>
      <c r="F809" s="89"/>
    </row>
    <row r="810" spans="5:6" ht="25.5" customHeight="1">
      <c r="E810" s="89"/>
      <c r="F810" s="89"/>
    </row>
    <row r="811" spans="5:6" ht="25.5" customHeight="1">
      <c r="E811" s="89"/>
      <c r="F811" s="89"/>
    </row>
    <row r="812" spans="5:6" ht="25.5" customHeight="1">
      <c r="E812" s="89"/>
      <c r="F812" s="89"/>
    </row>
    <row r="813" spans="5:6" ht="25.5" customHeight="1">
      <c r="E813" s="89"/>
      <c r="F813" s="89"/>
    </row>
    <row r="814" spans="5:6" ht="25.5" customHeight="1">
      <c r="E814" s="89"/>
      <c r="F814" s="89"/>
    </row>
    <row r="815" spans="5:6" ht="25.5" customHeight="1">
      <c r="E815" s="89"/>
      <c r="F815" s="89"/>
    </row>
    <row r="816" spans="5:6" ht="25.5" customHeight="1">
      <c r="E816" s="89"/>
      <c r="F816" s="89"/>
    </row>
    <row r="817" spans="5:6" ht="25.5" customHeight="1">
      <c r="E817" s="89"/>
      <c r="F817" s="89"/>
    </row>
    <row r="818" spans="5:6" ht="25.5" customHeight="1">
      <c r="E818" s="89"/>
      <c r="F818" s="89"/>
    </row>
    <row r="819" spans="5:6" ht="25.5" customHeight="1">
      <c r="E819" s="89"/>
      <c r="F819" s="89"/>
    </row>
    <row r="820" spans="5:6" ht="25.5" customHeight="1">
      <c r="E820" s="89"/>
      <c r="F820" s="89"/>
    </row>
    <row r="821" spans="5:6" ht="25.5" customHeight="1">
      <c r="E821" s="89"/>
      <c r="F821" s="89"/>
    </row>
    <row r="822" spans="5:6" ht="25.5" customHeight="1">
      <c r="E822" s="89"/>
      <c r="F822" s="89"/>
    </row>
    <row r="823" spans="5:6" ht="25.5" customHeight="1">
      <c r="E823" s="89"/>
      <c r="F823" s="89"/>
    </row>
    <row r="824" spans="5:6" ht="25.5" customHeight="1">
      <c r="E824" s="89"/>
      <c r="F824" s="89"/>
    </row>
    <row r="825" spans="5:6" ht="25.5" customHeight="1">
      <c r="E825" s="89"/>
      <c r="F825" s="89"/>
    </row>
    <row r="826" spans="5:6" ht="25.5" customHeight="1">
      <c r="E826" s="89"/>
      <c r="F826" s="89"/>
    </row>
    <row r="827" spans="5:6" ht="25.5" customHeight="1">
      <c r="E827" s="89"/>
      <c r="F827" s="89"/>
    </row>
    <row r="828" spans="5:6" ht="25.5" customHeight="1">
      <c r="E828" s="89"/>
      <c r="F828" s="89"/>
    </row>
    <row r="829" spans="5:6" ht="25.5" customHeight="1">
      <c r="E829" s="89"/>
      <c r="F829" s="89"/>
    </row>
    <row r="830" spans="5:6" ht="25.5" customHeight="1">
      <c r="E830" s="89"/>
      <c r="F830" s="89"/>
    </row>
    <row r="831" spans="5:6" ht="25.5" customHeight="1">
      <c r="E831" s="89"/>
      <c r="F831" s="89"/>
    </row>
    <row r="832" spans="5:6" ht="25.5" customHeight="1">
      <c r="E832" s="89"/>
      <c r="F832" s="89"/>
    </row>
    <row r="833" spans="5:6" ht="25.5" customHeight="1">
      <c r="E833" s="89"/>
      <c r="F833" s="89"/>
    </row>
    <row r="834" spans="5:6" ht="25.5" customHeight="1">
      <c r="E834" s="89"/>
      <c r="F834" s="89"/>
    </row>
    <row r="835" spans="5:6" ht="25.5" customHeight="1">
      <c r="E835" s="89"/>
      <c r="F835" s="89"/>
    </row>
    <row r="836" spans="5:6" ht="25.5" customHeight="1">
      <c r="E836" s="89"/>
      <c r="F836" s="89"/>
    </row>
    <row r="837" spans="5:6" ht="25.5" customHeight="1">
      <c r="E837" s="89"/>
      <c r="F837" s="89"/>
    </row>
    <row r="838" spans="5:6" ht="25.5" customHeight="1">
      <c r="E838" s="89"/>
      <c r="F838" s="89"/>
    </row>
    <row r="839" spans="5:6" ht="25.5" customHeight="1">
      <c r="E839" s="89"/>
      <c r="F839" s="89"/>
    </row>
    <row r="840" spans="5:6" ht="25.5" customHeight="1">
      <c r="E840" s="89"/>
      <c r="F840" s="89"/>
    </row>
    <row r="841" spans="5:6" ht="25.5" customHeight="1">
      <c r="E841" s="89"/>
      <c r="F841" s="89"/>
    </row>
    <row r="842" spans="5:6" ht="25.5" customHeight="1">
      <c r="E842" s="89"/>
      <c r="F842" s="89"/>
    </row>
    <row r="843" spans="5:6" ht="25.5" customHeight="1">
      <c r="E843" s="89"/>
      <c r="F843" s="89"/>
    </row>
    <row r="844" spans="5:6" ht="25.5" customHeight="1">
      <c r="E844" s="89"/>
      <c r="F844" s="89"/>
    </row>
    <row r="845" spans="5:6" ht="25.5" customHeight="1">
      <c r="E845" s="89"/>
      <c r="F845" s="89"/>
    </row>
    <row r="846" spans="5:6" ht="25.5" customHeight="1">
      <c r="E846" s="89"/>
      <c r="F846" s="89"/>
    </row>
    <row r="847" spans="5:6" ht="25.5" customHeight="1">
      <c r="E847" s="89"/>
      <c r="F847" s="89"/>
    </row>
    <row r="848" spans="5:6" ht="25.5" customHeight="1">
      <c r="E848" s="89"/>
      <c r="F848" s="89"/>
    </row>
    <row r="849" spans="5:6" ht="25.5" customHeight="1">
      <c r="E849" s="89"/>
      <c r="F849" s="89"/>
    </row>
    <row r="850" spans="5:6" ht="25.5" customHeight="1">
      <c r="E850" s="89"/>
      <c r="F850" s="89"/>
    </row>
    <row r="851" spans="5:6" ht="25.5" customHeight="1">
      <c r="E851" s="89"/>
      <c r="F851" s="89"/>
    </row>
    <row r="852" spans="5:6" ht="25.5" customHeight="1">
      <c r="E852" s="89"/>
      <c r="F852" s="89"/>
    </row>
    <row r="853" spans="5:6" ht="25.5" customHeight="1">
      <c r="E853" s="89"/>
      <c r="F853" s="89"/>
    </row>
    <row r="854" spans="5:6" ht="25.5" customHeight="1">
      <c r="E854" s="89"/>
      <c r="F854" s="89"/>
    </row>
    <row r="855" spans="5:6" ht="25.5" customHeight="1">
      <c r="E855" s="89"/>
      <c r="F855" s="89"/>
    </row>
    <row r="856" spans="5:6" ht="25.5" customHeight="1">
      <c r="E856" s="89"/>
      <c r="F856" s="89"/>
    </row>
    <row r="857" spans="5:6" ht="25.5" customHeight="1">
      <c r="E857" s="89"/>
      <c r="F857" s="89"/>
    </row>
    <row r="858" spans="5:6" ht="25.5" customHeight="1">
      <c r="E858" s="89"/>
      <c r="F858" s="89"/>
    </row>
    <row r="859" spans="5:6" ht="25.5" customHeight="1">
      <c r="E859" s="89"/>
      <c r="F859" s="89"/>
    </row>
    <row r="860" spans="5:6" ht="25.5" customHeight="1">
      <c r="E860" s="89"/>
      <c r="F860" s="89"/>
    </row>
    <row r="861" spans="5:6" ht="25.5" customHeight="1">
      <c r="E861" s="89"/>
      <c r="F861" s="89"/>
    </row>
    <row r="862" spans="5:6" ht="25.5" customHeight="1">
      <c r="E862" s="89"/>
      <c r="F862" s="89"/>
    </row>
    <row r="863" spans="5:6" ht="25.5" customHeight="1">
      <c r="E863" s="89"/>
      <c r="F863" s="89"/>
    </row>
    <row r="864" spans="5:6" ht="25.5" customHeight="1">
      <c r="E864" s="89"/>
      <c r="F864" s="89"/>
    </row>
    <row r="865" spans="5:6" ht="25.5" customHeight="1">
      <c r="E865" s="89"/>
      <c r="F865" s="89"/>
    </row>
    <row r="866" spans="5:6" ht="25.5" customHeight="1">
      <c r="E866" s="89"/>
      <c r="F866" s="89"/>
    </row>
    <row r="867" spans="5:6" ht="25.5" customHeight="1">
      <c r="E867" s="89"/>
      <c r="F867" s="89"/>
    </row>
    <row r="868" spans="5:6" ht="25.5" customHeight="1">
      <c r="E868" s="89"/>
      <c r="F868" s="89"/>
    </row>
    <row r="869" spans="5:6" ht="25.5" customHeight="1">
      <c r="E869" s="89"/>
      <c r="F869" s="89"/>
    </row>
    <row r="870" spans="5:6" ht="25.5" customHeight="1">
      <c r="E870" s="89"/>
      <c r="F870" s="89"/>
    </row>
    <row r="871" spans="5:6" ht="25.5" customHeight="1">
      <c r="E871" s="89"/>
      <c r="F871" s="89"/>
    </row>
    <row r="872" spans="5:6" ht="25.5" customHeight="1">
      <c r="E872" s="89"/>
      <c r="F872" s="89"/>
    </row>
    <row r="873" spans="5:6" ht="25.5" customHeight="1">
      <c r="E873" s="89"/>
      <c r="F873" s="89"/>
    </row>
    <row r="874" spans="5:6" ht="25.5" customHeight="1">
      <c r="E874" s="89"/>
      <c r="F874" s="89"/>
    </row>
    <row r="875" spans="5:6" ht="25.5" customHeight="1">
      <c r="E875" s="89"/>
      <c r="F875" s="89"/>
    </row>
    <row r="876" spans="5:6" ht="25.5" customHeight="1">
      <c r="E876" s="89"/>
      <c r="F876" s="89"/>
    </row>
    <row r="877" spans="5:6" ht="25.5" customHeight="1">
      <c r="E877" s="89"/>
      <c r="F877" s="89"/>
    </row>
    <row r="878" spans="5:6" ht="25.5" customHeight="1">
      <c r="E878" s="89"/>
      <c r="F878" s="89"/>
    </row>
    <row r="879" spans="5:6" ht="25.5" customHeight="1">
      <c r="E879" s="89"/>
      <c r="F879" s="89"/>
    </row>
    <row r="880" spans="5:6" ht="25.5" customHeight="1">
      <c r="E880" s="89"/>
      <c r="F880" s="89"/>
    </row>
    <row r="881" spans="5:6" ht="25.5" customHeight="1">
      <c r="E881" s="89"/>
      <c r="F881" s="89"/>
    </row>
    <row r="882" spans="5:6" ht="25.5" customHeight="1">
      <c r="E882" s="89"/>
      <c r="F882" s="89"/>
    </row>
    <row r="883" spans="5:6" ht="25.5" customHeight="1">
      <c r="E883" s="89"/>
      <c r="F883" s="89"/>
    </row>
    <row r="884" spans="5:6" ht="25.5" customHeight="1">
      <c r="E884" s="89"/>
      <c r="F884" s="89"/>
    </row>
    <row r="885" spans="5:6" ht="25.5" customHeight="1">
      <c r="E885" s="89"/>
      <c r="F885" s="89"/>
    </row>
    <row r="886" spans="5:6" ht="25.5" customHeight="1">
      <c r="E886" s="89"/>
      <c r="F886" s="89"/>
    </row>
    <row r="887" spans="5:6" ht="25.5" customHeight="1">
      <c r="E887" s="89"/>
      <c r="F887" s="89"/>
    </row>
    <row r="888" spans="5:6" ht="25.5" customHeight="1">
      <c r="E888" s="89"/>
      <c r="F888" s="89"/>
    </row>
    <row r="889" spans="5:6" ht="25.5" customHeight="1">
      <c r="E889" s="89"/>
      <c r="F889" s="89"/>
    </row>
    <row r="890" spans="5:6" ht="25.5" customHeight="1">
      <c r="E890" s="89"/>
      <c r="F890" s="89"/>
    </row>
    <row r="891" spans="5:6" ht="25.5" customHeight="1">
      <c r="E891" s="89"/>
      <c r="F891" s="89"/>
    </row>
    <row r="892" spans="5:6" ht="25.5" customHeight="1">
      <c r="E892" s="89"/>
      <c r="F892" s="89"/>
    </row>
    <row r="893" spans="5:6" ht="25.5" customHeight="1">
      <c r="E893" s="89"/>
      <c r="F893" s="89"/>
    </row>
    <row r="894" spans="5:6" ht="25.5" customHeight="1">
      <c r="E894" s="89"/>
      <c r="F894" s="89"/>
    </row>
    <row r="895" spans="5:6" ht="25.5" customHeight="1">
      <c r="E895" s="89"/>
      <c r="F895" s="89"/>
    </row>
    <row r="896" spans="5:6" ht="25.5" customHeight="1">
      <c r="E896" s="89"/>
      <c r="F896" s="89"/>
    </row>
    <row r="897" spans="5:6" ht="25.5" customHeight="1">
      <c r="E897" s="89"/>
      <c r="F897" s="89"/>
    </row>
    <row r="898" spans="5:6" ht="25.5" customHeight="1">
      <c r="E898" s="89"/>
      <c r="F898" s="89"/>
    </row>
    <row r="899" spans="5:6" ht="25.5" customHeight="1">
      <c r="E899" s="89"/>
      <c r="F899" s="89"/>
    </row>
    <row r="900" spans="5:6" ht="25.5" customHeight="1">
      <c r="E900" s="89"/>
      <c r="F900" s="89"/>
    </row>
    <row r="901" spans="5:6" ht="25.5" customHeight="1">
      <c r="E901" s="89"/>
      <c r="F901" s="89"/>
    </row>
    <row r="902" spans="5:6" ht="25.5" customHeight="1">
      <c r="E902" s="89"/>
      <c r="F902" s="89"/>
    </row>
    <row r="903" spans="5:6" ht="25.5" customHeight="1">
      <c r="E903" s="89"/>
      <c r="F903" s="89"/>
    </row>
    <row r="904" spans="5:6" ht="25.5" customHeight="1">
      <c r="E904" s="89"/>
      <c r="F904" s="89"/>
    </row>
    <row r="905" spans="5:6" ht="25.5" customHeight="1">
      <c r="E905" s="89"/>
      <c r="F905" s="89"/>
    </row>
    <row r="906" spans="5:6" ht="25.5" customHeight="1">
      <c r="E906" s="89"/>
      <c r="F906" s="89"/>
    </row>
    <row r="907" spans="5:6" ht="25.5" customHeight="1">
      <c r="E907" s="89"/>
      <c r="F907" s="89"/>
    </row>
    <row r="908" spans="5:6" ht="25.5" customHeight="1">
      <c r="E908" s="89"/>
      <c r="F908" s="89"/>
    </row>
    <row r="909" spans="5:6" ht="25.5" customHeight="1">
      <c r="E909" s="89"/>
      <c r="F909" s="89"/>
    </row>
    <row r="910" spans="5:6" ht="25.5" customHeight="1">
      <c r="E910" s="89"/>
      <c r="F910" s="89"/>
    </row>
    <row r="911" spans="5:6" ht="25.5" customHeight="1">
      <c r="E911" s="89"/>
      <c r="F911" s="89"/>
    </row>
    <row r="912" spans="5:6" ht="25.5" customHeight="1">
      <c r="E912" s="89"/>
      <c r="F912" s="89"/>
    </row>
    <row r="913" spans="5:6" ht="25.5" customHeight="1">
      <c r="E913" s="89"/>
      <c r="F913" s="89"/>
    </row>
    <row r="914" spans="5:6" ht="25.5" customHeight="1">
      <c r="E914" s="89"/>
      <c r="F914" s="89"/>
    </row>
    <row r="915" spans="5:6" ht="25.5" customHeight="1">
      <c r="E915" s="89"/>
      <c r="F915" s="89"/>
    </row>
    <row r="916" spans="5:6" ht="25.5" customHeight="1">
      <c r="E916" s="89"/>
      <c r="F916" s="89"/>
    </row>
    <row r="917" spans="5:6" ht="25.5" customHeight="1">
      <c r="E917" s="89"/>
      <c r="F917" s="89"/>
    </row>
    <row r="918" spans="5:6" ht="25.5" customHeight="1">
      <c r="E918" s="89"/>
      <c r="F918" s="89"/>
    </row>
    <row r="919" spans="5:6" ht="25.5" customHeight="1">
      <c r="E919" s="89"/>
      <c r="F919" s="89"/>
    </row>
    <row r="920" spans="5:6" ht="25.5" customHeight="1">
      <c r="E920" s="89"/>
      <c r="F920" s="89"/>
    </row>
    <row r="921" spans="5:6" ht="25.5" customHeight="1">
      <c r="E921" s="89"/>
      <c r="F921" s="89"/>
    </row>
    <row r="922" spans="5:6" ht="25.5" customHeight="1">
      <c r="E922" s="89"/>
      <c r="F922" s="89"/>
    </row>
    <row r="923" spans="5:6" ht="25.5" customHeight="1">
      <c r="E923" s="89"/>
      <c r="F923" s="89"/>
    </row>
    <row r="924" spans="5:6" ht="25.5" customHeight="1">
      <c r="E924" s="89"/>
      <c r="F924" s="89"/>
    </row>
    <row r="925" spans="5:6" ht="25.5" customHeight="1">
      <c r="E925" s="89"/>
      <c r="F925" s="89"/>
    </row>
    <row r="926" spans="5:6" ht="25.5" customHeight="1">
      <c r="E926" s="89"/>
      <c r="F926" s="89"/>
    </row>
    <row r="927" spans="5:6" ht="25.5" customHeight="1">
      <c r="E927" s="89"/>
      <c r="F927" s="89"/>
    </row>
    <row r="928" spans="5:6" ht="25.5" customHeight="1">
      <c r="E928" s="89"/>
      <c r="F928" s="89"/>
    </row>
    <row r="929" spans="5:6" ht="25.5" customHeight="1">
      <c r="E929" s="89"/>
      <c r="F929" s="89"/>
    </row>
    <row r="930" spans="5:6" ht="25.5" customHeight="1">
      <c r="E930" s="89"/>
      <c r="F930" s="89"/>
    </row>
    <row r="931" spans="5:6" ht="25.5" customHeight="1">
      <c r="E931" s="89"/>
      <c r="F931" s="89"/>
    </row>
    <row r="932" spans="5:6" ht="25.5" customHeight="1">
      <c r="E932" s="89"/>
      <c r="F932" s="89"/>
    </row>
    <row r="933" spans="5:6" ht="25.5" customHeight="1">
      <c r="E933" s="89"/>
      <c r="F933" s="89"/>
    </row>
    <row r="934" spans="5:6" ht="25.5" customHeight="1">
      <c r="E934" s="89"/>
      <c r="F934" s="89"/>
    </row>
    <row r="935" spans="5:6" ht="25.5" customHeight="1">
      <c r="E935" s="89"/>
      <c r="F935" s="89"/>
    </row>
    <row r="936" spans="5:6" ht="25.5" customHeight="1">
      <c r="E936" s="89"/>
      <c r="F936" s="89"/>
    </row>
    <row r="937" spans="5:6" ht="25.5" customHeight="1">
      <c r="E937" s="89"/>
      <c r="F937" s="89"/>
    </row>
    <row r="938" spans="5:6" ht="25.5" customHeight="1">
      <c r="E938" s="89"/>
      <c r="F938" s="89"/>
    </row>
    <row r="939" spans="5:6" ht="25.5" customHeight="1">
      <c r="E939" s="89"/>
      <c r="F939" s="89"/>
    </row>
    <row r="940" spans="5:6" ht="25.5" customHeight="1">
      <c r="E940" s="89"/>
      <c r="F940" s="89"/>
    </row>
    <row r="941" spans="5:6" ht="25.5" customHeight="1">
      <c r="E941" s="89"/>
      <c r="F941" s="89"/>
    </row>
    <row r="942" spans="5:6" ht="25.5" customHeight="1">
      <c r="E942" s="89"/>
      <c r="F942" s="89"/>
    </row>
    <row r="943" spans="5:6" ht="25.5" customHeight="1">
      <c r="E943" s="89"/>
      <c r="F943" s="89"/>
    </row>
    <row r="944" spans="5:6" ht="25.5" customHeight="1">
      <c r="E944" s="89"/>
      <c r="F944" s="89"/>
    </row>
    <row r="945" spans="5:6" ht="25.5" customHeight="1">
      <c r="E945" s="89"/>
      <c r="F945" s="89"/>
    </row>
    <row r="946" spans="5:6" ht="25.5" customHeight="1">
      <c r="E946" s="89"/>
      <c r="F946" s="89"/>
    </row>
    <row r="947" spans="5:6" ht="25.5" customHeight="1">
      <c r="E947" s="89"/>
      <c r="F947" s="89"/>
    </row>
    <row r="948" spans="5:6" ht="25.5" customHeight="1">
      <c r="E948" s="89"/>
      <c r="F948" s="89"/>
    </row>
    <row r="949" spans="5:6" ht="25.5" customHeight="1">
      <c r="E949" s="89"/>
      <c r="F949" s="89"/>
    </row>
    <row r="950" spans="5:6" ht="25.5" customHeight="1">
      <c r="E950" s="89"/>
      <c r="F950" s="89"/>
    </row>
    <row r="951" spans="5:6" ht="25.5" customHeight="1">
      <c r="E951" s="89"/>
      <c r="F951" s="89"/>
    </row>
    <row r="952" spans="5:6" ht="25.5" customHeight="1">
      <c r="E952" s="89"/>
      <c r="F952" s="89"/>
    </row>
    <row r="953" spans="5:6" ht="25.5" customHeight="1">
      <c r="E953" s="89"/>
      <c r="F953" s="89"/>
    </row>
    <row r="954" spans="5:6" ht="25.5" customHeight="1">
      <c r="E954" s="89"/>
      <c r="F954" s="89"/>
    </row>
    <row r="955" spans="5:6" ht="25.5" customHeight="1">
      <c r="E955" s="89"/>
      <c r="F955" s="89"/>
    </row>
    <row r="956" spans="5:6" ht="25.5" customHeight="1">
      <c r="E956" s="89"/>
      <c r="F956" s="89"/>
    </row>
    <row r="957" spans="5:6" ht="25.5" customHeight="1">
      <c r="E957" s="89"/>
      <c r="F957" s="89"/>
    </row>
    <row r="958" spans="5:6" ht="25.5" customHeight="1">
      <c r="E958" s="89"/>
      <c r="F958" s="89"/>
    </row>
    <row r="959" spans="5:6" ht="25.5" customHeight="1">
      <c r="E959" s="89"/>
      <c r="F959" s="89"/>
    </row>
    <row r="960" spans="5:6" ht="25.5" customHeight="1">
      <c r="E960" s="89"/>
      <c r="F960" s="89"/>
    </row>
    <row r="961" spans="5:6" ht="25.5" customHeight="1">
      <c r="E961" s="89"/>
      <c r="F961" s="89"/>
    </row>
    <row r="962" spans="5:6" ht="25.5" customHeight="1">
      <c r="E962" s="89"/>
      <c r="F962" s="89"/>
    </row>
    <row r="963" spans="5:6" ht="25.5" customHeight="1">
      <c r="E963" s="89"/>
      <c r="F963" s="89"/>
    </row>
    <row r="964" spans="5:6" ht="25.5" customHeight="1">
      <c r="E964" s="89"/>
      <c r="F964" s="89"/>
    </row>
    <row r="965" spans="5:6" ht="25.5" customHeight="1">
      <c r="E965" s="89"/>
      <c r="F965" s="89"/>
    </row>
    <row r="966" spans="5:6" ht="25.5" customHeight="1">
      <c r="E966" s="89"/>
      <c r="F966" s="89"/>
    </row>
    <row r="967" spans="5:6" ht="25.5" customHeight="1">
      <c r="E967" s="89"/>
      <c r="F967" s="89"/>
    </row>
    <row r="968" spans="5:6" ht="25.5" customHeight="1">
      <c r="E968" s="89"/>
      <c r="F968" s="89"/>
    </row>
    <row r="969" spans="5:6" ht="25.5" customHeight="1">
      <c r="E969" s="89"/>
      <c r="F969" s="89"/>
    </row>
    <row r="970" spans="5:6" ht="25.5" customHeight="1">
      <c r="E970" s="89"/>
      <c r="F970" s="89"/>
    </row>
    <row r="971" spans="5:6" ht="25.5" customHeight="1">
      <c r="E971" s="89"/>
      <c r="F971" s="89"/>
    </row>
    <row r="972" spans="5:6" ht="25.5" customHeight="1">
      <c r="E972" s="89"/>
      <c r="F972" s="89"/>
    </row>
    <row r="973" spans="5:6" ht="25.5" customHeight="1">
      <c r="E973" s="89"/>
      <c r="F973" s="89"/>
    </row>
    <row r="974" spans="5:6" ht="25.5" customHeight="1">
      <c r="E974" s="89"/>
      <c r="F974" s="89"/>
    </row>
    <row r="975" spans="5:6" ht="25.5" customHeight="1">
      <c r="E975" s="89"/>
      <c r="F975" s="89"/>
    </row>
    <row r="976" spans="5:6" ht="25.5" customHeight="1">
      <c r="E976" s="89"/>
      <c r="F976" s="89"/>
    </row>
    <row r="977" spans="5:6" ht="25.5" customHeight="1">
      <c r="E977" s="89"/>
      <c r="F977" s="89"/>
    </row>
    <row r="978" spans="5:6" ht="25.5" customHeight="1">
      <c r="E978" s="89"/>
      <c r="F978" s="89"/>
    </row>
    <row r="979" spans="5:6" ht="25.5" customHeight="1">
      <c r="E979" s="89"/>
      <c r="F979" s="89"/>
    </row>
    <row r="980" spans="5:6" ht="25.5" customHeight="1">
      <c r="E980" s="89"/>
      <c r="F980" s="89"/>
    </row>
    <row r="981" spans="5:6" ht="25.5" customHeight="1">
      <c r="E981" s="89"/>
      <c r="F981" s="89"/>
    </row>
    <row r="982" spans="5:6" ht="25.5" customHeight="1">
      <c r="E982" s="89"/>
      <c r="F982" s="89"/>
    </row>
    <row r="983" spans="5:6" ht="25.5" customHeight="1">
      <c r="E983" s="89"/>
      <c r="F983" s="89"/>
    </row>
    <row r="984" spans="5:6" ht="25.5" customHeight="1">
      <c r="E984" s="89"/>
      <c r="F984" s="89"/>
    </row>
    <row r="985" spans="5:6" ht="25.5" customHeight="1">
      <c r="E985" s="89"/>
      <c r="F985" s="89"/>
    </row>
    <row r="986" spans="5:6" ht="25.5" customHeight="1">
      <c r="E986" s="89"/>
      <c r="F986" s="89"/>
    </row>
    <row r="987" spans="5:6" ht="25.5" customHeight="1">
      <c r="E987" s="89"/>
      <c r="F987" s="89"/>
    </row>
    <row r="988" spans="5:6" ht="25.5" customHeight="1">
      <c r="E988" s="89"/>
      <c r="F988" s="89"/>
    </row>
    <row r="989" spans="5:6" ht="25.5" customHeight="1">
      <c r="E989" s="89"/>
      <c r="F989" s="89"/>
    </row>
    <row r="990" spans="5:6" ht="25.5" customHeight="1">
      <c r="E990" s="89"/>
      <c r="F990" s="89"/>
    </row>
    <row r="991" spans="5:6" ht="25.5" customHeight="1">
      <c r="E991" s="89"/>
      <c r="F991" s="89"/>
    </row>
    <row r="992" spans="5:6" ht="25.5" customHeight="1">
      <c r="E992" s="89"/>
      <c r="F992" s="89"/>
    </row>
    <row r="993" spans="5:6" ht="25.5" customHeight="1">
      <c r="E993" s="89"/>
      <c r="F993" s="89"/>
    </row>
    <row r="994" spans="5:6" ht="25.5" customHeight="1">
      <c r="E994" s="89"/>
      <c r="F994" s="89"/>
    </row>
    <row r="995" spans="5:6" ht="25.5" customHeight="1">
      <c r="E995" s="89"/>
      <c r="F995" s="89"/>
    </row>
    <row r="996" spans="5:6" ht="25.5" customHeight="1">
      <c r="E996" s="89"/>
      <c r="F996" s="89"/>
    </row>
    <row r="997" spans="5:6" ht="25.5" customHeight="1">
      <c r="E997" s="89"/>
      <c r="F997" s="89"/>
    </row>
    <row r="998" spans="5:6" ht="25.5" customHeight="1">
      <c r="E998" s="89"/>
      <c r="F998" s="89"/>
    </row>
    <row r="999" spans="5:6" ht="25.5" customHeight="1">
      <c r="E999" s="89"/>
      <c r="F999" s="89"/>
    </row>
    <row r="1000" spans="5:6" ht="25.5" customHeight="1">
      <c r="E1000" s="89"/>
      <c r="F1000" s="89"/>
    </row>
    <row r="1001" spans="5:6" ht="25.5" customHeight="1">
      <c r="E1001" s="89"/>
      <c r="F1001" s="89"/>
    </row>
    <row r="1002" spans="5:6" ht="25.5" customHeight="1">
      <c r="E1002" s="89"/>
      <c r="F1002" s="89"/>
    </row>
    <row r="1003" spans="5:6" ht="25.5" customHeight="1">
      <c r="E1003" s="89"/>
      <c r="F1003" s="89"/>
    </row>
    <row r="1004" spans="5:6" ht="25.5" customHeight="1">
      <c r="E1004" s="89"/>
      <c r="F1004" s="89"/>
    </row>
    <row r="1005" spans="5:6" ht="25.5" customHeight="1">
      <c r="E1005" s="89"/>
      <c r="F1005" s="89"/>
    </row>
    <row r="1006" spans="5:6" ht="25.5" customHeight="1">
      <c r="E1006" s="89"/>
      <c r="F1006" s="89"/>
    </row>
    <row r="1007" spans="5:6" ht="25.5" customHeight="1">
      <c r="E1007" s="89"/>
      <c r="F1007" s="89"/>
    </row>
    <row r="1008" spans="5:6" ht="25.5" customHeight="1">
      <c r="E1008" s="89"/>
      <c r="F1008" s="89"/>
    </row>
    <row r="1009" spans="5:6" ht="25.5" customHeight="1">
      <c r="E1009" s="89"/>
      <c r="F1009" s="89"/>
    </row>
    <row r="1010" spans="5:6" ht="25.5" customHeight="1">
      <c r="E1010" s="89"/>
      <c r="F1010" s="89"/>
    </row>
    <row r="1011" spans="5:6" ht="25.5" customHeight="1">
      <c r="E1011" s="89"/>
      <c r="F1011" s="89"/>
    </row>
    <row r="1012" spans="5:6" ht="25.5" customHeight="1">
      <c r="E1012" s="89"/>
      <c r="F1012" s="89"/>
    </row>
    <row r="1013" spans="5:6" ht="25.5" customHeight="1">
      <c r="E1013" s="89"/>
      <c r="F1013" s="89"/>
    </row>
    <row r="1014" spans="5:6" ht="25.5" customHeight="1">
      <c r="E1014" s="89"/>
      <c r="F1014" s="89"/>
    </row>
    <row r="1015" spans="5:6" ht="25.5" customHeight="1">
      <c r="E1015" s="89"/>
      <c r="F1015" s="89"/>
    </row>
    <row r="1016" spans="5:6" ht="25.5" customHeight="1">
      <c r="E1016" s="89"/>
      <c r="F1016" s="89"/>
    </row>
    <row r="1017" spans="5:6" ht="25.5" customHeight="1">
      <c r="E1017" s="89"/>
      <c r="F1017" s="89"/>
    </row>
    <row r="1018" spans="5:6" ht="25.5" customHeight="1">
      <c r="E1018" s="89"/>
      <c r="F1018" s="89"/>
    </row>
    <row r="1019" spans="5:6" ht="25.5" customHeight="1">
      <c r="E1019" s="89"/>
      <c r="F1019" s="89"/>
    </row>
    <row r="1020" spans="5:6" ht="25.5" customHeight="1">
      <c r="E1020" s="89"/>
      <c r="F1020" s="89"/>
    </row>
    <row r="1021" spans="5:6" ht="25.5" customHeight="1">
      <c r="E1021" s="89"/>
      <c r="F1021" s="89"/>
    </row>
    <row r="1022" spans="5:6" ht="25.5" customHeight="1">
      <c r="E1022" s="89"/>
      <c r="F1022" s="89"/>
    </row>
    <row r="1023" spans="5:6" ht="25.5" customHeight="1">
      <c r="E1023" s="89"/>
      <c r="F1023" s="89"/>
    </row>
    <row r="1024" spans="5:6" ht="25.5" customHeight="1">
      <c r="E1024" s="89"/>
      <c r="F1024" s="89"/>
    </row>
    <row r="1025" spans="5:6" ht="25.5" customHeight="1">
      <c r="E1025" s="89"/>
      <c r="F1025" s="89"/>
    </row>
    <row r="1026" spans="5:6" ht="25.5" customHeight="1">
      <c r="E1026" s="89"/>
      <c r="F1026" s="89"/>
    </row>
    <row r="1027" spans="5:6" ht="25.5" customHeight="1">
      <c r="E1027" s="89"/>
      <c r="F1027" s="89"/>
    </row>
    <row r="1028" spans="5:6" ht="25.5" customHeight="1">
      <c r="E1028" s="89"/>
      <c r="F1028" s="89"/>
    </row>
    <row r="1029" spans="5:6" ht="25.5" customHeight="1">
      <c r="E1029" s="89"/>
      <c r="F1029" s="89"/>
    </row>
    <row r="1030" spans="5:6" ht="25.5" customHeight="1">
      <c r="E1030" s="89"/>
      <c r="F1030" s="89"/>
    </row>
    <row r="1031" spans="5:6" ht="25.5" customHeight="1">
      <c r="E1031" s="89"/>
      <c r="F1031" s="89"/>
    </row>
    <row r="1032" spans="5:6" ht="25.5" customHeight="1">
      <c r="E1032" s="89"/>
      <c r="F1032" s="89"/>
    </row>
    <row r="1033" spans="5:6" ht="25.5" customHeight="1">
      <c r="E1033" s="89"/>
      <c r="F1033" s="89"/>
    </row>
    <row r="1034" spans="5:6" ht="25.5" customHeight="1">
      <c r="E1034" s="89"/>
      <c r="F1034" s="89"/>
    </row>
    <row r="1035" spans="5:6" ht="25.5" customHeight="1">
      <c r="E1035" s="89"/>
      <c r="F1035" s="89"/>
    </row>
    <row r="1036" spans="5:6" ht="25.5" customHeight="1">
      <c r="E1036" s="89"/>
      <c r="F1036" s="89"/>
    </row>
    <row r="1037" spans="5:6" ht="25.5" customHeight="1">
      <c r="E1037" s="89"/>
      <c r="F1037" s="89"/>
    </row>
    <row r="1038" spans="5:6" ht="25.5" customHeight="1">
      <c r="E1038" s="89"/>
      <c r="F1038" s="89"/>
    </row>
    <row r="1039" spans="5:6" ht="25.5" customHeight="1">
      <c r="E1039" s="89"/>
      <c r="F1039" s="89"/>
    </row>
    <row r="1040" spans="5:6" ht="25.5" customHeight="1">
      <c r="E1040" s="89"/>
      <c r="F1040" s="89"/>
    </row>
    <row r="1041" spans="5:6" ht="25.5" customHeight="1">
      <c r="E1041" s="89"/>
      <c r="F1041" s="89"/>
    </row>
    <row r="1042" spans="5:6" ht="25.5" customHeight="1">
      <c r="E1042" s="89"/>
      <c r="F1042" s="89"/>
    </row>
    <row r="1043" spans="5:6" ht="25.5" customHeight="1">
      <c r="E1043" s="89"/>
      <c r="F1043" s="89"/>
    </row>
    <row r="1044" spans="5:6" ht="25.5" customHeight="1">
      <c r="E1044" s="89"/>
      <c r="F1044" s="89"/>
    </row>
    <row r="1045" spans="5:6" ht="25.5" customHeight="1">
      <c r="E1045" s="89"/>
      <c r="F1045" s="89"/>
    </row>
    <row r="1046" spans="5:6" ht="25.5" customHeight="1">
      <c r="E1046" s="89"/>
      <c r="F1046" s="89"/>
    </row>
    <row r="1047" spans="5:6" ht="25.5" customHeight="1">
      <c r="E1047" s="89"/>
      <c r="F1047" s="89"/>
    </row>
    <row r="1048" spans="5:6" ht="25.5" customHeight="1">
      <c r="E1048" s="89"/>
      <c r="F1048" s="89"/>
    </row>
    <row r="1049" spans="5:6" ht="25.5" customHeight="1">
      <c r="E1049" s="89"/>
      <c r="F1049" s="89"/>
    </row>
    <row r="1050" spans="5:6" ht="25.5" customHeight="1">
      <c r="E1050" s="89"/>
      <c r="F1050" s="89"/>
    </row>
    <row r="1051" spans="5:6" ht="25.5" customHeight="1">
      <c r="E1051" s="89"/>
      <c r="F1051" s="89"/>
    </row>
    <row r="1052" spans="5:6" ht="25.5" customHeight="1">
      <c r="E1052" s="89"/>
      <c r="F1052" s="89"/>
    </row>
    <row r="1053" spans="5:6" ht="25.5" customHeight="1">
      <c r="E1053" s="89"/>
      <c r="F1053" s="89"/>
    </row>
    <row r="1054" spans="5:6" ht="25.5" customHeight="1">
      <c r="E1054" s="89"/>
      <c r="F1054" s="89"/>
    </row>
    <row r="1055" spans="5:6" ht="25.5" customHeight="1">
      <c r="E1055" s="89"/>
      <c r="F1055" s="89"/>
    </row>
    <row r="1056" spans="5:6" ht="25.5" customHeight="1">
      <c r="E1056" s="89"/>
      <c r="F1056" s="89"/>
    </row>
    <row r="1057" spans="5:6" ht="25.5" customHeight="1">
      <c r="E1057" s="89"/>
      <c r="F1057" s="89"/>
    </row>
    <row r="1058" spans="5:6" ht="25.5" customHeight="1">
      <c r="E1058" s="89"/>
      <c r="F1058" s="89"/>
    </row>
    <row r="1059" spans="5:6" ht="25.5" customHeight="1">
      <c r="E1059" s="89"/>
      <c r="F1059" s="89"/>
    </row>
    <row r="1060" spans="5:6" ht="25.5" customHeight="1">
      <c r="E1060" s="89"/>
      <c r="F1060" s="89"/>
    </row>
    <row r="1061" spans="5:6" ht="25.5" customHeight="1">
      <c r="E1061" s="89"/>
      <c r="F1061" s="89"/>
    </row>
    <row r="1062" spans="5:6" ht="25.5" customHeight="1">
      <c r="E1062" s="89"/>
      <c r="F1062" s="89"/>
    </row>
    <row r="1063" spans="5:6" ht="25.5" customHeight="1">
      <c r="E1063" s="89"/>
      <c r="F1063" s="89"/>
    </row>
    <row r="1064" spans="5:6" ht="25.5" customHeight="1">
      <c r="E1064" s="89"/>
      <c r="F1064" s="89"/>
    </row>
    <row r="1065" spans="5:6" ht="25.5" customHeight="1">
      <c r="E1065" s="89"/>
      <c r="F1065" s="89"/>
    </row>
    <row r="1066" spans="5:6" ht="25.5" customHeight="1">
      <c r="E1066" s="89"/>
      <c r="F1066" s="89"/>
    </row>
    <row r="1067" spans="5:6" ht="25.5" customHeight="1">
      <c r="E1067" s="89"/>
      <c r="F1067" s="89"/>
    </row>
    <row r="1068" spans="5:6" ht="25.5" customHeight="1">
      <c r="E1068" s="89"/>
      <c r="F1068" s="89"/>
    </row>
    <row r="1069" spans="5:6" ht="25.5" customHeight="1">
      <c r="E1069" s="89"/>
      <c r="F1069" s="89"/>
    </row>
    <row r="1070" spans="5:6" ht="25.5" customHeight="1">
      <c r="E1070" s="89"/>
      <c r="F1070" s="89"/>
    </row>
    <row r="1071" spans="5:6" ht="25.5" customHeight="1">
      <c r="E1071" s="89"/>
      <c r="F1071" s="89"/>
    </row>
    <row r="1072" spans="5:6" ht="25.5" customHeight="1">
      <c r="E1072" s="89"/>
      <c r="F1072" s="89"/>
    </row>
    <row r="1073" spans="5:6" ht="25.5" customHeight="1">
      <c r="E1073" s="89"/>
      <c r="F1073" s="89"/>
    </row>
    <row r="1074" spans="5:6" ht="25.5" customHeight="1">
      <c r="E1074" s="89"/>
      <c r="F1074" s="89"/>
    </row>
    <row r="1075" spans="5:6" ht="25.5" customHeight="1">
      <c r="E1075" s="89"/>
      <c r="F1075" s="89"/>
    </row>
    <row r="1076" spans="5:6" ht="25.5" customHeight="1">
      <c r="E1076" s="89"/>
      <c r="F1076" s="89"/>
    </row>
    <row r="1077" spans="5:6" ht="25.5" customHeight="1">
      <c r="E1077" s="89"/>
      <c r="F1077" s="89"/>
    </row>
    <row r="1078" spans="5:6" ht="25.5" customHeight="1">
      <c r="E1078" s="89"/>
      <c r="F1078" s="89"/>
    </row>
    <row r="1079" spans="5:6" ht="25.5" customHeight="1">
      <c r="E1079" s="89"/>
      <c r="F1079" s="89"/>
    </row>
    <row r="1080" spans="5:6" ht="25.5" customHeight="1">
      <c r="E1080" s="89"/>
      <c r="F1080" s="89"/>
    </row>
    <row r="1081" spans="5:6" ht="25.5" customHeight="1">
      <c r="E1081" s="89"/>
      <c r="F1081" s="89"/>
    </row>
    <row r="1082" spans="5:6" ht="25.5" customHeight="1">
      <c r="E1082" s="89"/>
      <c r="F1082" s="89"/>
    </row>
    <row r="1083" spans="5:6" ht="25.5" customHeight="1">
      <c r="E1083" s="89"/>
      <c r="F1083" s="89"/>
    </row>
    <row r="1084" spans="5:6" ht="25.5" customHeight="1">
      <c r="E1084" s="89"/>
      <c r="F1084" s="89"/>
    </row>
    <row r="1085" spans="5:6" ht="25.5" customHeight="1">
      <c r="E1085" s="89"/>
      <c r="F1085" s="89"/>
    </row>
    <row r="1086" spans="5:6" ht="25.5" customHeight="1">
      <c r="E1086" s="89"/>
      <c r="F1086" s="89"/>
    </row>
    <row r="1087" spans="5:6" ht="25.5" customHeight="1">
      <c r="E1087" s="89"/>
      <c r="F1087" s="89"/>
    </row>
    <row r="1088" spans="5:6" ht="25.5" customHeight="1">
      <c r="E1088" s="89"/>
      <c r="F1088" s="89"/>
    </row>
    <row r="1089" spans="5:6" ht="25.5" customHeight="1">
      <c r="E1089" s="89"/>
      <c r="F1089" s="89"/>
    </row>
    <row r="1090" spans="5:6" ht="25.5" customHeight="1">
      <c r="E1090" s="89"/>
      <c r="F1090" s="89"/>
    </row>
    <row r="1091" spans="5:6" ht="25.5" customHeight="1">
      <c r="E1091" s="89"/>
      <c r="F1091" s="89"/>
    </row>
    <row r="1092" spans="5:6" ht="25.5" customHeight="1">
      <c r="E1092" s="89"/>
      <c r="F1092" s="89"/>
    </row>
    <row r="1093" spans="5:6" ht="25.5" customHeight="1">
      <c r="E1093" s="89"/>
      <c r="F1093" s="89"/>
    </row>
    <row r="1094" spans="5:6" ht="25.5" customHeight="1">
      <c r="E1094" s="89"/>
      <c r="F1094" s="89"/>
    </row>
    <row r="1095" spans="5:6" ht="25.5" customHeight="1">
      <c r="E1095" s="89"/>
      <c r="F1095" s="89"/>
    </row>
    <row r="1096" spans="5:6" ht="25.5" customHeight="1">
      <c r="E1096" s="89"/>
      <c r="F1096" s="89"/>
    </row>
    <row r="1097" spans="5:6" ht="25.5" customHeight="1">
      <c r="E1097" s="89"/>
      <c r="F1097" s="89"/>
    </row>
    <row r="1098" spans="5:6" ht="25.5" customHeight="1">
      <c r="E1098" s="89"/>
      <c r="F1098" s="89"/>
    </row>
    <row r="1099" spans="5:6" ht="25.5" customHeight="1">
      <c r="E1099" s="89"/>
      <c r="F1099" s="89"/>
    </row>
    <row r="1100" spans="5:6" ht="25.5" customHeight="1">
      <c r="E1100" s="89"/>
      <c r="F1100" s="89"/>
    </row>
    <row r="1101" spans="5:6" ht="25.5" customHeight="1">
      <c r="E1101" s="89"/>
      <c r="F1101" s="89"/>
    </row>
    <row r="1102" spans="5:6" ht="25.5" customHeight="1">
      <c r="E1102" s="89"/>
      <c r="F1102" s="89"/>
    </row>
    <row r="1103" spans="5:6" ht="25.5" customHeight="1">
      <c r="E1103" s="89"/>
      <c r="F1103" s="89"/>
    </row>
    <row r="1104" spans="5:6" ht="25.5" customHeight="1">
      <c r="E1104" s="89"/>
      <c r="F1104" s="89"/>
    </row>
    <row r="1105" spans="5:6" ht="25.5" customHeight="1">
      <c r="E1105" s="89"/>
      <c r="F1105" s="89"/>
    </row>
    <row r="1106" spans="5:6" ht="25.5" customHeight="1">
      <c r="E1106" s="89"/>
      <c r="F1106" s="89"/>
    </row>
    <row r="1107" spans="5:6" ht="25.5" customHeight="1">
      <c r="E1107" s="89"/>
      <c r="F1107" s="89"/>
    </row>
    <row r="1108" spans="5:6" ht="25.5" customHeight="1">
      <c r="E1108" s="89"/>
      <c r="F1108" s="89"/>
    </row>
    <row r="1109" spans="5:6" ht="25.5" customHeight="1">
      <c r="E1109" s="89"/>
      <c r="F1109" s="89"/>
    </row>
    <row r="1110" spans="5:6" ht="25.5" customHeight="1">
      <c r="E1110" s="89"/>
      <c r="F1110" s="89"/>
    </row>
    <row r="1111" spans="5:6" ht="25.5" customHeight="1">
      <c r="E1111" s="89"/>
      <c r="F1111" s="89"/>
    </row>
    <row r="1112" spans="5:6" ht="25.5" customHeight="1">
      <c r="E1112" s="89"/>
      <c r="F1112" s="89"/>
    </row>
    <row r="1113" spans="5:6" ht="25.5" customHeight="1">
      <c r="E1113" s="89"/>
      <c r="F1113" s="89"/>
    </row>
    <row r="1114" spans="5:6" ht="25.5" customHeight="1">
      <c r="E1114" s="89"/>
      <c r="F1114" s="89"/>
    </row>
    <row r="1115" spans="5:6" ht="25.5" customHeight="1">
      <c r="E1115" s="89"/>
      <c r="F1115" s="89"/>
    </row>
    <row r="1116" spans="5:6" ht="25.5" customHeight="1">
      <c r="E1116" s="89"/>
      <c r="F1116" s="89"/>
    </row>
    <row r="1117" spans="5:6" ht="25.5" customHeight="1">
      <c r="E1117" s="89"/>
      <c r="F1117" s="89"/>
    </row>
    <row r="1118" spans="5:6" ht="25.5" customHeight="1">
      <c r="E1118" s="89"/>
      <c r="F1118" s="89"/>
    </row>
    <row r="1119" spans="5:6" ht="25.5" customHeight="1">
      <c r="E1119" s="89"/>
      <c r="F1119" s="89"/>
    </row>
    <row r="1120" spans="5:6" ht="25.5" customHeight="1">
      <c r="E1120" s="89"/>
      <c r="F1120" s="89"/>
    </row>
    <row r="1121" spans="5:6" ht="25.5" customHeight="1">
      <c r="E1121" s="89"/>
      <c r="F1121" s="89"/>
    </row>
    <row r="1122" spans="5:6" ht="25.5" customHeight="1">
      <c r="E1122" s="89"/>
      <c r="F1122" s="89"/>
    </row>
    <row r="1123" spans="5:6" ht="25.5" customHeight="1">
      <c r="E1123" s="89"/>
      <c r="F1123" s="89"/>
    </row>
    <row r="1124" spans="5:6" ht="25.5" customHeight="1">
      <c r="E1124" s="89"/>
      <c r="F1124" s="89"/>
    </row>
    <row r="1125" spans="5:6" ht="25.5" customHeight="1">
      <c r="E1125" s="89"/>
      <c r="F1125" s="89"/>
    </row>
    <row r="1126" spans="5:6" ht="25.5" customHeight="1">
      <c r="E1126" s="89"/>
      <c r="F1126" s="89"/>
    </row>
    <row r="1127" spans="5:6" ht="25.5" customHeight="1">
      <c r="E1127" s="89"/>
      <c r="F1127" s="89"/>
    </row>
    <row r="1128" spans="5:6" ht="25.5" customHeight="1">
      <c r="E1128" s="89"/>
      <c r="F1128" s="89"/>
    </row>
    <row r="1129" spans="5:6" ht="25.5" customHeight="1">
      <c r="E1129" s="89"/>
      <c r="F1129" s="89"/>
    </row>
    <row r="1130" spans="5:6" ht="25.5" customHeight="1">
      <c r="E1130" s="89"/>
      <c r="F1130" s="89"/>
    </row>
    <row r="1131" spans="5:6" ht="25.5" customHeight="1">
      <c r="E1131" s="89"/>
      <c r="F1131" s="89"/>
    </row>
    <row r="1132" spans="5:6" ht="25.5" customHeight="1">
      <c r="E1132" s="89"/>
      <c r="F1132" s="89"/>
    </row>
    <row r="1133" spans="5:6" ht="25.5" customHeight="1">
      <c r="E1133" s="89"/>
      <c r="F1133" s="89"/>
    </row>
    <row r="1134" spans="5:6" ht="25.5" customHeight="1">
      <c r="E1134" s="89"/>
      <c r="F1134" s="89"/>
    </row>
    <row r="1135" spans="5:6" ht="25.5" customHeight="1">
      <c r="E1135" s="89"/>
      <c r="F1135" s="89"/>
    </row>
    <row r="1136" spans="5:6" ht="25.5" customHeight="1">
      <c r="E1136" s="89"/>
      <c r="F1136" s="89"/>
    </row>
    <row r="1137" spans="5:6" ht="25.5" customHeight="1">
      <c r="E1137" s="89"/>
      <c r="F1137" s="89"/>
    </row>
    <row r="1138" spans="5:6" ht="25.5" customHeight="1">
      <c r="E1138" s="89"/>
      <c r="F1138" s="89"/>
    </row>
    <row r="1139" spans="5:6" ht="25.5" customHeight="1">
      <c r="E1139" s="89"/>
      <c r="F1139" s="89"/>
    </row>
    <row r="1140" spans="5:6" ht="25.5" customHeight="1">
      <c r="E1140" s="89"/>
      <c r="F1140" s="89"/>
    </row>
    <row r="1141" spans="5:6" ht="25.5" customHeight="1">
      <c r="E1141" s="89"/>
      <c r="F1141" s="89"/>
    </row>
    <row r="1142" spans="5:6" ht="25.5" customHeight="1">
      <c r="E1142" s="89"/>
      <c r="F1142" s="89"/>
    </row>
    <row r="1143" spans="5:6" ht="25.5" customHeight="1">
      <c r="E1143" s="89"/>
      <c r="F1143" s="89"/>
    </row>
    <row r="1144" spans="5:6" ht="25.5" customHeight="1">
      <c r="E1144" s="89"/>
      <c r="F1144" s="89"/>
    </row>
    <row r="1145" spans="5:6" ht="25.5" customHeight="1">
      <c r="E1145" s="89"/>
      <c r="F1145" s="89"/>
    </row>
    <row r="1146" spans="5:6" ht="25.5" customHeight="1">
      <c r="E1146" s="89"/>
      <c r="F1146" s="89"/>
    </row>
    <row r="1147" spans="5:6" ht="25.5" customHeight="1">
      <c r="E1147" s="89"/>
      <c r="F1147" s="89"/>
    </row>
    <row r="1148" spans="5:6" ht="25.5" customHeight="1">
      <c r="E1148" s="89"/>
      <c r="F1148" s="89"/>
    </row>
    <row r="1149" spans="5:6" ht="25.5" customHeight="1">
      <c r="E1149" s="89"/>
      <c r="F1149" s="89"/>
    </row>
    <row r="1150" spans="5:6" ht="25.5" customHeight="1">
      <c r="E1150" s="89"/>
      <c r="F1150" s="89"/>
    </row>
    <row r="1151" spans="5:6" ht="25.5" customHeight="1">
      <c r="E1151" s="89"/>
      <c r="F1151" s="89"/>
    </row>
    <row r="1152" spans="5:6" ht="25.5" customHeight="1">
      <c r="E1152" s="89"/>
      <c r="F1152" s="89"/>
    </row>
    <row r="1153" spans="5:6" ht="25.5" customHeight="1">
      <c r="E1153" s="89"/>
      <c r="F1153" s="89"/>
    </row>
    <row r="1154" spans="5:6" ht="25.5" customHeight="1">
      <c r="E1154" s="89"/>
      <c r="F1154" s="89"/>
    </row>
    <row r="1155" spans="5:6" ht="25.5" customHeight="1">
      <c r="E1155" s="89"/>
      <c r="F1155" s="89"/>
    </row>
    <row r="1156" spans="5:6" ht="25.5" customHeight="1">
      <c r="E1156" s="89"/>
      <c r="F1156" s="89"/>
    </row>
    <row r="1157" spans="5:6" ht="25.5" customHeight="1">
      <c r="E1157" s="89"/>
      <c r="F1157" s="89"/>
    </row>
    <row r="1158" spans="5:6" ht="25.5" customHeight="1">
      <c r="E1158" s="89"/>
      <c r="F1158" s="89"/>
    </row>
    <row r="1159" spans="5:6" ht="25.5" customHeight="1">
      <c r="E1159" s="89"/>
      <c r="F1159" s="89"/>
    </row>
    <row r="1160" spans="5:6" ht="25.5" customHeight="1">
      <c r="E1160" s="89"/>
      <c r="F1160" s="89"/>
    </row>
    <row r="1161" spans="5:6" ht="25.5" customHeight="1">
      <c r="E1161" s="89"/>
      <c r="F1161" s="89"/>
    </row>
    <row r="1162" spans="5:6" ht="25.5" customHeight="1">
      <c r="E1162" s="89"/>
      <c r="F1162" s="89"/>
    </row>
    <row r="1163" spans="5:6" ht="25.5" customHeight="1">
      <c r="E1163" s="89"/>
      <c r="F1163" s="89"/>
    </row>
    <row r="1164" spans="5:6" ht="25.5" customHeight="1">
      <c r="E1164" s="89"/>
      <c r="F1164" s="89"/>
    </row>
  </sheetData>
  <sheetProtection algorithmName="SHA-512" hashValue="CTwv1YlzR/rbWJL2+HN34wiv1S/+dYSnNSuRn9w2C3Z7QRv51JAinhtV9qWIetN5ieu5GPHOeeG2oT3AAI0JKQ==" saltValue="h6pptzDcoIh8WSR92rz9dg==" spinCount="100000" sheet="1" objects="1" scenarios="1"/>
  <mergeCells count="252">
    <mergeCell ref="Z101:Z102"/>
    <mergeCell ref="X83:X86"/>
    <mergeCell ref="Y37:Y38"/>
    <mergeCell ref="T83:T86"/>
    <mergeCell ref="AA95:AA96"/>
    <mergeCell ref="AA101:AA102"/>
    <mergeCell ref="V42:V43"/>
    <mergeCell ref="AA107:AA108"/>
    <mergeCell ref="U83:U86"/>
    <mergeCell ref="V83:V86"/>
    <mergeCell ref="W83:W86"/>
    <mergeCell ref="T73:T74"/>
    <mergeCell ref="T77:T78"/>
    <mergeCell ref="T55:T56"/>
    <mergeCell ref="T59:T60"/>
    <mergeCell ref="T64:T66"/>
    <mergeCell ref="T68:T69"/>
    <mergeCell ref="Y83:Y86"/>
    <mergeCell ref="T71:T72"/>
    <mergeCell ref="Z64:Z66"/>
    <mergeCell ref="Z91:Z92"/>
    <mergeCell ref="AA73:AA74"/>
    <mergeCell ref="AA77:AA78"/>
    <mergeCell ref="AA83:AA86"/>
    <mergeCell ref="T95:T96"/>
    <mergeCell ref="Z95:Z96"/>
    <mergeCell ref="S64:S66"/>
    <mergeCell ref="S68:S69"/>
    <mergeCell ref="X50:X60"/>
    <mergeCell ref="Y50:Y60"/>
    <mergeCell ref="S77:S78"/>
    <mergeCell ref="S83:S86"/>
    <mergeCell ref="S91:S92"/>
    <mergeCell ref="X77:X78"/>
    <mergeCell ref="U77:U78"/>
    <mergeCell ref="V77:V78"/>
    <mergeCell ref="W77:W78"/>
    <mergeCell ref="U73:U74"/>
    <mergeCell ref="V73:V74"/>
    <mergeCell ref="W73:W74"/>
    <mergeCell ref="S55:S56"/>
    <mergeCell ref="U64:U66"/>
    <mergeCell ref="V64:V66"/>
    <mergeCell ref="AB17:AB23"/>
    <mergeCell ref="AB37:AB38"/>
    <mergeCell ref="W64:W66"/>
    <mergeCell ref="AB68:AB69"/>
    <mergeCell ref="AA68:AA69"/>
    <mergeCell ref="AA91:AA92"/>
    <mergeCell ref="AA17:AA23"/>
    <mergeCell ref="AA37:AA38"/>
    <mergeCell ref="AA42:AA43"/>
    <mergeCell ref="AA50:AA60"/>
    <mergeCell ref="AA64:AA66"/>
    <mergeCell ref="B115:B116"/>
    <mergeCell ref="C115:C116"/>
    <mergeCell ref="T115:T116"/>
    <mergeCell ref="Y101:Y102"/>
    <mergeCell ref="U107:U108"/>
    <mergeCell ref="V107:V108"/>
    <mergeCell ref="W107:W108"/>
    <mergeCell ref="X107:X108"/>
    <mergeCell ref="Y107:Y108"/>
    <mergeCell ref="Y115:Y116"/>
    <mergeCell ref="T101:T102"/>
    <mergeCell ref="S101:S102"/>
    <mergeCell ref="X115:X116"/>
    <mergeCell ref="T107:T108"/>
    <mergeCell ref="S107:S108"/>
    <mergeCell ref="S73:S74"/>
    <mergeCell ref="S42:S43"/>
    <mergeCell ref="S50:S51"/>
    <mergeCell ref="S59:S60"/>
    <mergeCell ref="T91:T92"/>
    <mergeCell ref="U95:U96"/>
    <mergeCell ref="V95:V96"/>
    <mergeCell ref="W95:W96"/>
    <mergeCell ref="X95:X96"/>
    <mergeCell ref="U91:U92"/>
    <mergeCell ref="V91:V92"/>
    <mergeCell ref="W91:W92"/>
    <mergeCell ref="P14:P15"/>
    <mergeCell ref="Q14:Q15"/>
    <mergeCell ref="R14:R15"/>
    <mergeCell ref="W14:AA14"/>
    <mergeCell ref="X68:X69"/>
    <mergeCell ref="T24:AB36"/>
    <mergeCell ref="Z37:Z38"/>
    <mergeCell ref="X64:X66"/>
    <mergeCell ref="Y64:Y66"/>
    <mergeCell ref="X42:X43"/>
    <mergeCell ref="Y42:Y43"/>
    <mergeCell ref="U55:U56"/>
    <mergeCell ref="T50:T51"/>
    <mergeCell ref="T42:T43"/>
    <mergeCell ref="AB42:AB43"/>
    <mergeCell ref="Z50:Z60"/>
    <mergeCell ref="Z17:Z23"/>
    <mergeCell ref="Y73:Y74"/>
    <mergeCell ref="U50:U51"/>
    <mergeCell ref="Y68:Y69"/>
    <mergeCell ref="W42:W43"/>
    <mergeCell ref="V37:V38"/>
    <mergeCell ref="Y77:Y78"/>
    <mergeCell ref="U42:U43"/>
    <mergeCell ref="X73:X74"/>
    <mergeCell ref="V50:V60"/>
    <mergeCell ref="W50:W60"/>
    <mergeCell ref="A10:E10"/>
    <mergeCell ref="H14:H15"/>
    <mergeCell ref="A11:AB11"/>
    <mergeCell ref="S17:S23"/>
    <mergeCell ref="C17:C23"/>
    <mergeCell ref="T17:T23"/>
    <mergeCell ref="C50:C51"/>
    <mergeCell ref="A59:A60"/>
    <mergeCell ref="B30:B36"/>
    <mergeCell ref="C30:C36"/>
    <mergeCell ref="A30:A36"/>
    <mergeCell ref="B17:B23"/>
    <mergeCell ref="A17:A23"/>
    <mergeCell ref="U59:U60"/>
    <mergeCell ref="Y17:Y23"/>
    <mergeCell ref="U17:U23"/>
    <mergeCell ref="V17:V23"/>
    <mergeCell ref="W17:W23"/>
    <mergeCell ref="X17:X23"/>
    <mergeCell ref="S37:S38"/>
    <mergeCell ref="T37:T38"/>
    <mergeCell ref="X37:X38"/>
    <mergeCell ref="W37:W38"/>
    <mergeCell ref="U37:U38"/>
    <mergeCell ref="B131:D131"/>
    <mergeCell ref="B132:D132"/>
    <mergeCell ref="B124:D124"/>
    <mergeCell ref="B130:D130"/>
    <mergeCell ref="S120:AB120"/>
    <mergeCell ref="Y91:Y92"/>
    <mergeCell ref="A107:A108"/>
    <mergeCell ref="B107:B108"/>
    <mergeCell ref="C107:C108"/>
    <mergeCell ref="B127:D127"/>
    <mergeCell ref="B128:D128"/>
    <mergeCell ref="B129:D129"/>
    <mergeCell ref="B91:B92"/>
    <mergeCell ref="C91:C92"/>
    <mergeCell ref="U101:U102"/>
    <mergeCell ref="A121:A132"/>
    <mergeCell ref="B123:D123"/>
    <mergeCell ref="AB115:AB116"/>
    <mergeCell ref="B101:B102"/>
    <mergeCell ref="C101:C102"/>
    <mergeCell ref="S115:S116"/>
    <mergeCell ref="B126:D126"/>
    <mergeCell ref="B125:D125"/>
    <mergeCell ref="V101:V102"/>
    <mergeCell ref="A120:D120"/>
    <mergeCell ref="B121:D121"/>
    <mergeCell ref="B122:D122"/>
    <mergeCell ref="A95:A96"/>
    <mergeCell ref="W1:AB1"/>
    <mergeCell ref="C14:C15"/>
    <mergeCell ref="D14:D15"/>
    <mergeCell ref="E14:E15"/>
    <mergeCell ref="F14:F15"/>
    <mergeCell ref="G14:G15"/>
    <mergeCell ref="K14:K15"/>
    <mergeCell ref="L14:L15"/>
    <mergeCell ref="T14:T15"/>
    <mergeCell ref="U14:U15"/>
    <mergeCell ref="V14:V15"/>
    <mergeCell ref="AB14:AB15"/>
    <mergeCell ref="S14:S15"/>
    <mergeCell ref="A2:AB2"/>
    <mergeCell ref="A14:A15"/>
    <mergeCell ref="B14:B15"/>
    <mergeCell ref="A1:T1"/>
    <mergeCell ref="B5:AB5"/>
    <mergeCell ref="B6:AB6"/>
    <mergeCell ref="I14:I15"/>
    <mergeCell ref="J14:J15"/>
    <mergeCell ref="O14:O15"/>
    <mergeCell ref="M14:M15"/>
    <mergeCell ref="B95:B96"/>
    <mergeCell ref="C95:C96"/>
    <mergeCell ref="A101:A102"/>
    <mergeCell ref="B64:B66"/>
    <mergeCell ref="A83:A86"/>
    <mergeCell ref="B83:B86"/>
    <mergeCell ref="C83:C86"/>
    <mergeCell ref="A77:A78"/>
    <mergeCell ref="B77:B78"/>
    <mergeCell ref="C77:C78"/>
    <mergeCell ref="B71:B72"/>
    <mergeCell ref="A91:A92"/>
    <mergeCell ref="A73:A74"/>
    <mergeCell ref="B73:B74"/>
    <mergeCell ref="C73:C74"/>
    <mergeCell ref="C64:C66"/>
    <mergeCell ref="A64:A66"/>
    <mergeCell ref="A68:A69"/>
    <mergeCell ref="B68:B69"/>
    <mergeCell ref="C68:C69"/>
    <mergeCell ref="A24:A29"/>
    <mergeCell ref="Y95:Y96"/>
    <mergeCell ref="AB95:AB96"/>
    <mergeCell ref="AA115:AA116"/>
    <mergeCell ref="B24:B29"/>
    <mergeCell ref="C24:C29"/>
    <mergeCell ref="B50:B51"/>
    <mergeCell ref="A55:A56"/>
    <mergeCell ref="B55:B56"/>
    <mergeCell ref="C55:C56"/>
    <mergeCell ref="B59:B60"/>
    <mergeCell ref="C59:C60"/>
    <mergeCell ref="A50:A51"/>
    <mergeCell ref="A42:A43"/>
    <mergeCell ref="B37:B38"/>
    <mergeCell ref="C37:C38"/>
    <mergeCell ref="A37:A38"/>
    <mergeCell ref="C42:C43"/>
    <mergeCell ref="B42:B43"/>
    <mergeCell ref="A115:A116"/>
    <mergeCell ref="AB50:AB60"/>
    <mergeCell ref="AB64:AB66"/>
    <mergeCell ref="W101:W102"/>
    <mergeCell ref="X101:X102"/>
    <mergeCell ref="X91:X92"/>
    <mergeCell ref="B4:AB4"/>
    <mergeCell ref="B7:AB7"/>
    <mergeCell ref="B8:AB8"/>
    <mergeCell ref="M145:M147"/>
    <mergeCell ref="AB107:AB108"/>
    <mergeCell ref="Z42:Z43"/>
    <mergeCell ref="Z107:Z108"/>
    <mergeCell ref="Z115:Z116"/>
    <mergeCell ref="AB101:AB102"/>
    <mergeCell ref="AB77:AB78"/>
    <mergeCell ref="AB91:AB92"/>
    <mergeCell ref="AB83:AB86"/>
    <mergeCell ref="AB73:AB74"/>
    <mergeCell ref="Z83:Z86"/>
    <mergeCell ref="Z73:Z74"/>
    <mergeCell ref="Z68:Z69"/>
    <mergeCell ref="Z77:Z78"/>
    <mergeCell ref="S95:S96"/>
    <mergeCell ref="U68:U69"/>
    <mergeCell ref="V68:V69"/>
    <mergeCell ref="W68:W69"/>
    <mergeCell ref="U115:U116"/>
    <mergeCell ref="V115:V116"/>
    <mergeCell ref="W115:W116"/>
  </mergeCells>
  <conditionalFormatting sqref="G15 T14 E14:G14 H14:H15 S14:S15">
    <cfRule type="dataBar" priority="17">
      <dataBar>
        <cfvo type="min"/>
        <cfvo type="max"/>
        <color rgb="FF638EC6"/>
      </dataBar>
      <extLst>
        <ext xmlns:x14="http://schemas.microsoft.com/office/spreadsheetml/2009/9/main" uri="{B025F937-C7B1-47D3-B67F-A62EFF666E3E}">
          <x14:id>{DCAEF408-BB30-4A7E-A0B6-147271EF3562}</x14:id>
        </ext>
      </extLst>
    </cfRule>
  </conditionalFormatting>
  <conditionalFormatting sqref="I14:J14">
    <cfRule type="dataBar" priority="15">
      <dataBar>
        <cfvo type="min"/>
        <cfvo type="max"/>
        <color rgb="FF638EC6"/>
      </dataBar>
      <extLst>
        <ext xmlns:x14="http://schemas.microsoft.com/office/spreadsheetml/2009/9/main" uri="{B025F937-C7B1-47D3-B67F-A62EFF666E3E}">
          <x14:id>{78C60D25-CA6D-4CE1-A38C-4657B52FCD7F}</x14:id>
        </ext>
      </extLst>
    </cfRule>
  </conditionalFormatting>
  <conditionalFormatting sqref="J15">
    <cfRule type="dataBar" priority="14">
      <dataBar>
        <cfvo type="min"/>
        <cfvo type="max"/>
        <color rgb="FF638EC6"/>
      </dataBar>
      <extLst>
        <ext xmlns:x14="http://schemas.microsoft.com/office/spreadsheetml/2009/9/main" uri="{B025F937-C7B1-47D3-B67F-A62EFF666E3E}">
          <x14:id>{460F3594-1CF1-4077-9B40-7108C75A1C24}</x14:id>
        </ext>
      </extLst>
    </cfRule>
  </conditionalFormatting>
  <conditionalFormatting sqref="K14:L15">
    <cfRule type="dataBar" priority="11">
      <dataBar>
        <cfvo type="min"/>
        <cfvo type="max"/>
        <color rgb="FF638EC6"/>
      </dataBar>
      <extLst>
        <ext xmlns:x14="http://schemas.microsoft.com/office/spreadsheetml/2009/9/main" uri="{B025F937-C7B1-47D3-B67F-A62EFF666E3E}">
          <x14:id>{A051A83B-3603-4665-BD56-126D8B60BBC0}</x14:id>
        </ext>
      </extLst>
    </cfRule>
  </conditionalFormatting>
  <conditionalFormatting sqref="M14:N14">
    <cfRule type="dataBar" priority="8">
      <dataBar>
        <cfvo type="min"/>
        <cfvo type="max"/>
        <color rgb="FF638EC6"/>
      </dataBar>
      <extLst>
        <ext xmlns:x14="http://schemas.microsoft.com/office/spreadsheetml/2009/9/main" uri="{B025F937-C7B1-47D3-B67F-A62EFF666E3E}">
          <x14:id>{13A757FB-5DF6-4435-972F-75C49F227D18}</x14:id>
        </ext>
      </extLst>
    </cfRule>
  </conditionalFormatting>
  <conditionalFormatting sqref="M15:N15">
    <cfRule type="dataBar" priority="7">
      <dataBar>
        <cfvo type="min"/>
        <cfvo type="max"/>
        <color rgb="FF638EC6"/>
      </dataBar>
      <extLst>
        <ext xmlns:x14="http://schemas.microsoft.com/office/spreadsheetml/2009/9/main" uri="{B025F937-C7B1-47D3-B67F-A62EFF666E3E}">
          <x14:id>{B96B39B3-1C2C-4F7F-A279-26673DB6DE8A}</x14:id>
        </ext>
      </extLst>
    </cfRule>
  </conditionalFormatting>
  <conditionalFormatting sqref="O14">
    <cfRule type="dataBar" priority="10">
      <dataBar>
        <cfvo type="min"/>
        <cfvo type="max"/>
        <color rgb="FF638EC6"/>
      </dataBar>
      <extLst>
        <ext xmlns:x14="http://schemas.microsoft.com/office/spreadsheetml/2009/9/main" uri="{B025F937-C7B1-47D3-B67F-A62EFF666E3E}">
          <x14:id>{CDDC5CC8-D02A-4347-A21A-CA239474EC49}</x14:id>
        </ext>
      </extLst>
    </cfRule>
  </conditionalFormatting>
  <conditionalFormatting sqref="O15">
    <cfRule type="dataBar" priority="9">
      <dataBar>
        <cfvo type="min"/>
        <cfvo type="max"/>
        <color rgb="FF638EC6"/>
      </dataBar>
      <extLst>
        <ext xmlns:x14="http://schemas.microsoft.com/office/spreadsheetml/2009/9/main" uri="{B025F937-C7B1-47D3-B67F-A62EFF666E3E}">
          <x14:id>{D577C3E8-1E8F-4384-AE32-1DF1E1B9852F}</x14:id>
        </ext>
      </extLst>
    </cfRule>
  </conditionalFormatting>
  <conditionalFormatting sqref="P14">
    <cfRule type="dataBar" priority="6">
      <dataBar>
        <cfvo type="min"/>
        <cfvo type="max"/>
        <color rgb="FF638EC6"/>
      </dataBar>
      <extLst>
        <ext xmlns:x14="http://schemas.microsoft.com/office/spreadsheetml/2009/9/main" uri="{B025F937-C7B1-47D3-B67F-A62EFF666E3E}">
          <x14:id>{A18DFBFD-E195-4730-A2FE-1DB9F2DD2110}</x14:id>
        </ext>
      </extLst>
    </cfRule>
  </conditionalFormatting>
  <conditionalFormatting sqref="P15">
    <cfRule type="dataBar" priority="5">
      <dataBar>
        <cfvo type="min"/>
        <cfvo type="max"/>
        <color rgb="FF638EC6"/>
      </dataBar>
      <extLst>
        <ext xmlns:x14="http://schemas.microsoft.com/office/spreadsheetml/2009/9/main" uri="{B025F937-C7B1-47D3-B67F-A62EFF666E3E}">
          <x14:id>{0B3F1F6C-A99B-4432-B39A-E698F2666240}</x14:id>
        </ext>
      </extLst>
    </cfRule>
  </conditionalFormatting>
  <conditionalFormatting sqref="Q14">
    <cfRule type="dataBar" priority="4">
      <dataBar>
        <cfvo type="min"/>
        <cfvo type="max"/>
        <color rgb="FF638EC6"/>
      </dataBar>
      <extLst>
        <ext xmlns:x14="http://schemas.microsoft.com/office/spreadsheetml/2009/9/main" uri="{B025F937-C7B1-47D3-B67F-A62EFF666E3E}">
          <x14:id>{D84CFCA7-D664-4589-AA3A-278430A42E27}</x14:id>
        </ext>
      </extLst>
    </cfRule>
  </conditionalFormatting>
  <conditionalFormatting sqref="Q15">
    <cfRule type="dataBar" priority="3">
      <dataBar>
        <cfvo type="min"/>
        <cfvo type="max"/>
        <color rgb="FF638EC6"/>
      </dataBar>
      <extLst>
        <ext xmlns:x14="http://schemas.microsoft.com/office/spreadsheetml/2009/9/main" uri="{B025F937-C7B1-47D3-B67F-A62EFF666E3E}">
          <x14:id>{1F22E9EE-1BB6-47C1-AA00-5CA25022D970}</x14:id>
        </ext>
      </extLst>
    </cfRule>
  </conditionalFormatting>
  <conditionalFormatting sqref="R14">
    <cfRule type="dataBar" priority="2">
      <dataBar>
        <cfvo type="min"/>
        <cfvo type="max"/>
        <color rgb="FF638EC6"/>
      </dataBar>
      <extLst>
        <ext xmlns:x14="http://schemas.microsoft.com/office/spreadsheetml/2009/9/main" uri="{B025F937-C7B1-47D3-B67F-A62EFF666E3E}">
          <x14:id>{E14344C8-F46E-4ED2-A3DB-3604C8E0FD3C}</x14:id>
        </ext>
      </extLst>
    </cfRule>
  </conditionalFormatting>
  <conditionalFormatting sqref="R15">
    <cfRule type="dataBar" priority="1">
      <dataBar>
        <cfvo type="min"/>
        <cfvo type="max"/>
        <color rgb="FF638EC6"/>
      </dataBar>
      <extLst>
        <ext xmlns:x14="http://schemas.microsoft.com/office/spreadsheetml/2009/9/main" uri="{B025F937-C7B1-47D3-B67F-A62EFF666E3E}">
          <x14:id>{909368CF-DF93-4632-B5A0-1D67E1C39B87}</x14:id>
        </ext>
      </extLst>
    </cfRule>
  </conditionalFormatting>
  <pageMargins left="0.7" right="0.7" top="0.75" bottom="0.75" header="0.3" footer="0.3"/>
  <pageSetup paperSize="8" scale="73" fitToHeight="0" orientation="landscape" r:id="rId1"/>
  <extLst>
    <ext xmlns:x14="http://schemas.microsoft.com/office/spreadsheetml/2009/9/main" uri="{78C0D931-6437-407d-A8EE-F0AAD7539E65}">
      <x14:conditionalFormattings>
        <x14:conditionalFormatting xmlns:xm="http://schemas.microsoft.com/office/excel/2006/main">
          <x14:cfRule type="dataBar" id="{DCAEF408-BB30-4A7E-A0B6-147271EF3562}">
            <x14:dataBar minLength="0" maxLength="100" border="1" negativeBarBorderColorSameAsPositive="0">
              <x14:cfvo type="autoMin"/>
              <x14:cfvo type="autoMax"/>
              <x14:borderColor rgb="FF638EC6"/>
              <x14:negativeFillColor rgb="FFFF0000"/>
              <x14:negativeBorderColor rgb="FFFF0000"/>
              <x14:axisColor rgb="FF000000"/>
            </x14:dataBar>
          </x14:cfRule>
          <xm:sqref>G15 T14 E14:G14 H14:H15 S14:S15</xm:sqref>
        </x14:conditionalFormatting>
        <x14:conditionalFormatting xmlns:xm="http://schemas.microsoft.com/office/excel/2006/main">
          <x14:cfRule type="dataBar" id="{78C60D25-CA6D-4CE1-A38C-4657B52FCD7F}">
            <x14:dataBar minLength="0" maxLength="100" border="1" negativeBarBorderColorSameAsPositive="0">
              <x14:cfvo type="autoMin"/>
              <x14:cfvo type="autoMax"/>
              <x14:borderColor rgb="FF638EC6"/>
              <x14:negativeFillColor rgb="FFFF0000"/>
              <x14:negativeBorderColor rgb="FFFF0000"/>
              <x14:axisColor rgb="FF000000"/>
            </x14:dataBar>
          </x14:cfRule>
          <xm:sqref>I14:J14</xm:sqref>
        </x14:conditionalFormatting>
        <x14:conditionalFormatting xmlns:xm="http://schemas.microsoft.com/office/excel/2006/main">
          <x14:cfRule type="dataBar" id="{460F3594-1CF1-4077-9B40-7108C75A1C24}">
            <x14:dataBar minLength="0" maxLength="100" border="1" negativeBarBorderColorSameAsPositive="0">
              <x14:cfvo type="autoMin"/>
              <x14:cfvo type="autoMax"/>
              <x14:borderColor rgb="FF638EC6"/>
              <x14:negativeFillColor rgb="FFFF0000"/>
              <x14:negativeBorderColor rgb="FFFF0000"/>
              <x14:axisColor rgb="FF000000"/>
            </x14:dataBar>
          </x14:cfRule>
          <xm:sqref>J15</xm:sqref>
        </x14:conditionalFormatting>
        <x14:conditionalFormatting xmlns:xm="http://schemas.microsoft.com/office/excel/2006/main">
          <x14:cfRule type="dataBar" id="{A051A83B-3603-4665-BD56-126D8B60BBC0}">
            <x14:dataBar minLength="0" maxLength="100" border="1" negativeBarBorderColorSameAsPositive="0">
              <x14:cfvo type="autoMin"/>
              <x14:cfvo type="autoMax"/>
              <x14:borderColor rgb="FF638EC6"/>
              <x14:negativeFillColor rgb="FFFF0000"/>
              <x14:negativeBorderColor rgb="FFFF0000"/>
              <x14:axisColor rgb="FF000000"/>
            </x14:dataBar>
          </x14:cfRule>
          <xm:sqref>K14:L15</xm:sqref>
        </x14:conditionalFormatting>
        <x14:conditionalFormatting xmlns:xm="http://schemas.microsoft.com/office/excel/2006/main">
          <x14:cfRule type="dataBar" id="{13A757FB-5DF6-4435-972F-75C49F227D18}">
            <x14:dataBar minLength="0" maxLength="100" border="1" negativeBarBorderColorSameAsPositive="0">
              <x14:cfvo type="autoMin"/>
              <x14:cfvo type="autoMax"/>
              <x14:borderColor rgb="FF638EC6"/>
              <x14:negativeFillColor rgb="FFFF0000"/>
              <x14:negativeBorderColor rgb="FFFF0000"/>
              <x14:axisColor rgb="FF000000"/>
            </x14:dataBar>
          </x14:cfRule>
          <xm:sqref>M14:N14</xm:sqref>
        </x14:conditionalFormatting>
        <x14:conditionalFormatting xmlns:xm="http://schemas.microsoft.com/office/excel/2006/main">
          <x14:cfRule type="dataBar" id="{B96B39B3-1C2C-4F7F-A279-26673DB6DE8A}">
            <x14:dataBar minLength="0" maxLength="100" border="1" negativeBarBorderColorSameAsPositive="0">
              <x14:cfvo type="autoMin"/>
              <x14:cfvo type="autoMax"/>
              <x14:borderColor rgb="FF638EC6"/>
              <x14:negativeFillColor rgb="FFFF0000"/>
              <x14:negativeBorderColor rgb="FFFF0000"/>
              <x14:axisColor rgb="FF000000"/>
            </x14:dataBar>
          </x14:cfRule>
          <xm:sqref>M15:N15</xm:sqref>
        </x14:conditionalFormatting>
        <x14:conditionalFormatting xmlns:xm="http://schemas.microsoft.com/office/excel/2006/main">
          <x14:cfRule type="dataBar" id="{CDDC5CC8-D02A-4347-A21A-CA239474EC49}">
            <x14:dataBar minLength="0" maxLength="100" border="1" negativeBarBorderColorSameAsPositive="0">
              <x14:cfvo type="autoMin"/>
              <x14:cfvo type="autoMax"/>
              <x14:borderColor rgb="FF638EC6"/>
              <x14:negativeFillColor rgb="FFFF0000"/>
              <x14:negativeBorderColor rgb="FFFF0000"/>
              <x14:axisColor rgb="FF000000"/>
            </x14:dataBar>
          </x14:cfRule>
          <xm:sqref>O14</xm:sqref>
        </x14:conditionalFormatting>
        <x14:conditionalFormatting xmlns:xm="http://schemas.microsoft.com/office/excel/2006/main">
          <x14:cfRule type="dataBar" id="{D577C3E8-1E8F-4384-AE32-1DF1E1B9852F}">
            <x14:dataBar minLength="0" maxLength="100" border="1" negativeBarBorderColorSameAsPositive="0">
              <x14:cfvo type="autoMin"/>
              <x14:cfvo type="autoMax"/>
              <x14:borderColor rgb="FF638EC6"/>
              <x14:negativeFillColor rgb="FFFF0000"/>
              <x14:negativeBorderColor rgb="FFFF0000"/>
              <x14:axisColor rgb="FF000000"/>
            </x14:dataBar>
          </x14:cfRule>
          <xm:sqref>O15</xm:sqref>
        </x14:conditionalFormatting>
        <x14:conditionalFormatting xmlns:xm="http://schemas.microsoft.com/office/excel/2006/main">
          <x14:cfRule type="dataBar" id="{A18DFBFD-E195-4730-A2FE-1DB9F2DD2110}">
            <x14:dataBar minLength="0" maxLength="100" border="1" negativeBarBorderColorSameAsPositive="0">
              <x14:cfvo type="autoMin"/>
              <x14:cfvo type="autoMax"/>
              <x14:borderColor rgb="FF638EC6"/>
              <x14:negativeFillColor rgb="FFFF0000"/>
              <x14:negativeBorderColor rgb="FFFF0000"/>
              <x14:axisColor rgb="FF000000"/>
            </x14:dataBar>
          </x14:cfRule>
          <xm:sqref>P14</xm:sqref>
        </x14:conditionalFormatting>
        <x14:conditionalFormatting xmlns:xm="http://schemas.microsoft.com/office/excel/2006/main">
          <x14:cfRule type="dataBar" id="{0B3F1F6C-A99B-4432-B39A-E698F2666240}">
            <x14:dataBar minLength="0" maxLength="100" border="1" negativeBarBorderColorSameAsPositive="0">
              <x14:cfvo type="autoMin"/>
              <x14:cfvo type="autoMax"/>
              <x14:borderColor rgb="FF638EC6"/>
              <x14:negativeFillColor rgb="FFFF0000"/>
              <x14:negativeBorderColor rgb="FFFF0000"/>
              <x14:axisColor rgb="FF000000"/>
            </x14:dataBar>
          </x14:cfRule>
          <xm:sqref>P15</xm:sqref>
        </x14:conditionalFormatting>
        <x14:conditionalFormatting xmlns:xm="http://schemas.microsoft.com/office/excel/2006/main">
          <x14:cfRule type="dataBar" id="{D84CFCA7-D664-4589-AA3A-278430A42E27}">
            <x14:dataBar minLength="0" maxLength="100" border="1" negativeBarBorderColorSameAsPositive="0">
              <x14:cfvo type="autoMin"/>
              <x14:cfvo type="autoMax"/>
              <x14:borderColor rgb="FF638EC6"/>
              <x14:negativeFillColor rgb="FFFF0000"/>
              <x14:negativeBorderColor rgb="FFFF0000"/>
              <x14:axisColor rgb="FF000000"/>
            </x14:dataBar>
          </x14:cfRule>
          <xm:sqref>Q14</xm:sqref>
        </x14:conditionalFormatting>
        <x14:conditionalFormatting xmlns:xm="http://schemas.microsoft.com/office/excel/2006/main">
          <x14:cfRule type="dataBar" id="{1F22E9EE-1BB6-47C1-AA00-5CA25022D970}">
            <x14:dataBar minLength="0" maxLength="100" border="1" negativeBarBorderColorSameAsPositive="0">
              <x14:cfvo type="autoMin"/>
              <x14:cfvo type="autoMax"/>
              <x14:borderColor rgb="FF638EC6"/>
              <x14:negativeFillColor rgb="FFFF0000"/>
              <x14:negativeBorderColor rgb="FFFF0000"/>
              <x14:axisColor rgb="FF000000"/>
            </x14:dataBar>
          </x14:cfRule>
          <xm:sqref>Q15</xm:sqref>
        </x14:conditionalFormatting>
        <x14:conditionalFormatting xmlns:xm="http://schemas.microsoft.com/office/excel/2006/main">
          <x14:cfRule type="dataBar" id="{E14344C8-F46E-4ED2-A3DB-3604C8E0FD3C}">
            <x14:dataBar minLength="0" maxLength="100" border="1" negativeBarBorderColorSameAsPositive="0">
              <x14:cfvo type="autoMin"/>
              <x14:cfvo type="autoMax"/>
              <x14:borderColor rgb="FF638EC6"/>
              <x14:negativeFillColor rgb="FFFF0000"/>
              <x14:negativeBorderColor rgb="FFFF0000"/>
              <x14:axisColor rgb="FF000000"/>
            </x14:dataBar>
          </x14:cfRule>
          <xm:sqref>R14</xm:sqref>
        </x14:conditionalFormatting>
        <x14:conditionalFormatting xmlns:xm="http://schemas.microsoft.com/office/excel/2006/main">
          <x14:cfRule type="dataBar" id="{909368CF-DF93-4632-B5A0-1D67E1C39B87}">
            <x14:dataBar minLength="0" maxLength="100" border="1" negativeBarBorderColorSameAsPositive="0">
              <x14:cfvo type="autoMin"/>
              <x14:cfvo type="autoMax"/>
              <x14:borderColor rgb="FF638EC6"/>
              <x14:negativeFillColor rgb="FFFF0000"/>
              <x14:negativeBorderColor rgb="FFFF0000"/>
              <x14:axisColor rgb="FF000000"/>
            </x14:dataBar>
          </x14:cfRule>
          <xm:sqref>R15</xm:sqref>
        </x14:conditionalFormatting>
      </x14:conditionalFormatting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38682-C9BD-44D7-AD09-D6667D127E7E}">
  <sheetPr>
    <pageSetUpPr fitToPage="1"/>
  </sheetPr>
  <dimension ref="A1:BB1142"/>
  <sheetViews>
    <sheetView topLeftCell="A2" zoomScale="96" zoomScaleNormal="96" zoomScaleSheetLayoutView="84" workbookViewId="0">
      <selection activeCell="A128" sqref="A128:XFD130"/>
    </sheetView>
  </sheetViews>
  <sheetFormatPr defaultColWidth="9.109375" defaultRowHeight="39.75" customHeight="1"/>
  <cols>
    <col min="1" max="1" width="14.88671875" style="84" customWidth="1"/>
    <col min="2" max="2" width="35.44140625" style="84" customWidth="1"/>
    <col min="3" max="3" width="6.33203125" style="84" customWidth="1"/>
    <col min="4" max="4" width="7.5546875" style="84" customWidth="1"/>
    <col min="5" max="6" width="10.6640625" style="86" hidden="1" customWidth="1"/>
    <col min="7" max="7" width="10.6640625" style="84" hidden="1" customWidth="1"/>
    <col min="8" max="9" width="15.5546875" style="84" hidden="1" customWidth="1"/>
    <col min="10" max="10" width="15.5546875" style="91" hidden="1" customWidth="1"/>
    <col min="11" max="11" width="15.109375" style="84" hidden="1" customWidth="1"/>
    <col min="12" max="12" width="15" style="84" customWidth="1"/>
    <col min="13" max="13" width="15.33203125" style="1647" hidden="1" customWidth="1"/>
    <col min="14" max="14" width="8.88671875" style="84" hidden="1" customWidth="1"/>
    <col min="15" max="15" width="15.5546875" style="84" customWidth="1"/>
    <col min="16" max="16" width="15.5546875" style="1647" hidden="1" customWidth="1"/>
    <col min="17" max="17" width="15.5546875" style="84" customWidth="1"/>
    <col min="18" max="18" width="15.5546875" style="1647" hidden="1" customWidth="1"/>
    <col min="19" max="19" width="12.109375" style="200" customWidth="1"/>
    <col min="20" max="20" width="61" style="84" customWidth="1"/>
    <col min="21" max="21" width="13.6640625" style="84" customWidth="1"/>
    <col min="22" max="22" width="30.5546875" style="84" customWidth="1"/>
    <col min="23" max="24" width="6.33203125" style="200" hidden="1" customWidth="1"/>
    <col min="25" max="27" width="6.33203125" style="200" customWidth="1"/>
    <col min="28" max="28" width="29.44140625" style="84" customWidth="1"/>
    <col min="29" max="30" width="0" style="84" hidden="1" customWidth="1"/>
    <col min="31" max="31" width="8.88671875" hidden="1" customWidth="1"/>
    <col min="32" max="32" width="23.5546875" customWidth="1"/>
    <col min="33" max="16384" width="9.109375" style="84"/>
  </cols>
  <sheetData>
    <row r="1" spans="1:32" ht="39.75" hidden="1" customHeight="1">
      <c r="A1" s="2990" t="s">
        <v>2138</v>
      </c>
      <c r="B1" s="2990"/>
      <c r="C1" s="2990"/>
      <c r="D1" s="2990"/>
      <c r="E1" s="2990"/>
      <c r="F1" s="2990"/>
      <c r="G1" s="2990"/>
      <c r="H1" s="2990"/>
      <c r="I1" s="2990"/>
      <c r="J1" s="2990"/>
      <c r="K1" s="2990"/>
      <c r="L1" s="2990"/>
      <c r="M1" s="2990"/>
      <c r="N1" s="2990"/>
      <c r="O1" s="2990"/>
      <c r="P1" s="2990"/>
      <c r="Q1" s="2990"/>
      <c r="R1" s="2990"/>
      <c r="S1" s="2990"/>
      <c r="T1" s="2992"/>
      <c r="U1" s="117"/>
      <c r="V1" s="117"/>
      <c r="W1" s="85">
        <v>2024</v>
      </c>
      <c r="X1" s="85">
        <v>2025</v>
      </c>
      <c r="Y1" s="85">
        <v>2026</v>
      </c>
      <c r="Z1" s="403"/>
      <c r="AA1" s="1746"/>
      <c r="AB1" s="117"/>
      <c r="AE1" s="84"/>
      <c r="AF1" s="84"/>
    </row>
    <row r="2" spans="1:32" ht="25.8" customHeight="1">
      <c r="A2" s="2990" t="s">
        <v>2138</v>
      </c>
      <c r="B2" s="2990"/>
      <c r="C2" s="2990"/>
      <c r="D2" s="2990"/>
      <c r="E2" s="2990"/>
      <c r="F2" s="2990"/>
      <c r="G2" s="2990"/>
      <c r="H2" s="2990"/>
      <c r="I2" s="2990"/>
      <c r="J2" s="2990"/>
      <c r="K2" s="2990"/>
      <c r="L2" s="2990"/>
      <c r="M2" s="2990"/>
      <c r="N2" s="2990"/>
      <c r="O2" s="2990"/>
      <c r="P2" s="2990"/>
      <c r="Q2" s="2990"/>
      <c r="R2" s="2990"/>
      <c r="S2" s="2990"/>
      <c r="T2" s="2990"/>
      <c r="W2" s="2990"/>
      <c r="X2" s="2990"/>
      <c r="Y2" s="2990"/>
      <c r="Z2" s="2990"/>
      <c r="AA2" s="2990"/>
      <c r="AB2" s="2990"/>
      <c r="AE2" s="84"/>
      <c r="AF2" s="84"/>
    </row>
    <row r="3" spans="1:32" ht="29.4" customHeight="1">
      <c r="A3" s="2941" t="s">
        <v>2689</v>
      </c>
      <c r="B3" s="2941"/>
      <c r="C3" s="2941"/>
      <c r="D3" s="2941"/>
      <c r="E3" s="2941"/>
      <c r="F3" s="2941"/>
      <c r="G3" s="2941"/>
      <c r="H3" s="2941"/>
      <c r="I3" s="2941"/>
      <c r="J3" s="2941"/>
      <c r="K3" s="2941"/>
      <c r="L3" s="2941"/>
      <c r="M3" s="2941"/>
      <c r="N3" s="2941"/>
      <c r="O3" s="2941"/>
      <c r="P3" s="2941"/>
      <c r="Q3" s="2941"/>
      <c r="R3" s="2941"/>
      <c r="S3" s="2941"/>
      <c r="T3" s="2941"/>
      <c r="U3" s="2941"/>
      <c r="V3" s="2941"/>
      <c r="W3" s="2941"/>
      <c r="X3" s="2941"/>
      <c r="Y3" s="2941"/>
      <c r="Z3" s="2941"/>
      <c r="AA3" s="2941"/>
      <c r="AB3" s="2941"/>
      <c r="AE3" s="84"/>
      <c r="AF3" s="84"/>
    </row>
    <row r="4" spans="1:32" s="89" customFormat="1" ht="10.8" customHeight="1">
      <c r="A4" s="121"/>
      <c r="B4" s="121"/>
      <c r="C4" s="87"/>
      <c r="D4" s="87"/>
      <c r="E4" s="87"/>
      <c r="F4" s="87"/>
      <c r="H4" s="87"/>
      <c r="I4" s="87"/>
      <c r="J4" s="409"/>
      <c r="M4" s="1632"/>
      <c r="P4" s="1632"/>
      <c r="R4" s="1632"/>
      <c r="S4" s="202"/>
      <c r="W4" s="202"/>
      <c r="X4" s="202"/>
      <c r="Y4" s="202"/>
      <c r="Z4" s="202"/>
      <c r="AA4" s="202"/>
    </row>
    <row r="5" spans="1:32" s="89" customFormat="1" ht="12.6" customHeight="1">
      <c r="A5" s="89" t="str">
        <f>A22</f>
        <v>05.01.01. (T)</v>
      </c>
      <c r="B5" s="2941" t="str">
        <f>B22</f>
        <v>Skatinti vietos bendruomenių iniciatyvas</v>
      </c>
      <c r="C5" s="2941"/>
      <c r="D5" s="2941"/>
      <c r="E5" s="2941"/>
      <c r="F5" s="2941"/>
      <c r="G5" s="2941"/>
      <c r="H5" s="2941"/>
      <c r="I5" s="2941"/>
      <c r="J5" s="2941"/>
      <c r="K5" s="2941"/>
      <c r="L5" s="2941"/>
      <c r="M5" s="2941"/>
      <c r="N5" s="2941"/>
      <c r="O5" s="2941"/>
      <c r="P5" s="1632"/>
      <c r="R5" s="1632"/>
      <c r="S5" s="202"/>
      <c r="W5" s="202"/>
      <c r="X5" s="202"/>
      <c r="Y5" s="202"/>
      <c r="Z5" s="202"/>
      <c r="AA5" s="202"/>
    </row>
    <row r="6" spans="1:32" s="89" customFormat="1" ht="17.399999999999999" customHeight="1">
      <c r="A6" s="198" t="str">
        <f>A47</f>
        <v>05.02.01. (T)</v>
      </c>
      <c r="B6" s="2941" t="str">
        <f>B47</f>
        <v xml:space="preserve">Įgyvendinti Lietuvos Respublikos jaunimo politikos pagrindų įstatymo nuostatas </v>
      </c>
      <c r="C6" s="2941"/>
      <c r="D6" s="2941"/>
      <c r="E6" s="2941"/>
      <c r="F6" s="2941"/>
      <c r="G6" s="2941"/>
      <c r="H6" s="2941"/>
      <c r="I6" s="2941"/>
      <c r="J6" s="2941"/>
      <c r="K6" s="2941"/>
      <c r="L6" s="2941"/>
      <c r="M6" s="2941"/>
      <c r="N6" s="2941"/>
      <c r="O6" s="2941"/>
      <c r="P6" s="1632"/>
      <c r="R6" s="1632"/>
      <c r="S6" s="202"/>
      <c r="W6" s="202"/>
      <c r="X6" s="202"/>
      <c r="Y6" s="202"/>
      <c r="Z6" s="202"/>
      <c r="AA6" s="202"/>
    </row>
    <row r="7" spans="1:32" s="89" customFormat="1" ht="12.6" customHeight="1">
      <c r="A7" s="89" t="str">
        <f>A56</f>
        <v>05.03.01. (T)</v>
      </c>
      <c r="B7" s="2941" t="str">
        <f>B56</f>
        <v>Kurti ir plėtoti saugią aplinką 
Visagino savivaldybėje</v>
      </c>
      <c r="C7" s="2941"/>
      <c r="D7" s="2941"/>
      <c r="E7" s="2941"/>
      <c r="F7" s="2941"/>
      <c r="G7" s="2941"/>
      <c r="H7" s="2941"/>
      <c r="I7" s="2941"/>
      <c r="J7" s="2941"/>
      <c r="K7" s="2941"/>
      <c r="L7" s="2941"/>
      <c r="M7" s="2941"/>
      <c r="N7" s="2941"/>
      <c r="O7" s="2941"/>
      <c r="P7" s="1632"/>
      <c r="R7" s="1632"/>
      <c r="S7" s="202"/>
      <c r="W7" s="202"/>
      <c r="X7" s="202"/>
      <c r="Y7" s="202"/>
      <c r="Z7" s="202"/>
      <c r="AA7" s="202"/>
    </row>
    <row r="8" spans="1:32" ht="12.6" customHeight="1">
      <c r="A8" s="89" t="str">
        <f>A80</f>
        <v>05.04.01. (T)</v>
      </c>
      <c r="B8" s="2941" t="str">
        <f>B80</f>
        <v>Skatinti bendruomenę 
dalyvauti prevencinėse ir šviečiamosiose veiklose</v>
      </c>
      <c r="C8" s="2941"/>
      <c r="D8" s="2941"/>
      <c r="E8" s="2941"/>
      <c r="F8" s="2941"/>
      <c r="G8" s="2941"/>
      <c r="H8" s="2941"/>
      <c r="I8" s="2941"/>
      <c r="J8" s="2941"/>
      <c r="K8" s="2941"/>
      <c r="L8" s="2941"/>
      <c r="M8" s="2941"/>
      <c r="N8" s="2941"/>
      <c r="O8" s="2941"/>
      <c r="AE8" s="84"/>
      <c r="AF8" s="84"/>
    </row>
    <row r="9" spans="1:32" ht="16.8" customHeight="1">
      <c r="A9" s="89" t="str">
        <f>A93</f>
        <v>05.05.01. (T)</v>
      </c>
      <c r="B9" s="2941" t="str">
        <f>B93</f>
        <v xml:space="preserve">Įgyvendinti diasporos politikos  strategines gaires „Globali Lietuva" 2023 - 2030 m. </v>
      </c>
      <c r="C9" s="2941"/>
      <c r="D9" s="2941"/>
      <c r="E9" s="2941"/>
      <c r="F9" s="2941"/>
      <c r="G9" s="2941"/>
      <c r="H9" s="2941"/>
      <c r="I9" s="2941"/>
      <c r="J9" s="2941"/>
      <c r="K9" s="2941"/>
      <c r="L9" s="2941"/>
      <c r="M9" s="2941"/>
      <c r="N9" s="2941"/>
      <c r="O9" s="2941"/>
      <c r="AE9" s="84"/>
      <c r="AF9" s="84"/>
    </row>
    <row r="10" spans="1:32" ht="16.8" customHeight="1">
      <c r="A10" s="89" t="str">
        <f>A96</f>
        <v>05.05.02. (T)</v>
      </c>
      <c r="B10" s="2941" t="str">
        <f>B96</f>
        <v xml:space="preserve">Įgyvendinti Lietuvos Respublikos lygių galimybių įstatymo nuostatas </v>
      </c>
      <c r="C10" s="2941"/>
      <c r="D10" s="2941"/>
      <c r="E10" s="2941"/>
      <c r="F10" s="2941"/>
      <c r="G10" s="2941"/>
      <c r="H10" s="2941"/>
      <c r="I10" s="2941"/>
      <c r="J10" s="2941"/>
      <c r="K10" s="2941"/>
      <c r="L10" s="2941"/>
      <c r="M10" s="2941"/>
      <c r="N10" s="2941"/>
      <c r="O10" s="2941"/>
      <c r="AE10" s="84"/>
      <c r="AF10" s="84"/>
    </row>
    <row r="11" spans="1:32" ht="16.8" customHeight="1">
      <c r="A11" s="89" t="str">
        <f>A99</f>
        <v>05.05.03. (T)</v>
      </c>
      <c r="B11" s="2941" t="str">
        <f>B99</f>
        <v>Įgyvendinti Lietuvos Respublikos moterų ir vyrų lygių galimybių įstatymo nuostatas savivaldybėje</v>
      </c>
      <c r="C11" s="2941"/>
      <c r="D11" s="2941"/>
      <c r="E11" s="2941"/>
      <c r="F11" s="2941"/>
      <c r="G11" s="2941"/>
      <c r="H11" s="2941"/>
      <c r="I11" s="2941"/>
      <c r="J11" s="2941"/>
      <c r="K11" s="2941"/>
      <c r="L11" s="2941"/>
      <c r="M11" s="2941"/>
      <c r="N11" s="2941"/>
      <c r="O11" s="2941"/>
      <c r="AE11" s="84"/>
      <c r="AF11" s="84"/>
    </row>
    <row r="12" spans="1:32" ht="32.4" customHeight="1">
      <c r="A12" s="89" t="str">
        <f>A102</f>
        <v>05.05.04. (T)</v>
      </c>
      <c r="B12" s="2941" t="str">
        <f>B102</f>
        <v>Įgyvendinti palankias sąlygas Vaiko gerovei, padedant jo tėvams (globėjams, rūpintojams) kurti saugią aplinką, užtikrinti gyvenimo, asmeninių bei socialinių ryšių kokybę</v>
      </c>
      <c r="C12" s="2941"/>
      <c r="D12" s="2941"/>
      <c r="E12" s="2941"/>
      <c r="F12" s="2941"/>
      <c r="G12" s="2941"/>
      <c r="H12" s="2941"/>
      <c r="I12" s="2941"/>
      <c r="J12" s="2941"/>
      <c r="K12" s="2941"/>
      <c r="L12" s="2941"/>
      <c r="M12" s="2941"/>
      <c r="N12" s="2941"/>
      <c r="O12" s="2941"/>
      <c r="AE12" s="84"/>
      <c r="AF12" s="84"/>
    </row>
    <row r="13" spans="1:32" ht="16.8" customHeight="1">
      <c r="A13" s="89"/>
      <c r="B13" s="89"/>
      <c r="C13" s="89"/>
      <c r="D13" s="89"/>
      <c r="E13" s="89"/>
      <c r="F13" s="89"/>
      <c r="G13" s="89"/>
      <c r="H13" s="89"/>
      <c r="I13" s="89"/>
      <c r="J13" s="479"/>
      <c r="AE13" s="84"/>
      <c r="AF13" s="84"/>
    </row>
    <row r="14" spans="1:32" ht="16.8" hidden="1" customHeight="1">
      <c r="A14" s="89"/>
      <c r="B14" s="89"/>
      <c r="C14" s="89"/>
      <c r="D14" s="89"/>
      <c r="E14" s="89"/>
      <c r="F14" s="89"/>
      <c r="G14" s="89"/>
      <c r="H14" s="89"/>
      <c r="I14" s="89"/>
      <c r="J14" s="479"/>
      <c r="AE14" s="84"/>
      <c r="AF14" s="84"/>
    </row>
    <row r="15" spans="1:32" ht="24" hidden="1" customHeight="1">
      <c r="E15" s="84"/>
      <c r="F15" s="84"/>
      <c r="AE15" s="84"/>
      <c r="AF15" s="84"/>
    </row>
    <row r="16" spans="1:32" ht="22.8" customHeight="1">
      <c r="A16" s="2920" t="s">
        <v>3827</v>
      </c>
      <c r="B16" s="2920"/>
      <c r="C16" s="2920"/>
      <c r="D16" s="2920"/>
      <c r="E16" s="2920"/>
      <c r="F16" s="112"/>
      <c r="G16" s="112"/>
      <c r="H16" s="82"/>
      <c r="I16" s="82"/>
      <c r="J16" s="480"/>
      <c r="K16" s="83"/>
      <c r="L16" s="83"/>
      <c r="M16" s="1630"/>
      <c r="N16" s="83"/>
      <c r="O16" s="83"/>
      <c r="P16" s="1630"/>
      <c r="Q16" s="83"/>
      <c r="R16" s="1630"/>
      <c r="S16" s="944"/>
      <c r="T16" s="83"/>
      <c r="W16" s="201"/>
      <c r="X16" s="201"/>
      <c r="Y16" s="201"/>
      <c r="Z16" s="201"/>
      <c r="AA16" s="201"/>
      <c r="AB16" s="82"/>
      <c r="AE16" s="84"/>
      <c r="AF16" s="84"/>
    </row>
    <row r="17" spans="1:54" ht="70.2" customHeight="1">
      <c r="A17" s="2920" t="s">
        <v>4720</v>
      </c>
      <c r="B17" s="2920"/>
      <c r="C17" s="2920"/>
      <c r="D17" s="2920"/>
      <c r="E17" s="2920"/>
      <c r="F17" s="2920"/>
      <c r="G17" s="2920"/>
      <c r="H17" s="2920"/>
      <c r="I17" s="2920"/>
      <c r="J17" s="2920"/>
      <c r="K17" s="2920"/>
      <c r="L17" s="2920"/>
      <c r="M17" s="2920"/>
      <c r="N17" s="2920"/>
      <c r="O17" s="2920"/>
      <c r="P17" s="2920"/>
      <c r="Q17" s="2920"/>
      <c r="R17" s="2920"/>
      <c r="S17" s="2920"/>
      <c r="T17" s="2920"/>
      <c r="U17" s="2920"/>
      <c r="V17" s="2920"/>
      <c r="W17" s="2920"/>
      <c r="X17" s="2920"/>
      <c r="Y17" s="2920"/>
      <c r="Z17" s="2920"/>
      <c r="AA17" s="2920"/>
      <c r="AB17" s="2920"/>
      <c r="AE17" s="84"/>
      <c r="AF17" s="84"/>
    </row>
    <row r="18" spans="1:54" s="89" customFormat="1" ht="8.4" customHeight="1">
      <c r="A18" s="87"/>
      <c r="B18" s="87"/>
      <c r="C18" s="87"/>
      <c r="D18" s="87"/>
      <c r="E18" s="87"/>
      <c r="F18" s="87"/>
      <c r="H18" s="87"/>
      <c r="I18" s="87"/>
      <c r="J18" s="409"/>
      <c r="M18" s="1632"/>
      <c r="P18" s="1632"/>
      <c r="R18" s="1632"/>
      <c r="S18" s="202"/>
      <c r="W18" s="202"/>
      <c r="X18" s="202"/>
      <c r="Y18" s="202"/>
      <c r="Z18" s="202"/>
      <c r="AA18" s="202"/>
    </row>
    <row r="19" spans="1:54" ht="15" customHeight="1">
      <c r="A19" s="2991" t="s">
        <v>3617</v>
      </c>
      <c r="B19" s="2991"/>
      <c r="C19" s="2991"/>
      <c r="D19" s="2991"/>
      <c r="E19" s="2991"/>
      <c r="F19" s="2991"/>
      <c r="G19" s="2991"/>
      <c r="H19" s="2991"/>
      <c r="I19" s="2991"/>
      <c r="J19" s="2991"/>
      <c r="K19" s="2991"/>
      <c r="L19" s="2991"/>
      <c r="M19" s="2991"/>
      <c r="N19" s="2991"/>
      <c r="O19" s="2991"/>
      <c r="P19" s="2991"/>
      <c r="Q19" s="2991"/>
      <c r="R19" s="2991"/>
      <c r="S19" s="2991"/>
      <c r="T19" s="2991"/>
      <c r="W19" s="201"/>
      <c r="X19" s="201"/>
      <c r="Y19" s="201"/>
      <c r="Z19" s="201"/>
      <c r="AA19" s="201"/>
      <c r="AB19" s="82"/>
      <c r="AE19" s="84"/>
      <c r="AF19" s="84"/>
    </row>
    <row r="20" spans="1:54" ht="132" customHeight="1">
      <c r="A20" s="2691" t="s">
        <v>728</v>
      </c>
      <c r="B20" s="2691" t="s">
        <v>1899</v>
      </c>
      <c r="C20" s="2717" t="s">
        <v>1064</v>
      </c>
      <c r="D20" s="2717" t="s">
        <v>1065</v>
      </c>
      <c r="E20" s="2716" t="s">
        <v>1081</v>
      </c>
      <c r="F20" s="2716" t="s">
        <v>1173</v>
      </c>
      <c r="G20" s="2993" t="s">
        <v>1079</v>
      </c>
      <c r="H20" s="2691" t="s">
        <v>1916</v>
      </c>
      <c r="I20" s="2716" t="s">
        <v>2882</v>
      </c>
      <c r="J20" s="2715" t="s">
        <v>2883</v>
      </c>
      <c r="K20" s="2691" t="s">
        <v>1915</v>
      </c>
      <c r="L20" s="2691" t="s">
        <v>1970</v>
      </c>
      <c r="M20" s="2692" t="s">
        <v>3824</v>
      </c>
      <c r="N20" s="2131" t="s">
        <v>3835</v>
      </c>
      <c r="O20" s="2691" t="s">
        <v>2881</v>
      </c>
      <c r="P20" s="2692" t="s">
        <v>3825</v>
      </c>
      <c r="Q20" s="2691" t="s">
        <v>3823</v>
      </c>
      <c r="R20" s="2692" t="s">
        <v>3826</v>
      </c>
      <c r="S20" s="2691" t="s">
        <v>1937</v>
      </c>
      <c r="T20" s="2691" t="s">
        <v>2740</v>
      </c>
      <c r="U20" s="2713" t="s">
        <v>729</v>
      </c>
      <c r="V20" s="2713" t="s">
        <v>1083</v>
      </c>
      <c r="W20" s="2745" t="s">
        <v>730</v>
      </c>
      <c r="X20" s="2746"/>
      <c r="Y20" s="2746"/>
      <c r="Z20" s="2746"/>
      <c r="AA20" s="2747"/>
      <c r="AB20" s="2713" t="s">
        <v>731</v>
      </c>
      <c r="AE20" s="84"/>
      <c r="AF20" s="84"/>
    </row>
    <row r="21" spans="1:54" ht="39.75" customHeight="1">
      <c r="A21" s="2691"/>
      <c r="B21" s="2691"/>
      <c r="C21" s="2717"/>
      <c r="D21" s="2717"/>
      <c r="E21" s="2716"/>
      <c r="F21" s="2716"/>
      <c r="G21" s="2993"/>
      <c r="H21" s="2691"/>
      <c r="I21" s="2716"/>
      <c r="J21" s="2715"/>
      <c r="K21" s="2691"/>
      <c r="L21" s="2691"/>
      <c r="M21" s="2692"/>
      <c r="N21" s="2131"/>
      <c r="O21" s="2691"/>
      <c r="P21" s="2692"/>
      <c r="Q21" s="2691"/>
      <c r="R21" s="2692"/>
      <c r="S21" s="2691"/>
      <c r="T21" s="2691"/>
      <c r="U21" s="2713"/>
      <c r="V21" s="2713"/>
      <c r="W21" s="203">
        <v>2024</v>
      </c>
      <c r="X21" s="203">
        <v>2025</v>
      </c>
      <c r="Y21" s="203">
        <v>2026</v>
      </c>
      <c r="Z21" s="404">
        <v>2027</v>
      </c>
      <c r="AA21" s="404">
        <v>2028</v>
      </c>
      <c r="AB21" s="2713"/>
      <c r="AE21" s="84"/>
      <c r="AF21" s="84"/>
    </row>
    <row r="22" spans="1:54" s="268" customFormat="1" ht="39.75" customHeight="1">
      <c r="A22" s="697" t="s">
        <v>1976</v>
      </c>
      <c r="B22" s="697" t="s">
        <v>1198</v>
      </c>
      <c r="C22" s="697"/>
      <c r="D22" s="697"/>
      <c r="E22" s="745">
        <f>SUM(E25,E29,E34,E37,E42,E44)</f>
        <v>77.731999999999999</v>
      </c>
      <c r="F22" s="897">
        <f t="shared" ref="F22:F48" si="0">H22/E22-1</f>
        <v>0.30248803581536565</v>
      </c>
      <c r="G22" s="745">
        <f>SUM(G25,G29,G34,G37,G42,G44)</f>
        <v>177.65600000000001</v>
      </c>
      <c r="H22" s="746">
        <f>SUM(H25,H29,H34,H37,H42,H44)</f>
        <v>101.245</v>
      </c>
      <c r="I22" s="747">
        <f>K22/H22-1</f>
        <v>1.1397106029927402</v>
      </c>
      <c r="J22" s="745">
        <f t="shared" ref="J22:R22" si="1">SUM(J25,J29,J34,J37,J42,J44)</f>
        <v>229.61</v>
      </c>
      <c r="K22" s="746">
        <f t="shared" si="1"/>
        <v>216.63499999999999</v>
      </c>
      <c r="L22" s="746">
        <f>SUM(L25,L29,L34,L37,L42,L44,L46)</f>
        <v>228.48999999999998</v>
      </c>
      <c r="M22" s="746">
        <f t="shared" ref="M22:Q22" si="2">SUM(M25,M29,M34,M37,M42,M44,M46)</f>
        <v>248.49</v>
      </c>
      <c r="N22" s="746">
        <f t="shared" si="2"/>
        <v>2.4433330621778562E-2</v>
      </c>
      <c r="O22" s="746">
        <f t="shared" si="2"/>
        <v>179.35</v>
      </c>
      <c r="P22" s="746">
        <f t="shared" si="2"/>
        <v>188.35</v>
      </c>
      <c r="Q22" s="746">
        <f t="shared" si="2"/>
        <v>177.6</v>
      </c>
      <c r="R22" s="1497">
        <f t="shared" si="1"/>
        <v>174.6</v>
      </c>
      <c r="S22" s="697" t="s">
        <v>955</v>
      </c>
      <c r="T22" s="697"/>
      <c r="U22" s="697" t="s">
        <v>1383</v>
      </c>
      <c r="V22" s="663" t="s">
        <v>3334</v>
      </c>
      <c r="W22" s="671" t="s">
        <v>1725</v>
      </c>
      <c r="X22" s="671" t="s">
        <v>1725</v>
      </c>
      <c r="Y22" s="671" t="s">
        <v>1725</v>
      </c>
      <c r="Z22" s="671" t="s">
        <v>1681</v>
      </c>
      <c r="AA22" s="671" t="s">
        <v>1681</v>
      </c>
      <c r="AB22" s="671" t="s">
        <v>957</v>
      </c>
      <c r="AC22" s="199"/>
      <c r="AD22" s="199"/>
      <c r="AE22" s="199"/>
      <c r="AF22" s="199"/>
      <c r="AG22" s="199"/>
      <c r="AH22" s="199"/>
      <c r="AI22" s="199"/>
      <c r="AJ22" s="199"/>
      <c r="AK22" s="199"/>
      <c r="AL22" s="199"/>
      <c r="AM22" s="199"/>
      <c r="AN22" s="199"/>
      <c r="AO22" s="199"/>
      <c r="AP22" s="199"/>
      <c r="AQ22" s="199"/>
      <c r="AR22" s="199"/>
      <c r="AS22" s="199"/>
      <c r="AT22" s="199"/>
      <c r="AU22" s="199"/>
      <c r="AV22" s="199"/>
      <c r="AW22" s="199"/>
      <c r="AX22" s="199"/>
      <c r="AY22" s="199"/>
      <c r="AZ22" s="199"/>
      <c r="BA22" s="199"/>
      <c r="BB22" s="267"/>
    </row>
    <row r="23" spans="1:54" ht="39.75" customHeight="1">
      <c r="A23" s="2879" t="s">
        <v>1971</v>
      </c>
      <c r="B23" s="2695" t="s">
        <v>1199</v>
      </c>
      <c r="C23" s="2723" t="s">
        <v>1195</v>
      </c>
      <c r="D23" s="719" t="s">
        <v>470</v>
      </c>
      <c r="E23" s="720">
        <v>15</v>
      </c>
      <c r="F23" s="892">
        <f t="shared" si="0"/>
        <v>0</v>
      </c>
      <c r="G23" s="720">
        <v>16</v>
      </c>
      <c r="H23" s="722">
        <v>15</v>
      </c>
      <c r="I23" s="723">
        <f>K23/H23-1</f>
        <v>0</v>
      </c>
      <c r="J23" s="720">
        <v>15</v>
      </c>
      <c r="K23" s="722">
        <v>15</v>
      </c>
      <c r="L23" s="722">
        <v>20</v>
      </c>
      <c r="M23" s="1496">
        <v>15</v>
      </c>
      <c r="N23" s="2130">
        <f t="shared" ref="N23:N88" si="3">(L23-K23)/K23</f>
        <v>0.33333333333333331</v>
      </c>
      <c r="O23" s="722">
        <v>20</v>
      </c>
      <c r="P23" s="1496">
        <v>15</v>
      </c>
      <c r="Q23" s="722">
        <v>20</v>
      </c>
      <c r="R23" s="1496">
        <v>15</v>
      </c>
      <c r="S23" s="2871" t="s">
        <v>2198</v>
      </c>
      <c r="T23" s="2704" t="s">
        <v>3722</v>
      </c>
      <c r="U23" s="2694" t="s">
        <v>1378</v>
      </c>
      <c r="V23" s="2694" t="s">
        <v>1371</v>
      </c>
      <c r="W23" s="2694" t="s">
        <v>1304</v>
      </c>
      <c r="X23" s="2694" t="s">
        <v>1304</v>
      </c>
      <c r="Y23" s="2694" t="s">
        <v>1304</v>
      </c>
      <c r="Z23" s="2694" t="s">
        <v>1304</v>
      </c>
      <c r="AA23" s="2694" t="s">
        <v>1304</v>
      </c>
      <c r="AB23" s="2694" t="s">
        <v>2199</v>
      </c>
      <c r="AE23" s="84"/>
      <c r="AF23" s="84"/>
    </row>
    <row r="24" spans="1:54" ht="39.75" customHeight="1">
      <c r="A24" s="2879"/>
      <c r="B24" s="2695"/>
      <c r="C24" s="2723"/>
      <c r="D24" s="719" t="s">
        <v>2747</v>
      </c>
      <c r="E24" s="720"/>
      <c r="F24" s="892"/>
      <c r="G24" s="720"/>
      <c r="H24" s="722">
        <v>5</v>
      </c>
      <c r="I24" s="723">
        <f t="shared" ref="I24" si="4">K24/H24-1</f>
        <v>-1</v>
      </c>
      <c r="J24" s="720"/>
      <c r="K24" s="722"/>
      <c r="L24" s="722"/>
      <c r="M24" s="1496"/>
      <c r="N24" s="2130"/>
      <c r="O24" s="722"/>
      <c r="P24" s="1496"/>
      <c r="Q24" s="722"/>
      <c r="R24" s="1496"/>
      <c r="S24" s="2871"/>
      <c r="T24" s="2704"/>
      <c r="U24" s="2694"/>
      <c r="V24" s="2694"/>
      <c r="W24" s="2694"/>
      <c r="X24" s="2694"/>
      <c r="Y24" s="2694"/>
      <c r="Z24" s="2694"/>
      <c r="AA24" s="2694"/>
      <c r="AB24" s="2694"/>
      <c r="AE24" s="84"/>
      <c r="AF24" s="84"/>
    </row>
    <row r="25" spans="1:54" ht="39.75" customHeight="1">
      <c r="A25" s="2879"/>
      <c r="B25" s="2695"/>
      <c r="C25" s="2723"/>
      <c r="D25" s="725" t="s">
        <v>1067</v>
      </c>
      <c r="E25" s="726">
        <f>SUM(E23:E23)</f>
        <v>15</v>
      </c>
      <c r="F25" s="911">
        <f t="shared" si="0"/>
        <v>0.33333333333333326</v>
      </c>
      <c r="G25" s="726">
        <f t="shared" ref="G25" si="5">SUM(G23:G23)</f>
        <v>16</v>
      </c>
      <c r="H25" s="728">
        <f>SUM(H23:H24)</f>
        <v>20</v>
      </c>
      <c r="I25" s="729">
        <f>K25/H25-1</f>
        <v>-0.25</v>
      </c>
      <c r="J25" s="726">
        <f>SUM(J23:J24)</f>
        <v>15</v>
      </c>
      <c r="K25" s="728">
        <f t="shared" ref="K25:O25" si="6">SUM(K23:K24)</f>
        <v>15</v>
      </c>
      <c r="L25" s="728">
        <f t="shared" si="6"/>
        <v>20</v>
      </c>
      <c r="M25" s="1464">
        <f t="shared" ref="M25" si="7">SUM(M23:M24)</f>
        <v>15</v>
      </c>
      <c r="N25" s="1243">
        <f t="shared" si="3"/>
        <v>0.33333333333333331</v>
      </c>
      <c r="O25" s="728">
        <f t="shared" si="6"/>
        <v>20</v>
      </c>
      <c r="P25" s="1464">
        <f t="shared" ref="P25:Q25" si="8">SUM(P23:P24)</f>
        <v>15</v>
      </c>
      <c r="Q25" s="728">
        <f t="shared" si="8"/>
        <v>20</v>
      </c>
      <c r="R25" s="1464">
        <f t="shared" ref="R25" si="9">SUM(R23:R24)</f>
        <v>15</v>
      </c>
      <c r="S25" s="2871"/>
      <c r="T25" s="2704"/>
      <c r="U25" s="2694"/>
      <c r="V25" s="2694"/>
      <c r="W25" s="2694"/>
      <c r="X25" s="2694"/>
      <c r="Y25" s="2694"/>
      <c r="Z25" s="2694"/>
      <c r="AA25" s="2694"/>
      <c r="AB25" s="2694"/>
      <c r="AE25" s="84"/>
      <c r="AF25" s="84"/>
    </row>
    <row r="26" spans="1:54" ht="39.75" customHeight="1">
      <c r="A26" s="2879" t="s">
        <v>1972</v>
      </c>
      <c r="B26" s="2695" t="s">
        <v>1200</v>
      </c>
      <c r="C26" s="2723" t="s">
        <v>1195</v>
      </c>
      <c r="D26" s="719" t="s">
        <v>470</v>
      </c>
      <c r="E26" s="720">
        <v>10</v>
      </c>
      <c r="F26" s="892">
        <f t="shared" si="0"/>
        <v>0</v>
      </c>
      <c r="G26" s="720">
        <v>15</v>
      </c>
      <c r="H26" s="722">
        <v>10</v>
      </c>
      <c r="I26" s="723">
        <f>K26/H26-1</f>
        <v>0.5</v>
      </c>
      <c r="J26" s="720">
        <f>SUM(J30,J31,)</f>
        <v>28</v>
      </c>
      <c r="K26" s="722">
        <v>15</v>
      </c>
      <c r="L26" s="722">
        <f>L30</f>
        <v>15</v>
      </c>
      <c r="M26" s="1496">
        <f>M30</f>
        <v>20</v>
      </c>
      <c r="N26" s="2130">
        <f t="shared" si="3"/>
        <v>0</v>
      </c>
      <c r="O26" s="722">
        <v>25</v>
      </c>
      <c r="P26" s="1496">
        <f>SUM(P30,P31)</f>
        <v>25</v>
      </c>
      <c r="Q26" s="722">
        <v>28</v>
      </c>
      <c r="R26" s="1496">
        <f>SUM(R30,R31)</f>
        <v>28</v>
      </c>
      <c r="S26" s="2871"/>
      <c r="T26" s="2736" t="s">
        <v>4353</v>
      </c>
      <c r="U26" s="2694" t="s">
        <v>1379</v>
      </c>
      <c r="V26" s="2694" t="s">
        <v>62</v>
      </c>
      <c r="W26" s="2694" t="s">
        <v>403</v>
      </c>
      <c r="X26" s="2694" t="s">
        <v>577</v>
      </c>
      <c r="Y26" s="2694" t="s">
        <v>144</v>
      </c>
      <c r="Z26" s="2694" t="s">
        <v>144</v>
      </c>
      <c r="AA26" s="2694" t="s">
        <v>144</v>
      </c>
      <c r="AB26" s="2694"/>
      <c r="AE26" s="84"/>
      <c r="AF26" s="84"/>
    </row>
    <row r="27" spans="1:54" ht="39.75" customHeight="1">
      <c r="A27" s="2879"/>
      <c r="B27" s="2695"/>
      <c r="C27" s="2723"/>
      <c r="D27" s="719" t="s">
        <v>2747</v>
      </c>
      <c r="E27" s="720"/>
      <c r="F27" s="892"/>
      <c r="G27" s="720"/>
      <c r="H27" s="722">
        <v>5</v>
      </c>
      <c r="I27" s="723">
        <f>K27/H27-1</f>
        <v>-1</v>
      </c>
      <c r="J27" s="720"/>
      <c r="K27" s="722"/>
      <c r="L27" s="722"/>
      <c r="M27" s="1496"/>
      <c r="N27" s="2130"/>
      <c r="O27" s="722"/>
      <c r="P27" s="1496"/>
      <c r="Q27" s="722"/>
      <c r="R27" s="1496"/>
      <c r="S27" s="2871"/>
      <c r="T27" s="2736"/>
      <c r="U27" s="2694"/>
      <c r="V27" s="2694"/>
      <c r="W27" s="2694"/>
      <c r="X27" s="2694"/>
      <c r="Y27" s="2694"/>
      <c r="Z27" s="2694"/>
      <c r="AA27" s="2694"/>
      <c r="AB27" s="2694"/>
      <c r="AE27" s="84"/>
      <c r="AF27" s="84"/>
    </row>
    <row r="28" spans="1:54" ht="39.75" customHeight="1">
      <c r="A28" s="2879"/>
      <c r="B28" s="2695"/>
      <c r="C28" s="2723"/>
      <c r="D28" s="719" t="s">
        <v>1111</v>
      </c>
      <c r="E28" s="720">
        <v>14.532</v>
      </c>
      <c r="F28" s="892">
        <f t="shared" si="0"/>
        <v>-3.557665840902835E-2</v>
      </c>
      <c r="G28" s="720">
        <v>15</v>
      </c>
      <c r="H28" s="722">
        <v>14.015000000000001</v>
      </c>
      <c r="I28" s="723">
        <f>K28/H28-1</f>
        <v>-1.3556903317873847E-2</v>
      </c>
      <c r="J28" s="720">
        <v>14</v>
      </c>
      <c r="K28" s="722">
        <v>13.824999999999999</v>
      </c>
      <c r="L28" s="722"/>
      <c r="M28" s="1496">
        <v>14</v>
      </c>
      <c r="N28" s="2130">
        <f t="shared" si="3"/>
        <v>-1</v>
      </c>
      <c r="O28" s="722"/>
      <c r="P28" s="1496">
        <v>14</v>
      </c>
      <c r="Q28" s="722"/>
      <c r="R28" s="1496">
        <v>14</v>
      </c>
      <c r="S28" s="2871"/>
      <c r="T28" s="2736"/>
      <c r="U28" s="2694"/>
      <c r="V28" s="2694"/>
      <c r="W28" s="2694"/>
      <c r="X28" s="2694"/>
      <c r="Y28" s="2694"/>
      <c r="Z28" s="2694"/>
      <c r="AA28" s="2694"/>
      <c r="AB28" s="2694"/>
      <c r="AE28" s="84"/>
      <c r="AF28" s="84"/>
    </row>
    <row r="29" spans="1:54" ht="66.75" customHeight="1">
      <c r="A29" s="2879"/>
      <c r="B29" s="2695"/>
      <c r="C29" s="2723"/>
      <c r="D29" s="725" t="s">
        <v>1067</v>
      </c>
      <c r="E29" s="726">
        <f>SUM(E26:E28)</f>
        <v>24.532</v>
      </c>
      <c r="F29" s="911">
        <f t="shared" si="0"/>
        <v>0.18274090983205604</v>
      </c>
      <c r="G29" s="726">
        <f>SUM(G26:G28)</f>
        <v>30</v>
      </c>
      <c r="H29" s="728">
        <f>SUM(H26:H28)</f>
        <v>29.015000000000001</v>
      </c>
      <c r="I29" s="729">
        <f>K29/H29-1</f>
        <v>-6.5483370670342822E-3</v>
      </c>
      <c r="J29" s="726">
        <f t="shared" ref="J29:O29" si="10">SUM(J26:J28)</f>
        <v>42</v>
      </c>
      <c r="K29" s="728">
        <f>SUM(K26:K28)</f>
        <v>28.824999999999999</v>
      </c>
      <c r="L29" s="728">
        <f t="shared" si="10"/>
        <v>15</v>
      </c>
      <c r="M29" s="1464">
        <f t="shared" ref="M29" si="11">SUM(M26:M28)</f>
        <v>34</v>
      </c>
      <c r="N29" s="1243">
        <f t="shared" si="3"/>
        <v>-0.47961838681699914</v>
      </c>
      <c r="O29" s="728">
        <f t="shared" si="10"/>
        <v>25</v>
      </c>
      <c r="P29" s="1464">
        <f t="shared" ref="P29:Q29" si="12">SUM(P26:P28)</f>
        <v>39</v>
      </c>
      <c r="Q29" s="728">
        <f t="shared" si="12"/>
        <v>28</v>
      </c>
      <c r="R29" s="1464">
        <f t="shared" ref="R29" si="13">SUM(R26:R28)</f>
        <v>42</v>
      </c>
      <c r="S29" s="2871"/>
      <c r="T29" s="2736"/>
      <c r="U29" s="2694"/>
      <c r="V29" s="2694"/>
      <c r="W29" s="2694"/>
      <c r="X29" s="2694"/>
      <c r="Y29" s="2694"/>
      <c r="Z29" s="2694"/>
      <c r="AA29" s="2694"/>
      <c r="AB29" s="2694"/>
      <c r="AE29" s="84"/>
      <c r="AF29" s="84"/>
    </row>
    <row r="30" spans="1:54" ht="57.6" hidden="1" customHeight="1">
      <c r="A30" s="913"/>
      <c r="B30" s="693" t="s">
        <v>3104</v>
      </c>
      <c r="C30" s="894"/>
      <c r="D30" s="913" t="s">
        <v>470</v>
      </c>
      <c r="E30" s="734"/>
      <c r="F30" s="906"/>
      <c r="G30" s="734"/>
      <c r="H30" s="681">
        <v>11</v>
      </c>
      <c r="I30" s="681"/>
      <c r="J30" s="734">
        <v>20</v>
      </c>
      <c r="K30" s="681">
        <v>20</v>
      </c>
      <c r="L30" s="681">
        <v>15</v>
      </c>
      <c r="M30" s="1470">
        <v>20</v>
      </c>
      <c r="N30" s="1112">
        <f>(L30-K30)/K30</f>
        <v>-0.25</v>
      </c>
      <c r="O30" s="681">
        <v>25</v>
      </c>
      <c r="P30" s="1470">
        <v>25</v>
      </c>
      <c r="Q30" s="681">
        <v>28</v>
      </c>
      <c r="R30" s="1470">
        <v>28</v>
      </c>
      <c r="S30" s="2871"/>
      <c r="T30" s="665" t="s">
        <v>4304</v>
      </c>
      <c r="U30" s="688"/>
      <c r="V30" s="688"/>
      <c r="W30" s="688"/>
      <c r="X30" s="688"/>
      <c r="Y30" s="688"/>
      <c r="Z30" s="688"/>
      <c r="AA30" s="688"/>
      <c r="AB30" s="2694"/>
      <c r="AE30" s="84"/>
      <c r="AF30" s="84"/>
    </row>
    <row r="31" spans="1:54" ht="60.6" hidden="1" customHeight="1">
      <c r="A31" s="913"/>
      <c r="B31" s="693" t="s">
        <v>3105</v>
      </c>
      <c r="C31" s="894"/>
      <c r="D31" s="913" t="s">
        <v>470</v>
      </c>
      <c r="E31" s="734"/>
      <c r="F31" s="906"/>
      <c r="G31" s="734"/>
      <c r="H31" s="681">
        <v>4</v>
      </c>
      <c r="I31" s="681"/>
      <c r="J31" s="734">
        <v>8</v>
      </c>
      <c r="K31" s="681">
        <v>8</v>
      </c>
      <c r="L31" s="681">
        <v>8.5</v>
      </c>
      <c r="M31" s="1686"/>
      <c r="N31" s="1112">
        <f t="shared" si="3"/>
        <v>6.25E-2</v>
      </c>
      <c r="O31" s="681">
        <v>9</v>
      </c>
      <c r="P31" s="1686"/>
      <c r="Q31" s="1906"/>
      <c r="R31" s="1686"/>
      <c r="S31" s="2871"/>
      <c r="T31" s="1445" t="s">
        <v>3107</v>
      </c>
      <c r="U31" s="688"/>
      <c r="V31" s="688"/>
      <c r="W31" s="688"/>
      <c r="X31" s="688"/>
      <c r="Y31" s="688"/>
      <c r="Z31" s="688"/>
      <c r="AA31" s="688"/>
      <c r="AB31" s="2694"/>
      <c r="AE31" s="84"/>
      <c r="AF31" s="84"/>
    </row>
    <row r="32" spans="1:54" ht="39.75" hidden="1" customHeight="1">
      <c r="A32" s="913"/>
      <c r="B32" s="693" t="s">
        <v>3106</v>
      </c>
      <c r="C32" s="894"/>
      <c r="D32" s="913" t="s">
        <v>1111</v>
      </c>
      <c r="E32" s="734"/>
      <c r="F32" s="906"/>
      <c r="G32" s="734"/>
      <c r="H32" s="681">
        <v>14.015000000000001</v>
      </c>
      <c r="I32" s="681"/>
      <c r="J32" s="734">
        <v>14</v>
      </c>
      <c r="K32" s="681">
        <v>14</v>
      </c>
      <c r="L32" s="681">
        <v>13.824999999999999</v>
      </c>
      <c r="M32" s="1470">
        <v>14</v>
      </c>
      <c r="N32" s="1112">
        <f t="shared" si="3"/>
        <v>-1.2500000000000051E-2</v>
      </c>
      <c r="O32" s="681">
        <v>14</v>
      </c>
      <c r="P32" s="1470">
        <v>14</v>
      </c>
      <c r="Q32" s="681">
        <v>14</v>
      </c>
      <c r="R32" s="1470">
        <v>14</v>
      </c>
      <c r="S32" s="2871"/>
      <c r="T32" s="665" t="s">
        <v>3840</v>
      </c>
      <c r="U32" s="688"/>
      <c r="V32" s="688"/>
      <c r="W32" s="688"/>
      <c r="X32" s="688"/>
      <c r="Y32" s="688"/>
      <c r="Z32" s="688"/>
      <c r="AA32" s="688"/>
      <c r="AB32" s="2694"/>
      <c r="AE32" s="84"/>
      <c r="AF32" s="84"/>
    </row>
    <row r="33" spans="1:32" ht="39.75" customHeight="1">
      <c r="A33" s="2879" t="s">
        <v>1973</v>
      </c>
      <c r="B33" s="2695" t="s">
        <v>3688</v>
      </c>
      <c r="C33" s="2723" t="s">
        <v>1195</v>
      </c>
      <c r="D33" s="719" t="s">
        <v>470</v>
      </c>
      <c r="E33" s="720">
        <v>1</v>
      </c>
      <c r="F33" s="892">
        <f t="shared" si="0"/>
        <v>-0.5</v>
      </c>
      <c r="G33" s="720">
        <v>0.7</v>
      </c>
      <c r="H33" s="722">
        <v>0.5</v>
      </c>
      <c r="I33" s="723">
        <f t="shared" ref="I33:I42" si="14">K33/H33-1</f>
        <v>0</v>
      </c>
      <c r="J33" s="720">
        <v>0.5</v>
      </c>
      <c r="K33" s="722">
        <v>0.5</v>
      </c>
      <c r="L33" s="722">
        <v>0.5</v>
      </c>
      <c r="M33" s="1496">
        <v>0.5</v>
      </c>
      <c r="N33" s="2130">
        <f t="shared" si="3"/>
        <v>0</v>
      </c>
      <c r="O33" s="722">
        <v>0.5</v>
      </c>
      <c r="P33" s="1496">
        <v>0.5</v>
      </c>
      <c r="Q33" s="722">
        <v>0.5</v>
      </c>
      <c r="R33" s="1496">
        <v>0.5</v>
      </c>
      <c r="S33" s="2871"/>
      <c r="T33" s="2704" t="s">
        <v>4308</v>
      </c>
      <c r="U33" s="2694" t="s">
        <v>1380</v>
      </c>
      <c r="V33" s="2694" t="s">
        <v>1696</v>
      </c>
      <c r="W33" s="2694" t="s">
        <v>432</v>
      </c>
      <c r="X33" s="2694" t="s">
        <v>432</v>
      </c>
      <c r="Y33" s="2694" t="s">
        <v>1372</v>
      </c>
      <c r="Z33" s="2694" t="s">
        <v>1372</v>
      </c>
      <c r="AA33" s="2694" t="s">
        <v>1372</v>
      </c>
      <c r="AB33" s="2694"/>
      <c r="AC33" s="154" t="s">
        <v>2690</v>
      </c>
      <c r="AD33" s="91"/>
      <c r="AE33" s="84"/>
      <c r="AF33" s="84"/>
    </row>
    <row r="34" spans="1:32" ht="39.75" customHeight="1">
      <c r="A34" s="2879"/>
      <c r="B34" s="2695"/>
      <c r="C34" s="2723"/>
      <c r="D34" s="725" t="s">
        <v>1067</v>
      </c>
      <c r="E34" s="726">
        <f>SUM(E33:E33)</f>
        <v>1</v>
      </c>
      <c r="F34" s="911">
        <f t="shared" si="0"/>
        <v>-0.5</v>
      </c>
      <c r="G34" s="726">
        <f t="shared" ref="G34:O34" si="15">SUM(G33:G33)</f>
        <v>0.7</v>
      </c>
      <c r="H34" s="728">
        <f t="shared" si="15"/>
        <v>0.5</v>
      </c>
      <c r="I34" s="729">
        <f t="shared" si="14"/>
        <v>0</v>
      </c>
      <c r="J34" s="726">
        <f t="shared" si="15"/>
        <v>0.5</v>
      </c>
      <c r="K34" s="728">
        <f t="shared" si="15"/>
        <v>0.5</v>
      </c>
      <c r="L34" s="728">
        <f t="shared" si="15"/>
        <v>0.5</v>
      </c>
      <c r="M34" s="1464">
        <f t="shared" ref="M34" si="16">SUM(M33:M33)</f>
        <v>0.5</v>
      </c>
      <c r="N34" s="1243">
        <f t="shared" si="3"/>
        <v>0</v>
      </c>
      <c r="O34" s="728">
        <f t="shared" si="15"/>
        <v>0.5</v>
      </c>
      <c r="P34" s="1464">
        <f t="shared" ref="P34:Q34" si="17">SUM(P33:P33)</f>
        <v>0.5</v>
      </c>
      <c r="Q34" s="728">
        <f t="shared" si="17"/>
        <v>0.5</v>
      </c>
      <c r="R34" s="1464">
        <f t="shared" ref="R34" si="18">SUM(R33:R33)</f>
        <v>0.5</v>
      </c>
      <c r="S34" s="2871"/>
      <c r="T34" s="2704"/>
      <c r="U34" s="2694"/>
      <c r="V34" s="2694"/>
      <c r="W34" s="2694"/>
      <c r="X34" s="2694"/>
      <c r="Y34" s="2694"/>
      <c r="Z34" s="2694"/>
      <c r="AA34" s="2694"/>
      <c r="AB34" s="2694"/>
      <c r="AE34" s="84"/>
      <c r="AF34" s="84"/>
    </row>
    <row r="35" spans="1:32" ht="39.75" customHeight="1">
      <c r="A35" s="2879" t="s">
        <v>1974</v>
      </c>
      <c r="B35" s="2695" t="s">
        <v>3723</v>
      </c>
      <c r="C35" s="2723" t="s">
        <v>3016</v>
      </c>
      <c r="D35" s="719" t="s">
        <v>2747</v>
      </c>
      <c r="E35" s="720">
        <v>0.5</v>
      </c>
      <c r="F35" s="892">
        <f t="shared" ref="F35" si="19">H35/E35-1</f>
        <v>176.46</v>
      </c>
      <c r="G35" s="720">
        <v>88.73</v>
      </c>
      <c r="H35" s="722">
        <v>88.73</v>
      </c>
      <c r="I35" s="723">
        <f t="shared" si="14"/>
        <v>-1</v>
      </c>
      <c r="J35" s="720">
        <v>0</v>
      </c>
      <c r="K35" s="722">
        <v>0</v>
      </c>
      <c r="L35" s="722">
        <f>SUM(L38,L39)</f>
        <v>98.22999999999999</v>
      </c>
      <c r="M35" s="1496">
        <v>0</v>
      </c>
      <c r="N35" s="2130"/>
      <c r="O35" s="722">
        <v>0</v>
      </c>
      <c r="P35" s="1496">
        <v>0</v>
      </c>
      <c r="Q35" s="722">
        <v>0</v>
      </c>
      <c r="R35" s="1496">
        <v>0</v>
      </c>
      <c r="S35" s="2871"/>
      <c r="T35" s="2704" t="s">
        <v>4354</v>
      </c>
      <c r="U35" s="2694" t="s">
        <v>1381</v>
      </c>
      <c r="V35" s="2694" t="s">
        <v>3724</v>
      </c>
      <c r="W35" s="2694" t="s">
        <v>1372</v>
      </c>
      <c r="X35" s="2694" t="s">
        <v>1372</v>
      </c>
      <c r="Y35" s="2694" t="s">
        <v>1372</v>
      </c>
      <c r="Z35" s="2694" t="s">
        <v>1372</v>
      </c>
      <c r="AA35" s="2694" t="s">
        <v>1372</v>
      </c>
      <c r="AB35" s="2694"/>
      <c r="AE35" s="84"/>
      <c r="AF35" s="84"/>
    </row>
    <row r="36" spans="1:32" ht="39.75" customHeight="1">
      <c r="A36" s="2879"/>
      <c r="B36" s="2695"/>
      <c r="C36" s="2723"/>
      <c r="D36" s="719" t="s">
        <v>48</v>
      </c>
      <c r="E36" s="720">
        <v>0.5</v>
      </c>
      <c r="F36" s="892">
        <f t="shared" si="0"/>
        <v>-1</v>
      </c>
      <c r="G36" s="720">
        <v>88.73</v>
      </c>
      <c r="H36" s="722"/>
      <c r="I36" s="723" t="e">
        <f t="shared" si="14"/>
        <v>#DIV/0!</v>
      </c>
      <c r="J36" s="720">
        <v>88.73</v>
      </c>
      <c r="K36" s="722">
        <v>88.73</v>
      </c>
      <c r="L36" s="722"/>
      <c r="M36" s="1496">
        <v>98.23</v>
      </c>
      <c r="N36" s="2130">
        <f t="shared" si="3"/>
        <v>-1</v>
      </c>
      <c r="O36" s="722">
        <v>28.5</v>
      </c>
      <c r="P36" s="1496">
        <v>28.5</v>
      </c>
      <c r="Q36" s="722">
        <v>23.75</v>
      </c>
      <c r="R36" s="1496">
        <v>23.75</v>
      </c>
      <c r="S36" s="2871"/>
      <c r="T36" s="2704"/>
      <c r="U36" s="2694"/>
      <c r="V36" s="2694"/>
      <c r="W36" s="2694"/>
      <c r="X36" s="2694"/>
      <c r="Y36" s="2694"/>
      <c r="Z36" s="2694"/>
      <c r="AA36" s="2694"/>
      <c r="AB36" s="2694"/>
      <c r="AE36" s="84"/>
      <c r="AF36" s="84"/>
    </row>
    <row r="37" spans="1:32" ht="39.75" customHeight="1">
      <c r="A37" s="2879"/>
      <c r="B37" s="2695"/>
      <c r="C37" s="2723"/>
      <c r="D37" s="725" t="s">
        <v>1067</v>
      </c>
      <c r="E37" s="726">
        <f>SUM(E36:E36)</f>
        <v>0.5</v>
      </c>
      <c r="F37" s="911">
        <f t="shared" si="0"/>
        <v>-1</v>
      </c>
      <c r="G37" s="726">
        <f>G36</f>
        <v>88.73</v>
      </c>
      <c r="H37" s="728">
        <f t="shared" ref="H37:O37" si="20">H36</f>
        <v>0</v>
      </c>
      <c r="I37" s="729" t="e">
        <f t="shared" si="14"/>
        <v>#DIV/0!</v>
      </c>
      <c r="J37" s="726">
        <f t="shared" si="20"/>
        <v>88.73</v>
      </c>
      <c r="K37" s="728">
        <f t="shared" si="20"/>
        <v>88.73</v>
      </c>
      <c r="L37" s="728">
        <f>SUM(L35,L36)</f>
        <v>98.22999999999999</v>
      </c>
      <c r="M37" s="1464">
        <f t="shared" ref="M37" si="21">M36</f>
        <v>98.23</v>
      </c>
      <c r="N37" s="1243">
        <f t="shared" si="3"/>
        <v>0.10706638115631675</v>
      </c>
      <c r="O37" s="728">
        <f t="shared" si="20"/>
        <v>28.5</v>
      </c>
      <c r="P37" s="1464">
        <f t="shared" ref="P37:Q37" si="22">P36</f>
        <v>28.5</v>
      </c>
      <c r="Q37" s="728">
        <f t="shared" si="22"/>
        <v>23.75</v>
      </c>
      <c r="R37" s="1464">
        <f t="shared" ref="R37" si="23">R36</f>
        <v>23.75</v>
      </c>
      <c r="S37" s="2871"/>
      <c r="T37" s="2704"/>
      <c r="U37" s="2694"/>
      <c r="V37" s="2694"/>
      <c r="W37" s="2694"/>
      <c r="X37" s="2694"/>
      <c r="Y37" s="2694"/>
      <c r="Z37" s="2694"/>
      <c r="AA37" s="2694"/>
      <c r="AB37" s="2694"/>
      <c r="AE37" s="84"/>
      <c r="AF37" s="84"/>
    </row>
    <row r="38" spans="1:32" ht="22.8" hidden="1" customHeight="1">
      <c r="A38" s="899"/>
      <c r="B38" s="693" t="s">
        <v>4364</v>
      </c>
      <c r="C38" s="1333"/>
      <c r="D38" s="780"/>
      <c r="E38" s="757"/>
      <c r="F38" s="915"/>
      <c r="G38" s="757"/>
      <c r="H38" s="689"/>
      <c r="I38" s="756"/>
      <c r="J38" s="757"/>
      <c r="K38" s="689"/>
      <c r="L38" s="681">
        <v>17.143999999999998</v>
      </c>
      <c r="M38" s="1498">
        <v>17.143999999999998</v>
      </c>
      <c r="N38" s="1112"/>
      <c r="O38" s="689"/>
      <c r="P38" s="1484"/>
      <c r="Q38" s="689"/>
      <c r="R38" s="1484"/>
      <c r="S38" s="689"/>
      <c r="T38" s="907"/>
      <c r="U38" s="688"/>
      <c r="V38" s="688"/>
      <c r="W38" s="688"/>
      <c r="X38" s="688"/>
      <c r="Y38" s="688"/>
      <c r="Z38" s="688"/>
      <c r="AA38" s="688"/>
      <c r="AB38" s="688"/>
      <c r="AE38" s="84"/>
      <c r="AF38" s="84"/>
    </row>
    <row r="39" spans="1:32" ht="24.6" hidden="1" customHeight="1">
      <c r="A39" s="899"/>
      <c r="B39" s="693" t="s">
        <v>505</v>
      </c>
      <c r="C39" s="1333"/>
      <c r="D39" s="780"/>
      <c r="E39" s="757"/>
      <c r="F39" s="915"/>
      <c r="G39" s="757"/>
      <c r="H39" s="689"/>
      <c r="I39" s="756"/>
      <c r="J39" s="757"/>
      <c r="K39" s="689"/>
      <c r="L39" s="681">
        <v>81.085999999999999</v>
      </c>
      <c r="M39" s="1498"/>
      <c r="N39" s="1112"/>
      <c r="O39" s="689"/>
      <c r="P39" s="1484"/>
      <c r="Q39" s="689"/>
      <c r="R39" s="1484"/>
      <c r="S39" s="689"/>
      <c r="T39" s="907"/>
      <c r="U39" s="688"/>
      <c r="V39" s="688"/>
      <c r="W39" s="688"/>
      <c r="X39" s="688"/>
      <c r="Y39" s="688"/>
      <c r="Z39" s="688"/>
      <c r="AA39" s="688"/>
      <c r="AB39" s="1009"/>
      <c r="AE39" s="84"/>
      <c r="AF39" s="84"/>
    </row>
    <row r="40" spans="1:32" ht="39.6" customHeight="1">
      <c r="A40" s="2879" t="s">
        <v>1975</v>
      </c>
      <c r="B40" s="2695" t="s">
        <v>1201</v>
      </c>
      <c r="C40" s="2723" t="s">
        <v>1195</v>
      </c>
      <c r="D40" s="719" t="s">
        <v>470</v>
      </c>
      <c r="E40" s="720">
        <v>34.5</v>
      </c>
      <c r="F40" s="892">
        <f t="shared" si="0"/>
        <v>0.43478260869565211</v>
      </c>
      <c r="G40" s="720">
        <v>40</v>
      </c>
      <c r="H40" s="722">
        <v>49.5</v>
      </c>
      <c r="I40" s="723">
        <f t="shared" si="14"/>
        <v>0.64404040404040397</v>
      </c>
      <c r="J40" s="720">
        <v>81.38</v>
      </c>
      <c r="K40" s="722">
        <v>81.38</v>
      </c>
      <c r="L40" s="722"/>
      <c r="M40" s="1496">
        <v>86.56</v>
      </c>
      <c r="N40" s="2130">
        <f t="shared" si="3"/>
        <v>-1</v>
      </c>
      <c r="O40" s="722">
        <v>91.15</v>
      </c>
      <c r="P40" s="1496">
        <v>91.15</v>
      </c>
      <c r="Q40" s="722">
        <v>91.15</v>
      </c>
      <c r="R40" s="1496">
        <v>91.15</v>
      </c>
      <c r="S40" s="2871" t="s">
        <v>961</v>
      </c>
      <c r="T40" s="2704" t="s">
        <v>4309</v>
      </c>
      <c r="U40" s="2694" t="s">
        <v>1382</v>
      </c>
      <c r="V40" s="2694" t="s">
        <v>1373</v>
      </c>
      <c r="W40" s="2694" t="s">
        <v>432</v>
      </c>
      <c r="X40" s="2694" t="s">
        <v>432</v>
      </c>
      <c r="Y40" s="2694" t="s">
        <v>433</v>
      </c>
      <c r="Z40" s="2694" t="s">
        <v>432</v>
      </c>
      <c r="AA40" s="2694" t="s">
        <v>432</v>
      </c>
      <c r="AB40" s="2903" t="s">
        <v>1039</v>
      </c>
      <c r="AE40" s="84"/>
      <c r="AF40" s="84"/>
    </row>
    <row r="41" spans="1:32" ht="33.6" customHeight="1">
      <c r="A41" s="2879"/>
      <c r="B41" s="2695"/>
      <c r="C41" s="2723"/>
      <c r="D41" s="719" t="s">
        <v>2747</v>
      </c>
      <c r="E41" s="720"/>
      <c r="F41" s="892"/>
      <c r="G41" s="720"/>
      <c r="H41" s="722"/>
      <c r="I41" s="723"/>
      <c r="J41" s="720"/>
      <c r="K41" s="722"/>
      <c r="L41" s="722">
        <v>86.56</v>
      </c>
      <c r="M41" s="1496"/>
      <c r="N41" s="2130"/>
      <c r="O41" s="722"/>
      <c r="P41" s="1496"/>
      <c r="Q41" s="722"/>
      <c r="R41" s="1496"/>
      <c r="S41" s="2871"/>
      <c r="T41" s="2704"/>
      <c r="U41" s="2694"/>
      <c r="V41" s="2694"/>
      <c r="W41" s="2694"/>
      <c r="X41" s="2694"/>
      <c r="Y41" s="2694"/>
      <c r="Z41" s="2694"/>
      <c r="AA41" s="2694"/>
      <c r="AB41" s="2904"/>
      <c r="AE41" s="84"/>
      <c r="AF41" s="84"/>
    </row>
    <row r="42" spans="1:32" ht="84" customHeight="1">
      <c r="A42" s="2879"/>
      <c r="B42" s="2695"/>
      <c r="C42" s="2723"/>
      <c r="D42" s="725" t="s">
        <v>1067</v>
      </c>
      <c r="E42" s="726">
        <f>SUM(E40:E40)</f>
        <v>34.5</v>
      </c>
      <c r="F42" s="911">
        <f t="shared" si="0"/>
        <v>0.43478260869565211</v>
      </c>
      <c r="G42" s="726">
        <f t="shared" ref="G42:K42" si="24">SUM(G40:G40)</f>
        <v>40</v>
      </c>
      <c r="H42" s="728">
        <f t="shared" si="24"/>
        <v>49.5</v>
      </c>
      <c r="I42" s="729">
        <f t="shared" si="14"/>
        <v>0.64404040404040397</v>
      </c>
      <c r="J42" s="726">
        <f t="shared" si="24"/>
        <v>81.38</v>
      </c>
      <c r="K42" s="728">
        <f t="shared" si="24"/>
        <v>81.38</v>
      </c>
      <c r="L42" s="728">
        <f>SUM(L41,L40)</f>
        <v>86.56</v>
      </c>
      <c r="M42" s="1464">
        <f t="shared" ref="M42" si="25">SUM(M40:M40)</f>
        <v>86.56</v>
      </c>
      <c r="N42" s="1243">
        <f t="shared" si="3"/>
        <v>6.3652002949127637E-2</v>
      </c>
      <c r="O42" s="728">
        <f>SUM(O40:O40)</f>
        <v>91.15</v>
      </c>
      <c r="P42" s="1464">
        <f t="shared" ref="P42:Q42" si="26">SUM(P40:P40)</f>
        <v>91.15</v>
      </c>
      <c r="Q42" s="728">
        <f t="shared" si="26"/>
        <v>91.15</v>
      </c>
      <c r="R42" s="1464">
        <f t="shared" ref="R42" si="27">SUM(R40:R40)</f>
        <v>91.15</v>
      </c>
      <c r="S42" s="2871"/>
      <c r="T42" s="2704"/>
      <c r="U42" s="2694"/>
      <c r="V42" s="2694"/>
      <c r="W42" s="2694"/>
      <c r="X42" s="2694"/>
      <c r="Y42" s="2694"/>
      <c r="Z42" s="2694"/>
      <c r="AA42" s="2694"/>
      <c r="AB42" s="2904"/>
      <c r="AE42" s="84"/>
      <c r="AF42" s="84"/>
    </row>
    <row r="43" spans="1:32" ht="39.75" customHeight="1">
      <c r="A43" s="2879" t="s">
        <v>2523</v>
      </c>
      <c r="B43" s="2695" t="s">
        <v>1230</v>
      </c>
      <c r="C43" s="2723" t="s">
        <v>1195</v>
      </c>
      <c r="D43" s="719" t="s">
        <v>470</v>
      </c>
      <c r="E43" s="720">
        <v>2.2000000000000002</v>
      </c>
      <c r="F43" s="892">
        <f t="shared" si="0"/>
        <v>1.3636363636363447E-2</v>
      </c>
      <c r="G43" s="720">
        <v>2.226</v>
      </c>
      <c r="H43" s="722">
        <v>2.23</v>
      </c>
      <c r="I43" s="723">
        <f t="shared" ref="I43:I61" si="28">K43/H43-1</f>
        <v>-1.3452914798206206E-2</v>
      </c>
      <c r="J43" s="720">
        <v>2</v>
      </c>
      <c r="K43" s="722">
        <v>2.2000000000000002</v>
      </c>
      <c r="L43" s="722">
        <v>2.2000000000000002</v>
      </c>
      <c r="M43" s="1496">
        <v>2.2000000000000002</v>
      </c>
      <c r="N43" s="2130">
        <f t="shared" si="3"/>
        <v>0</v>
      </c>
      <c r="O43" s="722">
        <v>2.2000000000000002</v>
      </c>
      <c r="P43" s="1496">
        <v>2.2000000000000002</v>
      </c>
      <c r="Q43" s="722">
        <v>2.2000000000000002</v>
      </c>
      <c r="R43" s="1496">
        <v>2.2000000000000002</v>
      </c>
      <c r="S43" s="2871" t="s">
        <v>961</v>
      </c>
      <c r="T43" s="2704" t="s">
        <v>4310</v>
      </c>
      <c r="U43" s="2694" t="s">
        <v>2846</v>
      </c>
      <c r="V43" s="2694" t="s">
        <v>1437</v>
      </c>
      <c r="W43" s="2694" t="s">
        <v>324</v>
      </c>
      <c r="X43" s="2694" t="s">
        <v>324</v>
      </c>
      <c r="Y43" s="2694" t="s">
        <v>324</v>
      </c>
      <c r="Z43" s="2694" t="s">
        <v>324</v>
      </c>
      <c r="AA43" s="2694" t="s">
        <v>324</v>
      </c>
      <c r="AB43" s="2904"/>
      <c r="AE43" s="84"/>
      <c r="AF43" s="84"/>
    </row>
    <row r="44" spans="1:32" ht="39.75" customHeight="1">
      <c r="A44" s="2879"/>
      <c r="B44" s="2695"/>
      <c r="C44" s="2723"/>
      <c r="D44" s="725" t="s">
        <v>1067</v>
      </c>
      <c r="E44" s="726">
        <f>SUM(E43:E43)</f>
        <v>2.2000000000000002</v>
      </c>
      <c r="F44" s="911">
        <f t="shared" si="0"/>
        <v>1.3636363636363447E-2</v>
      </c>
      <c r="G44" s="726">
        <f t="shared" ref="G44:O44" si="29">SUM(G43:G43)</f>
        <v>2.226</v>
      </c>
      <c r="H44" s="728">
        <f t="shared" si="29"/>
        <v>2.23</v>
      </c>
      <c r="I44" s="729">
        <f t="shared" si="28"/>
        <v>-1.3452914798206206E-2</v>
      </c>
      <c r="J44" s="726">
        <f>J43</f>
        <v>2</v>
      </c>
      <c r="K44" s="728">
        <f t="shared" si="29"/>
        <v>2.2000000000000002</v>
      </c>
      <c r="L44" s="728">
        <f t="shared" si="29"/>
        <v>2.2000000000000002</v>
      </c>
      <c r="M44" s="1464">
        <f t="shared" ref="M44" si="30">SUM(M43:M43)</f>
        <v>2.2000000000000002</v>
      </c>
      <c r="N44" s="1243">
        <f t="shared" si="3"/>
        <v>0</v>
      </c>
      <c r="O44" s="728">
        <f t="shared" si="29"/>
        <v>2.2000000000000002</v>
      </c>
      <c r="P44" s="1464">
        <f t="shared" ref="P44:Q44" si="31">SUM(P43:P43)</f>
        <v>2.2000000000000002</v>
      </c>
      <c r="Q44" s="728">
        <f t="shared" si="31"/>
        <v>2.2000000000000002</v>
      </c>
      <c r="R44" s="1464">
        <f t="shared" ref="R44" si="32">SUM(R43:R43)</f>
        <v>2.2000000000000002</v>
      </c>
      <c r="S44" s="2871"/>
      <c r="T44" s="2734"/>
      <c r="U44" s="2694"/>
      <c r="V44" s="2694"/>
      <c r="W44" s="2694"/>
      <c r="X44" s="2694"/>
      <c r="Y44" s="2694"/>
      <c r="Z44" s="2694"/>
      <c r="AA44" s="2694"/>
      <c r="AB44" s="2904"/>
      <c r="AE44" s="84"/>
      <c r="AF44" s="84"/>
    </row>
    <row r="45" spans="1:32" ht="39.75" customHeight="1">
      <c r="A45" s="2694" t="s">
        <v>3990</v>
      </c>
      <c r="B45" s="2695" t="s">
        <v>3989</v>
      </c>
      <c r="C45" s="2723" t="s">
        <v>1195</v>
      </c>
      <c r="D45" s="719" t="s">
        <v>470</v>
      </c>
      <c r="E45" s="720">
        <v>2.2000000000000002</v>
      </c>
      <c r="F45" s="914">
        <f t="shared" ref="F45:F46" si="33">H45/E45-1</f>
        <v>1.3636363636363447E-2</v>
      </c>
      <c r="G45" s="720">
        <v>2.226</v>
      </c>
      <c r="H45" s="722">
        <v>2.23</v>
      </c>
      <c r="I45" s="1014">
        <f t="shared" ref="I45:I46" si="34">K45/H45-1</f>
        <v>-1</v>
      </c>
      <c r="J45" s="720">
        <v>2</v>
      </c>
      <c r="K45" s="722"/>
      <c r="L45" s="722">
        <v>6</v>
      </c>
      <c r="M45" s="1496">
        <v>12</v>
      </c>
      <c r="N45" s="2130"/>
      <c r="O45" s="722">
        <v>12</v>
      </c>
      <c r="P45" s="1496">
        <v>12</v>
      </c>
      <c r="Q45" s="722">
        <v>12</v>
      </c>
      <c r="R45" s="1496">
        <v>12</v>
      </c>
      <c r="S45" s="2871" t="s">
        <v>961</v>
      </c>
      <c r="T45" s="2704" t="s">
        <v>4355</v>
      </c>
      <c r="U45" s="2694" t="s">
        <v>3996</v>
      </c>
      <c r="V45" s="2694" t="s">
        <v>3997</v>
      </c>
      <c r="W45" s="2694"/>
      <c r="X45" s="2694"/>
      <c r="Y45" s="2694" t="s">
        <v>1304</v>
      </c>
      <c r="Z45" s="2694" t="s">
        <v>1304</v>
      </c>
      <c r="AA45" s="2694" t="s">
        <v>1304</v>
      </c>
      <c r="AB45" s="2904"/>
      <c r="AE45" s="84"/>
      <c r="AF45" s="84"/>
    </row>
    <row r="46" spans="1:32" ht="37.200000000000003" customHeight="1">
      <c r="A46" s="2879"/>
      <c r="B46" s="2695"/>
      <c r="C46" s="2723"/>
      <c r="D46" s="725" t="s">
        <v>1067</v>
      </c>
      <c r="E46" s="726">
        <f>SUM(E45:E45)</f>
        <v>2.2000000000000002</v>
      </c>
      <c r="F46" s="911">
        <f t="shared" si="33"/>
        <v>1.3636363636363447E-2</v>
      </c>
      <c r="G46" s="726">
        <f t="shared" ref="G46:H46" si="35">SUM(G45:G45)</f>
        <v>2.226</v>
      </c>
      <c r="H46" s="728">
        <f t="shared" si="35"/>
        <v>2.23</v>
      </c>
      <c r="I46" s="729">
        <f t="shared" si="34"/>
        <v>-1</v>
      </c>
      <c r="J46" s="726">
        <f>J45</f>
        <v>2</v>
      </c>
      <c r="K46" s="728"/>
      <c r="L46" s="728">
        <f>L45</f>
        <v>6</v>
      </c>
      <c r="M46" s="1464">
        <f>M45</f>
        <v>12</v>
      </c>
      <c r="N46" s="1243"/>
      <c r="O46" s="728">
        <f>O45</f>
        <v>12</v>
      </c>
      <c r="P46" s="1464">
        <f>P45</f>
        <v>12</v>
      </c>
      <c r="Q46" s="728">
        <f>Q45</f>
        <v>12</v>
      </c>
      <c r="R46" s="1464">
        <f>R45</f>
        <v>12</v>
      </c>
      <c r="S46" s="2871"/>
      <c r="T46" s="2734"/>
      <c r="U46" s="2694"/>
      <c r="V46" s="2694"/>
      <c r="W46" s="2694"/>
      <c r="X46" s="2694"/>
      <c r="Y46" s="2694"/>
      <c r="Z46" s="2694"/>
      <c r="AA46" s="2694"/>
      <c r="AB46" s="2905"/>
      <c r="AE46" s="84"/>
      <c r="AF46" s="84"/>
    </row>
    <row r="47" spans="1:32" ht="58.5" customHeight="1">
      <c r="A47" s="895" t="s">
        <v>1977</v>
      </c>
      <c r="B47" s="671" t="s">
        <v>1693</v>
      </c>
      <c r="C47" s="896"/>
      <c r="D47" s="697"/>
      <c r="E47" s="745">
        <f>SUM(E49,E51,E53,E55,)</f>
        <v>16.8</v>
      </c>
      <c r="F47" s="897">
        <f t="shared" si="0"/>
        <v>1.2380952380952377</v>
      </c>
      <c r="G47" s="745">
        <f t="shared" ref="G47:O47" si="36">SUM(G49,G51,G53,G55,)</f>
        <v>59.9</v>
      </c>
      <c r="H47" s="746">
        <f t="shared" si="36"/>
        <v>37.599999999999994</v>
      </c>
      <c r="I47" s="747">
        <f t="shared" si="28"/>
        <v>0.36436170212765973</v>
      </c>
      <c r="J47" s="745">
        <f t="shared" si="36"/>
        <v>51.3</v>
      </c>
      <c r="K47" s="746">
        <f>SUM(K49,K51,K53,K55,)</f>
        <v>51.3</v>
      </c>
      <c r="L47" s="746">
        <f>SUM(L49,L51,L53,L55,)</f>
        <v>51.3</v>
      </c>
      <c r="M47" s="746">
        <f t="shared" ref="M47:Q47" si="37">SUM(M49,M51,M53,M55,)</f>
        <v>47.9</v>
      </c>
      <c r="N47" s="746">
        <f t="shared" si="37"/>
        <v>4.0950920245398786E-2</v>
      </c>
      <c r="O47" s="746">
        <f t="shared" si="37"/>
        <v>52.5</v>
      </c>
      <c r="P47" s="746">
        <f t="shared" si="37"/>
        <v>48.5</v>
      </c>
      <c r="Q47" s="746">
        <f t="shared" si="37"/>
        <v>55.5</v>
      </c>
      <c r="R47" s="1497">
        <f t="shared" ref="R47" si="38">SUM(R49,R51,R53,R55,)</f>
        <v>50.5</v>
      </c>
      <c r="S47" s="746" t="s">
        <v>1038</v>
      </c>
      <c r="T47" s="696"/>
      <c r="U47" s="671" t="s">
        <v>1384</v>
      </c>
      <c r="V47" s="671" t="s">
        <v>942</v>
      </c>
      <c r="W47" s="671" t="s">
        <v>577</v>
      </c>
      <c r="X47" s="671" t="s">
        <v>3335</v>
      </c>
      <c r="Y47" s="671" t="s">
        <v>3335</v>
      </c>
      <c r="Z47" s="671" t="s">
        <v>3335</v>
      </c>
      <c r="AA47" s="671" t="s">
        <v>3335</v>
      </c>
      <c r="AB47" s="671" t="s">
        <v>942</v>
      </c>
      <c r="AE47" s="84"/>
      <c r="AF47" s="84"/>
    </row>
    <row r="48" spans="1:32" ht="39.75" customHeight="1">
      <c r="A48" s="2879" t="s">
        <v>1978</v>
      </c>
      <c r="B48" s="2699" t="s">
        <v>1202</v>
      </c>
      <c r="C48" s="2719">
        <v>188711925</v>
      </c>
      <c r="D48" s="706" t="s">
        <v>470</v>
      </c>
      <c r="E48" s="720">
        <v>7</v>
      </c>
      <c r="F48" s="892">
        <f t="shared" si="0"/>
        <v>0.14285714285714279</v>
      </c>
      <c r="G48" s="720">
        <v>21.4</v>
      </c>
      <c r="H48" s="722">
        <v>8</v>
      </c>
      <c r="I48" s="723">
        <f t="shared" si="28"/>
        <v>1.0375000000000001</v>
      </c>
      <c r="J48" s="720">
        <v>16.3</v>
      </c>
      <c r="K48" s="722">
        <v>16.3</v>
      </c>
      <c r="L48" s="722">
        <v>13.3</v>
      </c>
      <c r="M48" s="1496">
        <v>9.9</v>
      </c>
      <c r="N48" s="2130">
        <f t="shared" si="3"/>
        <v>-0.18404907975460122</v>
      </c>
      <c r="O48" s="722">
        <v>14</v>
      </c>
      <c r="P48" s="1496">
        <v>10</v>
      </c>
      <c r="Q48" s="722">
        <v>15</v>
      </c>
      <c r="R48" s="1496">
        <v>10</v>
      </c>
      <c r="S48" s="2871" t="s">
        <v>2146</v>
      </c>
      <c r="T48" s="2704" t="s">
        <v>4311</v>
      </c>
      <c r="U48" s="2694" t="s">
        <v>1385</v>
      </c>
      <c r="V48" s="2694" t="s">
        <v>1374</v>
      </c>
      <c r="W48" s="2694" t="s">
        <v>1372</v>
      </c>
      <c r="X48" s="2694" t="s">
        <v>392</v>
      </c>
      <c r="Y48" s="2694" t="s">
        <v>1332</v>
      </c>
      <c r="Z48" s="2694" t="s">
        <v>1332</v>
      </c>
      <c r="AA48" s="2694" t="s">
        <v>1332</v>
      </c>
      <c r="AB48" s="2694" t="s">
        <v>2200</v>
      </c>
      <c r="AE48" s="84"/>
      <c r="AF48" s="84"/>
    </row>
    <row r="49" spans="1:32" ht="39.75" customHeight="1">
      <c r="A49" s="2879"/>
      <c r="B49" s="2699"/>
      <c r="C49" s="2719"/>
      <c r="D49" s="725" t="s">
        <v>1067</v>
      </c>
      <c r="E49" s="726">
        <f>E48</f>
        <v>7</v>
      </c>
      <c r="F49" s="911">
        <f t="shared" ref="F49:F114" si="39">H49/E49-1</f>
        <v>0.14285714285714279</v>
      </c>
      <c r="G49" s="726">
        <f t="shared" ref="G49:O49" si="40">G48</f>
        <v>21.4</v>
      </c>
      <c r="H49" s="728">
        <f t="shared" si="40"/>
        <v>8</v>
      </c>
      <c r="I49" s="729">
        <f t="shared" si="28"/>
        <v>1.0375000000000001</v>
      </c>
      <c r="J49" s="726">
        <f t="shared" si="40"/>
        <v>16.3</v>
      </c>
      <c r="K49" s="728">
        <f t="shared" si="40"/>
        <v>16.3</v>
      </c>
      <c r="L49" s="728">
        <f t="shared" si="40"/>
        <v>13.3</v>
      </c>
      <c r="M49" s="1464">
        <f t="shared" ref="M49" si="41">M48</f>
        <v>9.9</v>
      </c>
      <c r="N49" s="1243">
        <f t="shared" si="3"/>
        <v>-0.18404907975460122</v>
      </c>
      <c r="O49" s="728">
        <f t="shared" si="40"/>
        <v>14</v>
      </c>
      <c r="P49" s="1464">
        <f t="shared" ref="P49:Q49" si="42">P48</f>
        <v>10</v>
      </c>
      <c r="Q49" s="728">
        <f t="shared" si="42"/>
        <v>15</v>
      </c>
      <c r="R49" s="1464">
        <f t="shared" ref="R49" si="43">R48</f>
        <v>10</v>
      </c>
      <c r="S49" s="2871"/>
      <c r="T49" s="2734"/>
      <c r="U49" s="2694"/>
      <c r="V49" s="2694"/>
      <c r="W49" s="2694"/>
      <c r="X49" s="2694"/>
      <c r="Y49" s="2694"/>
      <c r="Z49" s="2694"/>
      <c r="AA49" s="2694"/>
      <c r="AB49" s="2694"/>
      <c r="AE49" s="84"/>
      <c r="AF49" s="84"/>
    </row>
    <row r="50" spans="1:32" ht="39.75" customHeight="1">
      <c r="A50" s="2879" t="s">
        <v>1979</v>
      </c>
      <c r="B50" s="2703" t="s">
        <v>3695</v>
      </c>
      <c r="C50" s="2719">
        <v>188711925</v>
      </c>
      <c r="D50" s="706" t="s">
        <v>470</v>
      </c>
      <c r="E50" s="720">
        <v>2.4</v>
      </c>
      <c r="F50" s="892">
        <f t="shared" si="39"/>
        <v>0</v>
      </c>
      <c r="G50" s="720">
        <v>2.5</v>
      </c>
      <c r="H50" s="722">
        <v>2.4</v>
      </c>
      <c r="I50" s="723">
        <f t="shared" si="28"/>
        <v>0.66666666666666674</v>
      </c>
      <c r="J50" s="720">
        <v>4</v>
      </c>
      <c r="K50" s="722">
        <v>4</v>
      </c>
      <c r="L50" s="722">
        <v>4.5</v>
      </c>
      <c r="M50" s="1496">
        <v>4.5</v>
      </c>
      <c r="N50" s="2130">
        <f t="shared" si="3"/>
        <v>0.125</v>
      </c>
      <c r="O50" s="722">
        <v>4.5</v>
      </c>
      <c r="P50" s="1496">
        <v>4.5</v>
      </c>
      <c r="Q50" s="722">
        <v>4.5</v>
      </c>
      <c r="R50" s="1496">
        <v>4.5</v>
      </c>
      <c r="S50" s="2871" t="s">
        <v>2201</v>
      </c>
      <c r="T50" s="2704" t="s">
        <v>4356</v>
      </c>
      <c r="U50" s="2694" t="s">
        <v>1386</v>
      </c>
      <c r="V50" s="2694" t="s">
        <v>3221</v>
      </c>
      <c r="W50" s="2694" t="s">
        <v>1315</v>
      </c>
      <c r="X50" s="2694" t="s">
        <v>1315</v>
      </c>
      <c r="Y50" s="2694" t="s">
        <v>403</v>
      </c>
      <c r="Z50" s="2694" t="s">
        <v>403</v>
      </c>
      <c r="AA50" s="2694" t="s">
        <v>403</v>
      </c>
      <c r="AB50" s="2694" t="s">
        <v>2202</v>
      </c>
      <c r="AE50" s="84"/>
      <c r="AF50" s="84"/>
    </row>
    <row r="51" spans="1:32" ht="76.8" customHeight="1">
      <c r="A51" s="2879"/>
      <c r="B51" s="2703"/>
      <c r="C51" s="2719"/>
      <c r="D51" s="725" t="s">
        <v>1067</v>
      </c>
      <c r="E51" s="726">
        <f>E50</f>
        <v>2.4</v>
      </c>
      <c r="F51" s="911">
        <f t="shared" si="39"/>
        <v>0</v>
      </c>
      <c r="G51" s="726">
        <f>SUM(G50)</f>
        <v>2.5</v>
      </c>
      <c r="H51" s="728">
        <f t="shared" ref="H51:O51" si="44">SUM(H50)</f>
        <v>2.4</v>
      </c>
      <c r="I51" s="729">
        <f t="shared" si="28"/>
        <v>0.66666666666666674</v>
      </c>
      <c r="J51" s="726">
        <f t="shared" si="44"/>
        <v>4</v>
      </c>
      <c r="K51" s="728">
        <f t="shared" si="44"/>
        <v>4</v>
      </c>
      <c r="L51" s="728">
        <f t="shared" si="44"/>
        <v>4.5</v>
      </c>
      <c r="M51" s="1464">
        <f t="shared" ref="M51" si="45">SUM(M50)</f>
        <v>4.5</v>
      </c>
      <c r="N51" s="1243">
        <f t="shared" si="3"/>
        <v>0.125</v>
      </c>
      <c r="O51" s="728">
        <f t="shared" si="44"/>
        <v>4.5</v>
      </c>
      <c r="P51" s="1464">
        <f t="shared" ref="P51:Q51" si="46">SUM(P50)</f>
        <v>4.5</v>
      </c>
      <c r="Q51" s="728">
        <f t="shared" si="46"/>
        <v>4.5</v>
      </c>
      <c r="R51" s="1464">
        <f t="shared" ref="R51" si="47">SUM(R50)</f>
        <v>4.5</v>
      </c>
      <c r="S51" s="2871"/>
      <c r="T51" s="2734"/>
      <c r="U51" s="2694"/>
      <c r="V51" s="2694"/>
      <c r="W51" s="2694"/>
      <c r="X51" s="2694"/>
      <c r="Y51" s="2694"/>
      <c r="Z51" s="2694"/>
      <c r="AA51" s="2694"/>
      <c r="AB51" s="2694"/>
      <c r="AE51" s="84"/>
      <c r="AF51" s="84"/>
    </row>
    <row r="52" spans="1:32" ht="39.75" customHeight="1">
      <c r="A52" s="2879" t="s">
        <v>1980</v>
      </c>
      <c r="B52" s="2699" t="s">
        <v>1203</v>
      </c>
      <c r="C52" s="2719">
        <v>188711925</v>
      </c>
      <c r="D52" s="706" t="s">
        <v>470</v>
      </c>
      <c r="E52" s="720">
        <v>3</v>
      </c>
      <c r="F52" s="892">
        <f t="shared" si="39"/>
        <v>1</v>
      </c>
      <c r="G52" s="720">
        <v>21</v>
      </c>
      <c r="H52" s="722">
        <v>6</v>
      </c>
      <c r="I52" s="723">
        <f t="shared" si="28"/>
        <v>0</v>
      </c>
      <c r="J52" s="720">
        <v>6</v>
      </c>
      <c r="K52" s="722">
        <v>6</v>
      </c>
      <c r="L52" s="722">
        <v>6</v>
      </c>
      <c r="M52" s="1496">
        <v>6</v>
      </c>
      <c r="N52" s="2130">
        <f t="shared" si="3"/>
        <v>0</v>
      </c>
      <c r="O52" s="722">
        <v>6</v>
      </c>
      <c r="P52" s="1496">
        <v>6</v>
      </c>
      <c r="Q52" s="722">
        <v>6</v>
      </c>
      <c r="R52" s="1496">
        <v>6</v>
      </c>
      <c r="S52" s="2871" t="s">
        <v>2203</v>
      </c>
      <c r="T52" s="2704" t="s">
        <v>1695</v>
      </c>
      <c r="U52" s="2694" t="s">
        <v>1387</v>
      </c>
      <c r="V52" s="2694" t="s">
        <v>1694</v>
      </c>
      <c r="W52" s="2694" t="s">
        <v>432</v>
      </c>
      <c r="X52" s="2694" t="s">
        <v>432</v>
      </c>
      <c r="Y52" s="2694" t="s">
        <v>432</v>
      </c>
      <c r="Z52" s="2694" t="s">
        <v>432</v>
      </c>
      <c r="AA52" s="2694" t="s">
        <v>432</v>
      </c>
      <c r="AB52" s="2694" t="s">
        <v>2204</v>
      </c>
      <c r="AE52" s="84"/>
      <c r="AF52" s="84"/>
    </row>
    <row r="53" spans="1:32" ht="39.75" customHeight="1">
      <c r="A53" s="2879"/>
      <c r="B53" s="2699"/>
      <c r="C53" s="2719"/>
      <c r="D53" s="725" t="s">
        <v>1067</v>
      </c>
      <c r="E53" s="726">
        <f>E52</f>
        <v>3</v>
      </c>
      <c r="F53" s="911">
        <f t="shared" si="39"/>
        <v>1</v>
      </c>
      <c r="G53" s="726">
        <f t="shared" ref="G53:O53" si="48">G52</f>
        <v>21</v>
      </c>
      <c r="H53" s="728">
        <f t="shared" si="48"/>
        <v>6</v>
      </c>
      <c r="I53" s="729">
        <f t="shared" si="28"/>
        <v>0</v>
      </c>
      <c r="J53" s="726">
        <f t="shared" si="48"/>
        <v>6</v>
      </c>
      <c r="K53" s="728">
        <f t="shared" si="48"/>
        <v>6</v>
      </c>
      <c r="L53" s="728">
        <f t="shared" si="48"/>
        <v>6</v>
      </c>
      <c r="M53" s="1464">
        <f t="shared" ref="M53" si="49">M52</f>
        <v>6</v>
      </c>
      <c r="N53" s="1243">
        <f t="shared" si="3"/>
        <v>0</v>
      </c>
      <c r="O53" s="728">
        <f t="shared" si="48"/>
        <v>6</v>
      </c>
      <c r="P53" s="1464">
        <f t="shared" ref="P53:Q53" si="50">P52</f>
        <v>6</v>
      </c>
      <c r="Q53" s="728">
        <f t="shared" si="50"/>
        <v>6</v>
      </c>
      <c r="R53" s="1464">
        <f t="shared" ref="R53" si="51">R52</f>
        <v>6</v>
      </c>
      <c r="S53" s="2871"/>
      <c r="T53" s="2734"/>
      <c r="U53" s="2694"/>
      <c r="V53" s="2694"/>
      <c r="W53" s="2694"/>
      <c r="X53" s="2694"/>
      <c r="Y53" s="2694"/>
      <c r="Z53" s="2694"/>
      <c r="AA53" s="2694"/>
      <c r="AB53" s="2694"/>
      <c r="AE53" s="84"/>
      <c r="AF53" s="84"/>
    </row>
    <row r="54" spans="1:32" ht="39.75" customHeight="1">
      <c r="A54" s="2879" t="s">
        <v>1981</v>
      </c>
      <c r="B54" s="2699" t="s">
        <v>1204</v>
      </c>
      <c r="C54" s="2719">
        <v>188711925</v>
      </c>
      <c r="D54" s="706" t="s">
        <v>470</v>
      </c>
      <c r="E54" s="720">
        <v>4.4000000000000004</v>
      </c>
      <c r="F54" s="892">
        <f t="shared" si="39"/>
        <v>3.8181818181818175</v>
      </c>
      <c r="G54" s="720">
        <v>15</v>
      </c>
      <c r="H54" s="722">
        <v>21.2</v>
      </c>
      <c r="I54" s="723">
        <f t="shared" si="28"/>
        <v>0.179245283018868</v>
      </c>
      <c r="J54" s="720">
        <v>25</v>
      </c>
      <c r="K54" s="722">
        <v>25</v>
      </c>
      <c r="L54" s="722">
        <v>27.5</v>
      </c>
      <c r="M54" s="1496">
        <v>27.5</v>
      </c>
      <c r="N54" s="2130">
        <f t="shared" si="3"/>
        <v>0.1</v>
      </c>
      <c r="O54" s="722">
        <v>28</v>
      </c>
      <c r="P54" s="1496">
        <v>28</v>
      </c>
      <c r="Q54" s="722">
        <v>30</v>
      </c>
      <c r="R54" s="1496">
        <v>30</v>
      </c>
      <c r="S54" s="2871" t="s">
        <v>2330</v>
      </c>
      <c r="T54" s="2704" t="s">
        <v>3841</v>
      </c>
      <c r="U54" s="2694" t="s">
        <v>1388</v>
      </c>
      <c r="V54" s="2694" t="s">
        <v>1375</v>
      </c>
      <c r="W54" s="2694" t="s">
        <v>145</v>
      </c>
      <c r="X54" s="2694" t="s">
        <v>9</v>
      </c>
      <c r="Y54" s="2694" t="s">
        <v>1306</v>
      </c>
      <c r="Z54" s="2694" t="s">
        <v>1306</v>
      </c>
      <c r="AA54" s="2694" t="s">
        <v>1306</v>
      </c>
      <c r="AB54" s="2694" t="s">
        <v>2331</v>
      </c>
      <c r="AE54" s="84"/>
      <c r="AF54" s="84"/>
    </row>
    <row r="55" spans="1:32" ht="39.75" customHeight="1">
      <c r="A55" s="2879"/>
      <c r="B55" s="2699"/>
      <c r="C55" s="2719"/>
      <c r="D55" s="725" t="s">
        <v>1067</v>
      </c>
      <c r="E55" s="726">
        <f>E54</f>
        <v>4.4000000000000004</v>
      </c>
      <c r="F55" s="911">
        <f t="shared" si="39"/>
        <v>3.8181818181818175</v>
      </c>
      <c r="G55" s="726">
        <f t="shared" ref="G55:O55" si="52">G54</f>
        <v>15</v>
      </c>
      <c r="H55" s="728">
        <f t="shared" si="52"/>
        <v>21.2</v>
      </c>
      <c r="I55" s="729">
        <f t="shared" si="28"/>
        <v>0.179245283018868</v>
      </c>
      <c r="J55" s="726">
        <f t="shared" si="52"/>
        <v>25</v>
      </c>
      <c r="K55" s="728">
        <f t="shared" si="52"/>
        <v>25</v>
      </c>
      <c r="L55" s="728">
        <f t="shared" si="52"/>
        <v>27.5</v>
      </c>
      <c r="M55" s="1464">
        <f t="shared" ref="M55" si="53">M54</f>
        <v>27.5</v>
      </c>
      <c r="N55" s="1243">
        <f t="shared" si="3"/>
        <v>0.1</v>
      </c>
      <c r="O55" s="728">
        <f t="shared" si="52"/>
        <v>28</v>
      </c>
      <c r="P55" s="1464">
        <f t="shared" ref="P55:Q55" si="54">P54</f>
        <v>28</v>
      </c>
      <c r="Q55" s="728">
        <f t="shared" si="54"/>
        <v>30</v>
      </c>
      <c r="R55" s="1464">
        <f t="shared" ref="R55" si="55">R54</f>
        <v>30</v>
      </c>
      <c r="S55" s="2871"/>
      <c r="T55" s="2734"/>
      <c r="U55" s="2694"/>
      <c r="V55" s="2694"/>
      <c r="W55" s="2694"/>
      <c r="X55" s="2694"/>
      <c r="Y55" s="2694"/>
      <c r="Z55" s="2694"/>
      <c r="AA55" s="2694"/>
      <c r="AB55" s="2694"/>
      <c r="AE55" s="84"/>
      <c r="AF55" s="84"/>
    </row>
    <row r="56" spans="1:32" ht="72" customHeight="1">
      <c r="A56" s="697" t="s">
        <v>1982</v>
      </c>
      <c r="B56" s="663" t="s">
        <v>1983</v>
      </c>
      <c r="C56" s="697"/>
      <c r="D56" s="697"/>
      <c r="E56" s="745">
        <f>SUM(E58,E61,E67,E69)</f>
        <v>172.5</v>
      </c>
      <c r="F56" s="897">
        <f t="shared" si="39"/>
        <v>5.7333333333333236E-2</v>
      </c>
      <c r="G56" s="745">
        <f>SUM(G58,G61,G67,G69)</f>
        <v>186.89</v>
      </c>
      <c r="H56" s="746">
        <f>SUM(H58,H61,H67,H69)</f>
        <v>182.39</v>
      </c>
      <c r="I56" s="747">
        <f t="shared" si="28"/>
        <v>1.0168320631613579</v>
      </c>
      <c r="J56" s="745">
        <f>SUM(J58,J61,J67,J69)</f>
        <v>468.85</v>
      </c>
      <c r="K56" s="746">
        <f>SUM(K58,K61,K67,K69)</f>
        <v>367.85</v>
      </c>
      <c r="L56" s="746">
        <f>SUM(L58,L61,L67,L69,L71,L73,L75,L79,)</f>
        <v>425.4</v>
      </c>
      <c r="M56" s="746">
        <f t="shared" ref="M56:Q56" si="56">SUM(M58,M61,M67,M69,M71,M73,M75,M79,)</f>
        <v>452.4</v>
      </c>
      <c r="N56" s="746">
        <f t="shared" si="56"/>
        <v>8.5017358371469154</v>
      </c>
      <c r="O56" s="746">
        <f>SUM(O58,O61,O67,O69,O71,O73,O75,O79,)</f>
        <v>440.4</v>
      </c>
      <c r="P56" s="746">
        <f t="shared" si="56"/>
        <v>395.4</v>
      </c>
      <c r="Q56" s="746">
        <f t="shared" si="56"/>
        <v>277.39999999999998</v>
      </c>
      <c r="R56" s="1497">
        <f>SUM(R58,R61,R67,R69)</f>
        <v>245.4</v>
      </c>
      <c r="S56" s="697" t="s">
        <v>970</v>
      </c>
      <c r="T56" s="697"/>
      <c r="U56" s="671" t="s">
        <v>1389</v>
      </c>
      <c r="V56" s="671" t="s">
        <v>4357</v>
      </c>
      <c r="W56" s="671" t="s">
        <v>1697</v>
      </c>
      <c r="X56" s="671" t="s">
        <v>3338</v>
      </c>
      <c r="Y56" s="671" t="s">
        <v>4358</v>
      </c>
      <c r="Z56" s="671" t="s">
        <v>4359</v>
      </c>
      <c r="AA56" s="671" t="s">
        <v>4360</v>
      </c>
      <c r="AB56" s="671" t="s">
        <v>972</v>
      </c>
      <c r="AE56" s="84"/>
      <c r="AF56" s="84"/>
    </row>
    <row r="57" spans="1:32" ht="39.75" customHeight="1">
      <c r="A57" s="2879" t="s">
        <v>1984</v>
      </c>
      <c r="B57" s="2699" t="s">
        <v>1205</v>
      </c>
      <c r="C57" s="2719">
        <v>188711925</v>
      </c>
      <c r="D57" s="706" t="s">
        <v>470</v>
      </c>
      <c r="E57" s="720">
        <v>3.5</v>
      </c>
      <c r="F57" s="892">
        <f t="shared" si="39"/>
        <v>-0.5714285714285714</v>
      </c>
      <c r="G57" s="720">
        <v>4</v>
      </c>
      <c r="H57" s="722">
        <v>1.5</v>
      </c>
      <c r="I57" s="723">
        <f t="shared" si="28"/>
        <v>0.33333333333333326</v>
      </c>
      <c r="J57" s="720">
        <v>6</v>
      </c>
      <c r="K57" s="722">
        <v>2</v>
      </c>
      <c r="L57" s="722">
        <v>20</v>
      </c>
      <c r="M57" s="1496">
        <v>20</v>
      </c>
      <c r="N57" s="2130">
        <f>(L57-K57)/K57</f>
        <v>9</v>
      </c>
      <c r="O57" s="722">
        <v>6</v>
      </c>
      <c r="P57" s="1496">
        <v>6</v>
      </c>
      <c r="Q57" s="722">
        <v>6</v>
      </c>
      <c r="R57" s="1496">
        <v>6</v>
      </c>
      <c r="S57" s="2871" t="s">
        <v>2205</v>
      </c>
      <c r="T57" s="2704" t="s">
        <v>4045</v>
      </c>
      <c r="U57" s="2694" t="s">
        <v>1391</v>
      </c>
      <c r="V57" s="2694" t="s">
        <v>220</v>
      </c>
      <c r="W57" s="2694" t="s">
        <v>1372</v>
      </c>
      <c r="X57" s="2694" t="s">
        <v>1372</v>
      </c>
      <c r="Y57" s="2694" t="s">
        <v>1372</v>
      </c>
      <c r="Z57" s="2694" t="s">
        <v>1372</v>
      </c>
      <c r="AA57" s="2694" t="s">
        <v>1372</v>
      </c>
      <c r="AB57" s="2694" t="s">
        <v>2206</v>
      </c>
      <c r="AE57" s="84"/>
      <c r="AF57" s="84"/>
    </row>
    <row r="58" spans="1:32" ht="139.19999999999999" customHeight="1">
      <c r="A58" s="2879"/>
      <c r="B58" s="2699"/>
      <c r="C58" s="2719"/>
      <c r="D58" s="725" t="s">
        <v>1067</v>
      </c>
      <c r="E58" s="726">
        <f>E57</f>
        <v>3.5</v>
      </c>
      <c r="F58" s="911">
        <f t="shared" si="39"/>
        <v>-0.5714285714285714</v>
      </c>
      <c r="G58" s="726">
        <f t="shared" ref="G58:O58" si="57">G57</f>
        <v>4</v>
      </c>
      <c r="H58" s="728">
        <f t="shared" si="57"/>
        <v>1.5</v>
      </c>
      <c r="I58" s="729">
        <f t="shared" si="28"/>
        <v>0.33333333333333326</v>
      </c>
      <c r="J58" s="726">
        <f>J57</f>
        <v>6</v>
      </c>
      <c r="K58" s="728">
        <f t="shared" si="57"/>
        <v>2</v>
      </c>
      <c r="L58" s="728">
        <f t="shared" si="57"/>
        <v>20</v>
      </c>
      <c r="M58" s="1464">
        <f t="shared" ref="M58" si="58">M57</f>
        <v>20</v>
      </c>
      <c r="N58" s="1243">
        <f t="shared" si="3"/>
        <v>9</v>
      </c>
      <c r="O58" s="728">
        <f t="shared" si="57"/>
        <v>6</v>
      </c>
      <c r="P58" s="1464">
        <f t="shared" ref="P58:Q58" si="59">P57</f>
        <v>6</v>
      </c>
      <c r="Q58" s="728">
        <f t="shared" si="59"/>
        <v>6</v>
      </c>
      <c r="R58" s="1464">
        <f t="shared" ref="R58" si="60">R57</f>
        <v>6</v>
      </c>
      <c r="S58" s="2871"/>
      <c r="T58" s="2734"/>
      <c r="U58" s="2694"/>
      <c r="V58" s="2694"/>
      <c r="W58" s="2694"/>
      <c r="X58" s="2694"/>
      <c r="Y58" s="2694"/>
      <c r="Z58" s="2694"/>
      <c r="AA58" s="2694"/>
      <c r="AB58" s="2694"/>
      <c r="AE58" s="84"/>
      <c r="AF58" s="84"/>
    </row>
    <row r="59" spans="1:32" ht="39.75" customHeight="1">
      <c r="A59" s="2879" t="s">
        <v>1985</v>
      </c>
      <c r="B59" s="2703" t="s">
        <v>3696</v>
      </c>
      <c r="C59" s="2719">
        <v>188711925</v>
      </c>
      <c r="D59" s="706" t="s">
        <v>470</v>
      </c>
      <c r="E59" s="720">
        <v>110.1</v>
      </c>
      <c r="F59" s="892">
        <f t="shared" si="39"/>
        <v>0.21607629427792907</v>
      </c>
      <c r="G59" s="720">
        <v>133.88999999999999</v>
      </c>
      <c r="H59" s="722">
        <v>133.88999999999999</v>
      </c>
      <c r="I59" s="723">
        <f t="shared" si="28"/>
        <v>1.3664948838598856</v>
      </c>
      <c r="J59" s="720">
        <f>SUM(J62,J63,J64,)</f>
        <v>411.85</v>
      </c>
      <c r="K59" s="722">
        <f>SUM(K62,K63,K64,K65)</f>
        <v>316.85000000000002</v>
      </c>
      <c r="L59" s="722">
        <f>SUM(L62,L63,)</f>
        <v>69.400000000000006</v>
      </c>
      <c r="M59" s="1496">
        <f>SUM(M62,M63,M64,M65)</f>
        <v>344.4</v>
      </c>
      <c r="N59" s="2130">
        <f>(L59-K59)/K59</f>
        <v>-0.78096891273473257</v>
      </c>
      <c r="O59" s="722">
        <f t="shared" ref="O59" si="61">SUM(O62,O63,O64,O65)</f>
        <v>344.4</v>
      </c>
      <c r="P59" s="1496">
        <f>SUM(P62,P63,P64,P65)</f>
        <v>344.4</v>
      </c>
      <c r="Q59" s="722">
        <f>SUM(Q62,Q63,Q64,Q65)</f>
        <v>229.4</v>
      </c>
      <c r="R59" s="1496">
        <f t="shared" ref="R59" si="62">SUM(R62,R63,R64,R65)</f>
        <v>229.4</v>
      </c>
      <c r="S59" s="2871" t="s">
        <v>2207</v>
      </c>
      <c r="T59" s="2704" t="s">
        <v>2704</v>
      </c>
      <c r="U59" s="2694" t="s">
        <v>1390</v>
      </c>
      <c r="V59" s="2694" t="s">
        <v>27</v>
      </c>
      <c r="W59" s="2694" t="s">
        <v>585</v>
      </c>
      <c r="X59" s="2694" t="s">
        <v>585</v>
      </c>
      <c r="Y59" s="2694" t="s">
        <v>585</v>
      </c>
      <c r="Z59" s="2694" t="s">
        <v>585</v>
      </c>
      <c r="AA59" s="2694" t="s">
        <v>585</v>
      </c>
      <c r="AB59" s="2694" t="s">
        <v>2208</v>
      </c>
      <c r="AE59" s="84"/>
      <c r="AF59" s="84"/>
    </row>
    <row r="60" spans="1:32" ht="39.75" customHeight="1">
      <c r="A60" s="2879"/>
      <c r="B60" s="2703"/>
      <c r="C60" s="2719"/>
      <c r="D60" s="706" t="s">
        <v>2747</v>
      </c>
      <c r="E60" s="720"/>
      <c r="F60" s="892"/>
      <c r="G60" s="720"/>
      <c r="H60" s="722"/>
      <c r="I60" s="723"/>
      <c r="J60" s="720"/>
      <c r="K60" s="722"/>
      <c r="L60" s="722">
        <f>SUM(L64,L65)</f>
        <v>248</v>
      </c>
      <c r="M60" s="1496"/>
      <c r="N60" s="2130"/>
      <c r="O60" s="722"/>
      <c r="P60" s="1496"/>
      <c r="Q60" s="722"/>
      <c r="R60" s="1496"/>
      <c r="S60" s="2871"/>
      <c r="T60" s="2704"/>
      <c r="U60" s="2694"/>
      <c r="V60" s="2694"/>
      <c r="W60" s="2694"/>
      <c r="X60" s="2694"/>
      <c r="Y60" s="2694"/>
      <c r="Z60" s="2694"/>
      <c r="AA60" s="2694"/>
      <c r="AB60" s="2694"/>
      <c r="AE60" s="84"/>
      <c r="AF60" s="84"/>
    </row>
    <row r="61" spans="1:32" ht="39.75" customHeight="1">
      <c r="A61" s="2879"/>
      <c r="B61" s="2703"/>
      <c r="C61" s="2719"/>
      <c r="D61" s="725" t="s">
        <v>1067</v>
      </c>
      <c r="E61" s="726">
        <f>E59</f>
        <v>110.1</v>
      </c>
      <c r="F61" s="911">
        <f t="shared" si="39"/>
        <v>0.21607629427792907</v>
      </c>
      <c r="G61" s="726">
        <f t="shared" ref="G61:O61" si="63">G59</f>
        <v>133.88999999999999</v>
      </c>
      <c r="H61" s="728">
        <f t="shared" si="63"/>
        <v>133.88999999999999</v>
      </c>
      <c r="I61" s="729">
        <f t="shared" si="28"/>
        <v>1.3664948838598856</v>
      </c>
      <c r="J61" s="726">
        <f t="shared" si="63"/>
        <v>411.85</v>
      </c>
      <c r="K61" s="728">
        <f t="shared" si="63"/>
        <v>316.85000000000002</v>
      </c>
      <c r="L61" s="728">
        <f>SUM(L59,L60)</f>
        <v>317.39999999999998</v>
      </c>
      <c r="M61" s="1464">
        <f t="shared" ref="M61" si="64">M59</f>
        <v>344.4</v>
      </c>
      <c r="N61" s="1243">
        <f t="shared" si="3"/>
        <v>1.7358371469148003E-3</v>
      </c>
      <c r="O61" s="728">
        <f t="shared" si="63"/>
        <v>344.4</v>
      </c>
      <c r="P61" s="1464">
        <f t="shared" ref="P61:Q61" si="65">P59</f>
        <v>344.4</v>
      </c>
      <c r="Q61" s="728">
        <f t="shared" si="65"/>
        <v>229.4</v>
      </c>
      <c r="R61" s="1464">
        <f t="shared" ref="R61" si="66">R59</f>
        <v>229.4</v>
      </c>
      <c r="S61" s="2871"/>
      <c r="T61" s="2734"/>
      <c r="U61" s="2694"/>
      <c r="V61" s="2694"/>
      <c r="W61" s="2694"/>
      <c r="X61" s="2694"/>
      <c r="Y61" s="2694"/>
      <c r="Z61" s="2694"/>
      <c r="AA61" s="2694"/>
      <c r="AB61" s="2694"/>
      <c r="AE61" s="84"/>
      <c r="AF61" s="84"/>
    </row>
    <row r="62" spans="1:32" ht="49.95" hidden="1" customHeight="1">
      <c r="A62" s="899"/>
      <c r="B62" s="1360" t="s">
        <v>3108</v>
      </c>
      <c r="C62" s="1125"/>
      <c r="D62" s="1361"/>
      <c r="E62" s="968"/>
      <c r="F62" s="945"/>
      <c r="G62" s="968"/>
      <c r="H62" s="946">
        <v>45</v>
      </c>
      <c r="I62" s="681"/>
      <c r="J62" s="734">
        <v>14.4</v>
      </c>
      <c r="K62" s="681">
        <v>14.4</v>
      </c>
      <c r="L62" s="681">
        <v>14.4</v>
      </c>
      <c r="M62" s="1470">
        <v>14.4</v>
      </c>
      <c r="N62" s="1112">
        <f t="shared" si="3"/>
        <v>0</v>
      </c>
      <c r="O62" s="681">
        <v>14.4</v>
      </c>
      <c r="P62" s="1470">
        <v>14.4</v>
      </c>
      <c r="Q62" s="681">
        <v>14.4</v>
      </c>
      <c r="R62" s="1470">
        <v>14.4</v>
      </c>
      <c r="S62" s="681"/>
      <c r="T62" s="693" t="s">
        <v>3111</v>
      </c>
      <c r="U62" s="925"/>
      <c r="V62" s="688"/>
      <c r="W62" s="688"/>
      <c r="X62" s="688"/>
      <c r="Y62" s="688"/>
      <c r="Z62" s="688"/>
      <c r="AA62" s="688"/>
      <c r="AB62" s="688"/>
      <c r="AE62" s="84"/>
      <c r="AF62" s="84"/>
    </row>
    <row r="63" spans="1:32" ht="55.2" hidden="1" customHeight="1">
      <c r="A63" s="899"/>
      <c r="B63" s="1360" t="s">
        <v>3109</v>
      </c>
      <c r="C63" s="1125"/>
      <c r="D63" s="1361"/>
      <c r="E63" s="968"/>
      <c r="F63" s="945"/>
      <c r="G63" s="968"/>
      <c r="H63" s="946"/>
      <c r="I63" s="681"/>
      <c r="J63" s="734">
        <v>47.45</v>
      </c>
      <c r="K63" s="681">
        <v>47.45</v>
      </c>
      <c r="L63" s="681">
        <v>55</v>
      </c>
      <c r="M63" s="1470">
        <v>55</v>
      </c>
      <c r="N63" s="1112">
        <f t="shared" si="3"/>
        <v>0.15911485774499468</v>
      </c>
      <c r="O63" s="681">
        <v>55</v>
      </c>
      <c r="P63" s="1470">
        <v>55</v>
      </c>
      <c r="Q63" s="681">
        <v>55</v>
      </c>
      <c r="R63" s="1470">
        <v>55</v>
      </c>
      <c r="S63" s="681"/>
      <c r="T63" s="693" t="s">
        <v>3842</v>
      </c>
      <c r="U63" s="925"/>
      <c r="V63" s="688"/>
      <c r="W63" s="688"/>
      <c r="X63" s="688"/>
      <c r="Y63" s="688"/>
      <c r="Z63" s="688"/>
      <c r="AA63" s="688"/>
      <c r="AB63" s="688"/>
      <c r="AE63" s="84"/>
      <c r="AF63" s="84"/>
    </row>
    <row r="64" spans="1:32" ht="54.6" hidden="1" customHeight="1">
      <c r="A64" s="688" t="s">
        <v>3926</v>
      </c>
      <c r="B64" s="1360" t="s">
        <v>3110</v>
      </c>
      <c r="C64" s="1125"/>
      <c r="D64" s="1361"/>
      <c r="E64" s="968"/>
      <c r="F64" s="945"/>
      <c r="G64" s="968"/>
      <c r="H64" s="946"/>
      <c r="I64" s="681"/>
      <c r="J64" s="755">
        <v>350</v>
      </c>
      <c r="K64" s="681">
        <v>100</v>
      </c>
      <c r="L64" s="445">
        <v>163</v>
      </c>
      <c r="M64" s="1470">
        <v>120</v>
      </c>
      <c r="N64" s="1112">
        <f t="shared" si="3"/>
        <v>0.63</v>
      </c>
      <c r="O64" s="681">
        <v>120</v>
      </c>
      <c r="P64" s="1470">
        <v>120</v>
      </c>
      <c r="Q64" s="681">
        <v>60</v>
      </c>
      <c r="R64" s="1470">
        <v>60</v>
      </c>
      <c r="S64" s="681"/>
      <c r="T64" s="693" t="s">
        <v>3112</v>
      </c>
      <c r="U64" s="925"/>
      <c r="V64" s="688"/>
      <c r="W64" s="688"/>
      <c r="X64" s="688"/>
      <c r="Y64" s="688"/>
      <c r="Z64" s="688"/>
      <c r="AA64" s="688"/>
      <c r="AB64" s="688"/>
      <c r="AE64" s="84"/>
      <c r="AF64" s="84"/>
    </row>
    <row r="65" spans="1:32" ht="66.599999999999994" hidden="1" customHeight="1">
      <c r="A65" s="1130"/>
      <c r="B65" s="1777" t="s">
        <v>3090</v>
      </c>
      <c r="C65" s="1710"/>
      <c r="D65" s="1474"/>
      <c r="E65" s="1465"/>
      <c r="F65" s="1475"/>
      <c r="G65" s="1465"/>
      <c r="H65" s="1470"/>
      <c r="I65" s="1470"/>
      <c r="J65" s="1465">
        <v>120</v>
      </c>
      <c r="K65" s="1776">
        <v>155</v>
      </c>
      <c r="L65" s="681">
        <v>85</v>
      </c>
      <c r="M65" s="1470">
        <v>155</v>
      </c>
      <c r="N65" s="1112">
        <f t="shared" si="3"/>
        <v>-0.45161290322580644</v>
      </c>
      <c r="O65" s="681">
        <v>155</v>
      </c>
      <c r="P65" s="1470">
        <v>155</v>
      </c>
      <c r="Q65" s="681">
        <v>100</v>
      </c>
      <c r="R65" s="1470">
        <v>100</v>
      </c>
      <c r="S65" s="734"/>
      <c r="T65" s="1778" t="s">
        <v>3248</v>
      </c>
      <c r="U65" s="925"/>
      <c r="V65" s="688"/>
      <c r="W65" s="688"/>
      <c r="X65" s="688"/>
      <c r="Y65" s="688"/>
      <c r="Z65" s="688"/>
      <c r="AA65" s="688"/>
      <c r="AB65" s="688"/>
      <c r="AE65" s="84"/>
      <c r="AF65" s="84"/>
    </row>
    <row r="66" spans="1:32" ht="39.75" customHeight="1">
      <c r="A66" s="2879" t="s">
        <v>1986</v>
      </c>
      <c r="B66" s="2699" t="s">
        <v>1206</v>
      </c>
      <c r="C66" s="2719">
        <v>188711925</v>
      </c>
      <c r="D66" s="706" t="s">
        <v>470</v>
      </c>
      <c r="E66" s="720">
        <v>2.9</v>
      </c>
      <c r="F66" s="892">
        <f t="shared" si="39"/>
        <v>-0.31034482758620685</v>
      </c>
      <c r="G66" s="720">
        <v>4</v>
      </c>
      <c r="H66" s="722">
        <v>2</v>
      </c>
      <c r="I66" s="723">
        <f t="shared" ref="I66:I82" si="67">K66/H66-1</f>
        <v>1</v>
      </c>
      <c r="J66" s="720">
        <v>6</v>
      </c>
      <c r="K66" s="722">
        <v>4</v>
      </c>
      <c r="L66" s="722">
        <v>6</v>
      </c>
      <c r="M66" s="1496">
        <v>6</v>
      </c>
      <c r="N66" s="2130">
        <f t="shared" si="3"/>
        <v>0.5</v>
      </c>
      <c r="O66" s="722">
        <v>8</v>
      </c>
      <c r="P66" s="1496">
        <v>8</v>
      </c>
      <c r="Q66" s="722">
        <v>10</v>
      </c>
      <c r="R66" s="1496">
        <v>10</v>
      </c>
      <c r="S66" s="2871" t="s">
        <v>2209</v>
      </c>
      <c r="T66" s="2704" t="s">
        <v>4361</v>
      </c>
      <c r="U66" s="2694" t="s">
        <v>1392</v>
      </c>
      <c r="V66" s="2694" t="s">
        <v>1376</v>
      </c>
      <c r="W66" s="2694" t="s">
        <v>432</v>
      </c>
      <c r="X66" s="2694" t="s">
        <v>403</v>
      </c>
      <c r="Y66" s="2694" t="s">
        <v>432</v>
      </c>
      <c r="Z66" s="2694"/>
      <c r="AA66" s="2694"/>
      <c r="AB66" s="2694" t="s">
        <v>2210</v>
      </c>
      <c r="AE66" s="84"/>
      <c r="AF66" s="84"/>
    </row>
    <row r="67" spans="1:32" ht="65.25" customHeight="1">
      <c r="A67" s="2879"/>
      <c r="B67" s="2699"/>
      <c r="C67" s="2719"/>
      <c r="D67" s="725" t="s">
        <v>1067</v>
      </c>
      <c r="E67" s="726">
        <f>E66</f>
        <v>2.9</v>
      </c>
      <c r="F67" s="911">
        <f t="shared" si="39"/>
        <v>-0.31034482758620685</v>
      </c>
      <c r="G67" s="726">
        <f t="shared" ref="G67:O67" si="68">G66</f>
        <v>4</v>
      </c>
      <c r="H67" s="728">
        <f t="shared" si="68"/>
        <v>2</v>
      </c>
      <c r="I67" s="729">
        <f t="shared" si="67"/>
        <v>1</v>
      </c>
      <c r="J67" s="726">
        <f>J66</f>
        <v>6</v>
      </c>
      <c r="K67" s="728">
        <f t="shared" si="68"/>
        <v>4</v>
      </c>
      <c r="L67" s="728">
        <f t="shared" si="68"/>
        <v>6</v>
      </c>
      <c r="M67" s="1464">
        <f t="shared" ref="M67" si="69">M66</f>
        <v>6</v>
      </c>
      <c r="N67" s="1243">
        <f t="shared" si="3"/>
        <v>0.5</v>
      </c>
      <c r="O67" s="728">
        <f t="shared" si="68"/>
        <v>8</v>
      </c>
      <c r="P67" s="1464">
        <f t="shared" ref="P67:Q67" si="70">P66</f>
        <v>8</v>
      </c>
      <c r="Q67" s="728">
        <f t="shared" si="70"/>
        <v>10</v>
      </c>
      <c r="R67" s="1464">
        <f t="shared" ref="R67" si="71">R66</f>
        <v>10</v>
      </c>
      <c r="S67" s="2871"/>
      <c r="T67" s="2734"/>
      <c r="U67" s="2694"/>
      <c r="V67" s="2694"/>
      <c r="W67" s="2694"/>
      <c r="X67" s="2694"/>
      <c r="Y67" s="2694"/>
      <c r="Z67" s="2694"/>
      <c r="AA67" s="2694"/>
      <c r="AB67" s="2694"/>
      <c r="AE67" s="84"/>
      <c r="AF67" s="84"/>
    </row>
    <row r="68" spans="1:32" ht="39.75" hidden="1" customHeight="1">
      <c r="A68" s="2980" t="s">
        <v>1987</v>
      </c>
      <c r="B68" s="2981" t="s">
        <v>3725</v>
      </c>
      <c r="C68" s="2982">
        <v>188711925</v>
      </c>
      <c r="D68" s="1447" t="s">
        <v>470</v>
      </c>
      <c r="E68" s="1448">
        <v>56</v>
      </c>
      <c r="F68" s="1449">
        <f t="shared" si="39"/>
        <v>-0.1964285714285714</v>
      </c>
      <c r="G68" s="1448">
        <v>45</v>
      </c>
      <c r="H68" s="1448">
        <v>45</v>
      </c>
      <c r="I68" s="1449">
        <f t="shared" si="67"/>
        <v>0</v>
      </c>
      <c r="J68" s="1448">
        <v>45</v>
      </c>
      <c r="K68" s="1448">
        <v>45</v>
      </c>
      <c r="L68" s="1448">
        <v>0</v>
      </c>
      <c r="M68" s="1712">
        <v>0</v>
      </c>
      <c r="N68" s="2140">
        <f t="shared" si="3"/>
        <v>-1</v>
      </c>
      <c r="O68" s="1448">
        <v>0</v>
      </c>
      <c r="P68" s="1712">
        <v>0</v>
      </c>
      <c r="Q68" s="1448">
        <v>0</v>
      </c>
      <c r="R68" s="1712">
        <v>0</v>
      </c>
      <c r="S68" s="2964" t="s">
        <v>2211</v>
      </c>
      <c r="T68" s="2967" t="s">
        <v>3348</v>
      </c>
      <c r="U68" s="2955" t="s">
        <v>1393</v>
      </c>
      <c r="V68" s="2955" t="s">
        <v>3346</v>
      </c>
      <c r="W68" s="2955" t="s">
        <v>144</v>
      </c>
      <c r="X68" s="2955" t="s">
        <v>3337</v>
      </c>
      <c r="Y68" s="2955" t="s">
        <v>3337</v>
      </c>
      <c r="Z68" s="2955" t="s">
        <v>3337</v>
      </c>
      <c r="AA68" s="2955" t="s">
        <v>3337</v>
      </c>
      <c r="AB68" s="2955" t="s">
        <v>2443</v>
      </c>
      <c r="AE68" s="84"/>
      <c r="AF68" s="84"/>
    </row>
    <row r="69" spans="1:32" ht="39.75" hidden="1" customHeight="1">
      <c r="A69" s="2980"/>
      <c r="B69" s="2981"/>
      <c r="C69" s="2982"/>
      <c r="D69" s="1450" t="s">
        <v>1067</v>
      </c>
      <c r="E69" s="1448">
        <f>E68</f>
        <v>56</v>
      </c>
      <c r="F69" s="1449">
        <f t="shared" si="39"/>
        <v>-0.1964285714285714</v>
      </c>
      <c r="G69" s="1448">
        <f t="shared" ref="G69:O69" si="72">G68</f>
        <v>45</v>
      </c>
      <c r="H69" s="1448">
        <f t="shared" si="72"/>
        <v>45</v>
      </c>
      <c r="I69" s="1449">
        <f t="shared" si="67"/>
        <v>0</v>
      </c>
      <c r="J69" s="1448">
        <f t="shared" si="72"/>
        <v>45</v>
      </c>
      <c r="K69" s="1448">
        <f t="shared" si="72"/>
        <v>45</v>
      </c>
      <c r="L69" s="1448">
        <f t="shared" si="72"/>
        <v>0</v>
      </c>
      <c r="M69" s="1712">
        <f t="shared" ref="M69" si="73">M68</f>
        <v>0</v>
      </c>
      <c r="N69" s="2140">
        <f t="shared" si="3"/>
        <v>-1</v>
      </c>
      <c r="O69" s="1448">
        <f t="shared" si="72"/>
        <v>0</v>
      </c>
      <c r="P69" s="1712">
        <f t="shared" ref="P69:Q69" si="74">P68</f>
        <v>0</v>
      </c>
      <c r="Q69" s="1448">
        <f t="shared" si="74"/>
        <v>0</v>
      </c>
      <c r="R69" s="1712">
        <f t="shared" ref="R69" si="75">R68</f>
        <v>0</v>
      </c>
      <c r="S69" s="2964"/>
      <c r="T69" s="2968"/>
      <c r="U69" s="2955"/>
      <c r="V69" s="2955"/>
      <c r="W69" s="2955"/>
      <c r="X69" s="2955"/>
      <c r="Y69" s="2955"/>
      <c r="Z69" s="2955"/>
      <c r="AA69" s="2955"/>
      <c r="AB69" s="2955"/>
      <c r="AE69" s="84"/>
      <c r="AF69" s="84"/>
    </row>
    <row r="70" spans="1:32" ht="60.6" customHeight="1">
      <c r="A70" s="2945" t="s">
        <v>3994</v>
      </c>
      <c r="B70" s="2945" t="s">
        <v>3853</v>
      </c>
      <c r="C70" s="2700">
        <v>188711925</v>
      </c>
      <c r="D70" s="706" t="s">
        <v>470</v>
      </c>
      <c r="E70" s="720">
        <v>2.9</v>
      </c>
      <c r="F70" s="914">
        <f t="shared" ref="F70:F71" si="76">H70/E70-1</f>
        <v>-0.31034482758620685</v>
      </c>
      <c r="G70" s="720">
        <v>4</v>
      </c>
      <c r="H70" s="722">
        <v>2</v>
      </c>
      <c r="I70" s="1014">
        <f t="shared" ref="I70:I71" si="77">K70/H70-1</f>
        <v>-1</v>
      </c>
      <c r="J70" s="720">
        <v>6</v>
      </c>
      <c r="K70" s="722"/>
      <c r="L70" s="722">
        <v>10</v>
      </c>
      <c r="M70" s="1496">
        <v>10</v>
      </c>
      <c r="N70" s="2130"/>
      <c r="O70" s="722">
        <v>10</v>
      </c>
      <c r="P70" s="1496">
        <v>15</v>
      </c>
      <c r="Q70" s="722">
        <v>10</v>
      </c>
      <c r="R70" s="1496">
        <v>20</v>
      </c>
      <c r="S70" s="2956" t="s">
        <v>2213</v>
      </c>
      <c r="T70" s="2704" t="s">
        <v>4055</v>
      </c>
      <c r="U70" s="2694" t="s">
        <v>4047</v>
      </c>
      <c r="V70" s="2694" t="s">
        <v>4312</v>
      </c>
      <c r="W70" s="2694"/>
      <c r="X70" s="2694"/>
      <c r="Y70" s="2694" t="s">
        <v>1304</v>
      </c>
      <c r="Z70" s="2694" t="s">
        <v>392</v>
      </c>
      <c r="AA70" s="2694" t="s">
        <v>392</v>
      </c>
      <c r="AB70" s="2694"/>
      <c r="AE70" s="84"/>
      <c r="AF70" s="84"/>
    </row>
    <row r="71" spans="1:32" ht="46.2" customHeight="1">
      <c r="A71" s="2947"/>
      <c r="B71" s="2947"/>
      <c r="C71" s="2700"/>
      <c r="D71" s="725" t="s">
        <v>1067</v>
      </c>
      <c r="E71" s="726">
        <f>E70</f>
        <v>2.9</v>
      </c>
      <c r="F71" s="911">
        <f t="shared" si="76"/>
        <v>-0.31034482758620685</v>
      </c>
      <c r="G71" s="726">
        <f t="shared" ref="G71:H71" si="78">G70</f>
        <v>4</v>
      </c>
      <c r="H71" s="728">
        <f t="shared" si="78"/>
        <v>2</v>
      </c>
      <c r="I71" s="729">
        <f t="shared" si="77"/>
        <v>-1</v>
      </c>
      <c r="J71" s="726">
        <f>J70</f>
        <v>6</v>
      </c>
      <c r="K71" s="728">
        <f t="shared" ref="K71:M71" si="79">K70</f>
        <v>0</v>
      </c>
      <c r="L71" s="728">
        <f t="shared" si="79"/>
        <v>10</v>
      </c>
      <c r="M71" s="1464">
        <f t="shared" si="79"/>
        <v>10</v>
      </c>
      <c r="N71" s="1243"/>
      <c r="O71" s="728">
        <f t="shared" ref="O71:R71" si="80">O70</f>
        <v>10</v>
      </c>
      <c r="P71" s="1464">
        <f t="shared" si="80"/>
        <v>15</v>
      </c>
      <c r="Q71" s="728">
        <f t="shared" si="80"/>
        <v>10</v>
      </c>
      <c r="R71" s="1464">
        <f t="shared" si="80"/>
        <v>20</v>
      </c>
      <c r="S71" s="2957"/>
      <c r="T71" s="2734"/>
      <c r="U71" s="2694"/>
      <c r="V71" s="2694"/>
      <c r="W71" s="2694"/>
      <c r="X71" s="2694"/>
      <c r="Y71" s="2694"/>
      <c r="Z71" s="2694"/>
      <c r="AA71" s="2694"/>
      <c r="AB71" s="2694"/>
      <c r="AE71" s="84"/>
      <c r="AF71" s="84"/>
    </row>
    <row r="72" spans="1:32" ht="52.95" customHeight="1">
      <c r="A72" s="2945" t="s">
        <v>3995</v>
      </c>
      <c r="B72" s="2945" t="s">
        <v>3988</v>
      </c>
      <c r="C72" s="2700">
        <v>188711925</v>
      </c>
      <c r="D72" s="706" t="s">
        <v>470</v>
      </c>
      <c r="E72" s="720">
        <v>2.9</v>
      </c>
      <c r="F72" s="914">
        <f t="shared" ref="F72:F73" si="81">H72/E72-1</f>
        <v>-0.31034482758620685</v>
      </c>
      <c r="G72" s="720">
        <v>4</v>
      </c>
      <c r="H72" s="722">
        <v>2</v>
      </c>
      <c r="I72" s="1014">
        <f t="shared" ref="I72:I73" si="82">K72/H72-1</f>
        <v>-1</v>
      </c>
      <c r="J72" s="720">
        <v>6</v>
      </c>
      <c r="K72" s="722"/>
      <c r="L72" s="722">
        <v>2</v>
      </c>
      <c r="M72" s="1496">
        <v>2</v>
      </c>
      <c r="N72" s="2130"/>
      <c r="O72" s="722">
        <v>2</v>
      </c>
      <c r="P72" s="1496">
        <v>2</v>
      </c>
      <c r="Q72" s="722">
        <v>2</v>
      </c>
      <c r="R72" s="1496">
        <v>2</v>
      </c>
      <c r="S72" s="2957"/>
      <c r="T72" s="2704" t="s">
        <v>4054</v>
      </c>
      <c r="U72" s="2694" t="s">
        <v>4048</v>
      </c>
      <c r="V72" s="2694" t="s">
        <v>4052</v>
      </c>
      <c r="W72" s="2694"/>
      <c r="X72" s="2694"/>
      <c r="Y72" s="2694" t="s">
        <v>1372</v>
      </c>
      <c r="Z72" s="2694" t="s">
        <v>1372</v>
      </c>
      <c r="AA72" s="2694" t="s">
        <v>1372</v>
      </c>
      <c r="AB72" s="2694"/>
      <c r="AE72" s="84"/>
      <c r="AF72" s="84"/>
    </row>
    <row r="73" spans="1:32" ht="41.4" customHeight="1">
      <c r="A73" s="2947"/>
      <c r="B73" s="2947"/>
      <c r="C73" s="2700"/>
      <c r="D73" s="725" t="s">
        <v>1067</v>
      </c>
      <c r="E73" s="726">
        <f>E72</f>
        <v>2.9</v>
      </c>
      <c r="F73" s="911">
        <f t="shared" si="81"/>
        <v>-0.31034482758620685</v>
      </c>
      <c r="G73" s="726">
        <f t="shared" ref="G73:H73" si="83">G72</f>
        <v>4</v>
      </c>
      <c r="H73" s="728">
        <f t="shared" si="83"/>
        <v>2</v>
      </c>
      <c r="I73" s="729">
        <f t="shared" si="82"/>
        <v>-1</v>
      </c>
      <c r="J73" s="726">
        <f>J72</f>
        <v>6</v>
      </c>
      <c r="K73" s="728">
        <f t="shared" ref="K73:M73" si="84">K72</f>
        <v>0</v>
      </c>
      <c r="L73" s="728">
        <f t="shared" si="84"/>
        <v>2</v>
      </c>
      <c r="M73" s="1464">
        <f t="shared" si="84"/>
        <v>2</v>
      </c>
      <c r="N73" s="1243"/>
      <c r="O73" s="728">
        <f t="shared" ref="O73:R73" si="85">O72</f>
        <v>2</v>
      </c>
      <c r="P73" s="1464">
        <f t="shared" si="85"/>
        <v>2</v>
      </c>
      <c r="Q73" s="728">
        <f t="shared" si="85"/>
        <v>2</v>
      </c>
      <c r="R73" s="1464">
        <f t="shared" si="85"/>
        <v>2</v>
      </c>
      <c r="S73" s="2958"/>
      <c r="T73" s="2734"/>
      <c r="U73" s="2694"/>
      <c r="V73" s="2694"/>
      <c r="W73" s="2694"/>
      <c r="X73" s="2694"/>
      <c r="Y73" s="2694"/>
      <c r="Z73" s="2694"/>
      <c r="AA73" s="2694"/>
      <c r="AB73" s="2694"/>
      <c r="AE73" s="84"/>
      <c r="AF73" s="84"/>
    </row>
    <row r="74" spans="1:32" ht="52.95" customHeight="1">
      <c r="A74" s="2945" t="s">
        <v>4049</v>
      </c>
      <c r="B74" s="2948" t="s">
        <v>4050</v>
      </c>
      <c r="C74" s="2700">
        <v>188711925</v>
      </c>
      <c r="D74" s="706" t="s">
        <v>470</v>
      </c>
      <c r="E74" s="720">
        <v>2.9</v>
      </c>
      <c r="F74" s="914">
        <f t="shared" ref="F74:F75" si="86">H74/E74-1</f>
        <v>-0.31034482758620685</v>
      </c>
      <c r="G74" s="720">
        <v>4</v>
      </c>
      <c r="H74" s="722">
        <v>2</v>
      </c>
      <c r="I74" s="1014">
        <f t="shared" ref="I74:I75" si="87">K74/H74-1</f>
        <v>-1</v>
      </c>
      <c r="J74" s="720">
        <v>6</v>
      </c>
      <c r="K74" s="722"/>
      <c r="L74" s="722">
        <v>20</v>
      </c>
      <c r="M74" s="1496">
        <v>20</v>
      </c>
      <c r="N74" s="2130"/>
      <c r="O74" s="722">
        <v>20</v>
      </c>
      <c r="P74" s="1496">
        <v>20</v>
      </c>
      <c r="Q74" s="722">
        <v>20</v>
      </c>
      <c r="R74" s="1496">
        <v>20</v>
      </c>
      <c r="S74" s="2871" t="s">
        <v>4362</v>
      </c>
      <c r="T74" s="2704" t="s">
        <v>4363</v>
      </c>
      <c r="U74" s="2694" t="s">
        <v>4051</v>
      </c>
      <c r="V74" s="2694" t="s">
        <v>4053</v>
      </c>
      <c r="W74" s="2694"/>
      <c r="X74" s="2694"/>
      <c r="Y74" s="2942" t="s">
        <v>432</v>
      </c>
      <c r="Z74" s="2694" t="s">
        <v>432</v>
      </c>
      <c r="AA74" s="2694" t="s">
        <v>432</v>
      </c>
      <c r="AB74" s="2694"/>
      <c r="AE74" s="84"/>
      <c r="AF74" s="84"/>
    </row>
    <row r="75" spans="1:32" ht="41.4" customHeight="1">
      <c r="A75" s="2947"/>
      <c r="B75" s="2848"/>
      <c r="C75" s="2700"/>
      <c r="D75" s="725" t="s">
        <v>1067</v>
      </c>
      <c r="E75" s="726">
        <f>E74</f>
        <v>2.9</v>
      </c>
      <c r="F75" s="911">
        <f t="shared" si="86"/>
        <v>-0.31034482758620685</v>
      </c>
      <c r="G75" s="726">
        <f t="shared" ref="G75:H75" si="88">G74</f>
        <v>4</v>
      </c>
      <c r="H75" s="728">
        <f t="shared" si="88"/>
        <v>2</v>
      </c>
      <c r="I75" s="729">
        <f t="shared" si="87"/>
        <v>-1</v>
      </c>
      <c r="J75" s="726">
        <f>J74</f>
        <v>6</v>
      </c>
      <c r="K75" s="728">
        <f t="shared" ref="K75:M75" si="89">K74</f>
        <v>0</v>
      </c>
      <c r="L75" s="728">
        <f t="shared" si="89"/>
        <v>20</v>
      </c>
      <c r="M75" s="1464">
        <f t="shared" si="89"/>
        <v>20</v>
      </c>
      <c r="N75" s="1243"/>
      <c r="O75" s="728">
        <f t="shared" ref="O75:R75" si="90">O74</f>
        <v>20</v>
      </c>
      <c r="P75" s="1464">
        <f t="shared" si="90"/>
        <v>20</v>
      </c>
      <c r="Q75" s="728">
        <f t="shared" si="90"/>
        <v>20</v>
      </c>
      <c r="R75" s="1464">
        <f t="shared" si="90"/>
        <v>20</v>
      </c>
      <c r="S75" s="2871"/>
      <c r="T75" s="2734"/>
      <c r="U75" s="2694"/>
      <c r="V75" s="2694"/>
      <c r="W75" s="2694"/>
      <c r="X75" s="2694"/>
      <c r="Y75" s="2944"/>
      <c r="Z75" s="2694"/>
      <c r="AA75" s="2694"/>
      <c r="AB75" s="2694"/>
      <c r="AE75" s="84"/>
      <c r="AF75" s="84"/>
    </row>
    <row r="76" spans="1:32" ht="44.4" customHeight="1">
      <c r="A76" s="2945" t="s">
        <v>4110</v>
      </c>
      <c r="B76" s="2948" t="s">
        <v>4365</v>
      </c>
      <c r="C76" s="2700">
        <v>188711925</v>
      </c>
      <c r="D76" s="706" t="s">
        <v>470</v>
      </c>
      <c r="E76" s="720">
        <v>2.9</v>
      </c>
      <c r="F76" s="914">
        <f t="shared" ref="F76:F79" si="91">H76/E76-1</f>
        <v>-0.31034482758620685</v>
      </c>
      <c r="G76" s="720">
        <v>4</v>
      </c>
      <c r="H76" s="722">
        <v>2</v>
      </c>
      <c r="I76" s="1014">
        <f t="shared" ref="I76:I79" si="92">K76/H76-1</f>
        <v>-1</v>
      </c>
      <c r="J76" s="720">
        <v>6</v>
      </c>
      <c r="K76" s="722"/>
      <c r="L76" s="722"/>
      <c r="M76" s="1496">
        <v>50</v>
      </c>
      <c r="N76" s="2130"/>
      <c r="O76" s="722"/>
      <c r="P76" s="1496"/>
      <c r="Q76" s="722"/>
      <c r="R76" s="1496"/>
      <c r="S76" s="2871" t="s">
        <v>2148</v>
      </c>
      <c r="T76" s="2704" t="s">
        <v>4313</v>
      </c>
      <c r="U76" s="2694" t="s">
        <v>4314</v>
      </c>
      <c r="V76" s="2694" t="s">
        <v>4315</v>
      </c>
      <c r="W76" s="2694"/>
      <c r="X76" s="2694"/>
      <c r="Y76" s="2942" t="s">
        <v>433</v>
      </c>
      <c r="Z76" s="2694" t="s">
        <v>324</v>
      </c>
      <c r="AA76" s="2694" t="s">
        <v>433</v>
      </c>
      <c r="AB76" s="2694" t="s">
        <v>1680</v>
      </c>
      <c r="AE76" s="84"/>
      <c r="AF76" s="84"/>
    </row>
    <row r="77" spans="1:32" ht="44.4" customHeight="1">
      <c r="A77" s="2946"/>
      <c r="B77" s="2949"/>
      <c r="C77" s="2700"/>
      <c r="D77" s="706" t="s">
        <v>1358</v>
      </c>
      <c r="E77" s="720"/>
      <c r="F77" s="914"/>
      <c r="G77" s="720"/>
      <c r="H77" s="722"/>
      <c r="I77" s="1014"/>
      <c r="J77" s="720"/>
      <c r="K77" s="722"/>
      <c r="L77" s="722">
        <v>50</v>
      </c>
      <c r="M77" s="1496"/>
      <c r="N77" s="2130"/>
      <c r="O77" s="722"/>
      <c r="P77" s="1496"/>
      <c r="Q77" s="722"/>
      <c r="R77" s="1496"/>
      <c r="S77" s="2871"/>
      <c r="T77" s="2704"/>
      <c r="U77" s="2694"/>
      <c r="V77" s="2694"/>
      <c r="W77" s="2694"/>
      <c r="X77" s="2694"/>
      <c r="Y77" s="2943"/>
      <c r="Z77" s="2694"/>
      <c r="AA77" s="2694"/>
      <c r="AB77" s="2694"/>
      <c r="AE77" s="84"/>
      <c r="AF77" s="84"/>
    </row>
    <row r="78" spans="1:32" ht="45" customHeight="1">
      <c r="A78" s="2946"/>
      <c r="B78" s="2949"/>
      <c r="C78" s="2700"/>
      <c r="D78" s="706" t="s">
        <v>412</v>
      </c>
      <c r="E78" s="720"/>
      <c r="F78" s="914"/>
      <c r="G78" s="720"/>
      <c r="H78" s="722"/>
      <c r="I78" s="1014"/>
      <c r="J78" s="720"/>
      <c r="K78" s="722"/>
      <c r="L78" s="722"/>
      <c r="M78" s="1496"/>
      <c r="N78" s="2130"/>
      <c r="O78" s="722">
        <v>50</v>
      </c>
      <c r="P78" s="1496"/>
      <c r="Q78" s="722"/>
      <c r="R78" s="1496"/>
      <c r="S78" s="2950"/>
      <c r="T78" s="2704"/>
      <c r="U78" s="2694"/>
      <c r="V78" s="2694"/>
      <c r="W78" s="2694"/>
      <c r="X78" s="2694"/>
      <c r="Y78" s="2943"/>
      <c r="Z78" s="2694"/>
      <c r="AA78" s="2694"/>
      <c r="AB78" s="2694"/>
      <c r="AE78" s="84"/>
      <c r="AF78" s="84"/>
    </row>
    <row r="79" spans="1:32" ht="41.4" customHeight="1">
      <c r="A79" s="2947"/>
      <c r="B79" s="2848"/>
      <c r="C79" s="2700"/>
      <c r="D79" s="725" t="s">
        <v>1067</v>
      </c>
      <c r="E79" s="726">
        <f>E76</f>
        <v>2.9</v>
      </c>
      <c r="F79" s="911">
        <f t="shared" si="91"/>
        <v>-0.31034482758620685</v>
      </c>
      <c r="G79" s="726">
        <f t="shared" ref="G79:H79" si="93">G76</f>
        <v>4</v>
      </c>
      <c r="H79" s="728">
        <f t="shared" si="93"/>
        <v>2</v>
      </c>
      <c r="I79" s="729">
        <f t="shared" si="92"/>
        <v>-1</v>
      </c>
      <c r="J79" s="726">
        <f>J76</f>
        <v>6</v>
      </c>
      <c r="K79" s="728">
        <f t="shared" ref="K79:M79" si="94">K76</f>
        <v>0</v>
      </c>
      <c r="L79" s="728">
        <f>L77</f>
        <v>50</v>
      </c>
      <c r="M79" s="1464">
        <f t="shared" si="94"/>
        <v>50</v>
      </c>
      <c r="N79" s="1243"/>
      <c r="O79" s="728">
        <f>O78</f>
        <v>50</v>
      </c>
      <c r="P79" s="1464">
        <f t="shared" ref="P79:R79" si="95">P76</f>
        <v>0</v>
      </c>
      <c r="Q79" s="728">
        <f t="shared" si="95"/>
        <v>0</v>
      </c>
      <c r="R79" s="1464">
        <f t="shared" si="95"/>
        <v>0</v>
      </c>
      <c r="S79" s="2950"/>
      <c r="T79" s="2734"/>
      <c r="U79" s="2694"/>
      <c r="V79" s="2694"/>
      <c r="W79" s="2694"/>
      <c r="X79" s="2694"/>
      <c r="Y79" s="2944"/>
      <c r="Z79" s="2694"/>
      <c r="AA79" s="2694"/>
      <c r="AB79" s="2694"/>
      <c r="AE79" s="84"/>
      <c r="AF79" s="84"/>
    </row>
    <row r="80" spans="1:32" ht="69" customHeight="1">
      <c r="A80" s="697" t="s">
        <v>1988</v>
      </c>
      <c r="B80" s="663" t="s">
        <v>1989</v>
      </c>
      <c r="C80" s="697"/>
      <c r="D80" s="697"/>
      <c r="E80" s="745">
        <f>SUM(E82,E84,)</f>
        <v>35.26</v>
      </c>
      <c r="F80" s="897">
        <f t="shared" si="39"/>
        <v>-0.73848553601815081</v>
      </c>
      <c r="G80" s="745">
        <f t="shared" ref="G80:O80" si="96">SUM(G82,G84,)</f>
        <v>7.8390000000000004</v>
      </c>
      <c r="H80" s="746">
        <f>SUM(H82,H84,)</f>
        <v>9.2210000000000001</v>
      </c>
      <c r="I80" s="747">
        <f t="shared" si="67"/>
        <v>-0.67465567725843179</v>
      </c>
      <c r="J80" s="745"/>
      <c r="K80" s="746">
        <f t="shared" si="96"/>
        <v>3</v>
      </c>
      <c r="L80" s="746">
        <f>SUM(L82,L84,L92)</f>
        <v>32.739999999999995</v>
      </c>
      <c r="M80" s="746">
        <f t="shared" ref="M80:Q80" si="97">SUM(M82,M84,M92)</f>
        <v>32.739999999999995</v>
      </c>
      <c r="N80" s="746" t="e">
        <f t="shared" si="97"/>
        <v>#DIV/0!</v>
      </c>
      <c r="O80" s="746">
        <f t="shared" si="97"/>
        <v>32.704000000000001</v>
      </c>
      <c r="P80" s="746">
        <f t="shared" si="97"/>
        <v>32.704000000000001</v>
      </c>
      <c r="Q80" s="746">
        <f t="shared" si="97"/>
        <v>32.704000000000001</v>
      </c>
      <c r="R80" s="1497">
        <f t="shared" ref="R80" si="98">SUM(R82,R84,)</f>
        <v>4</v>
      </c>
      <c r="S80" s="671" t="s">
        <v>970</v>
      </c>
      <c r="T80" s="697"/>
      <c r="U80" s="671" t="s">
        <v>1394</v>
      </c>
      <c r="V80" s="671" t="s">
        <v>1377</v>
      </c>
      <c r="W80" s="671" t="s">
        <v>324</v>
      </c>
      <c r="X80" s="671" t="s">
        <v>324</v>
      </c>
      <c r="Y80" s="671" t="s">
        <v>433</v>
      </c>
      <c r="Z80" s="671" t="s">
        <v>433</v>
      </c>
      <c r="AA80" s="671" t="s">
        <v>433</v>
      </c>
      <c r="AB80" s="671" t="s">
        <v>972</v>
      </c>
      <c r="AE80" s="84"/>
      <c r="AF80" s="84"/>
    </row>
    <row r="81" spans="1:32" ht="39.75" customHeight="1">
      <c r="A81" s="2879" t="s">
        <v>1990</v>
      </c>
      <c r="B81" s="2728" t="s">
        <v>4694</v>
      </c>
      <c r="C81" s="2719">
        <v>188711925</v>
      </c>
      <c r="D81" s="706" t="s">
        <v>470</v>
      </c>
      <c r="E81" s="720">
        <v>3</v>
      </c>
      <c r="F81" s="892">
        <f t="shared" si="39"/>
        <v>0</v>
      </c>
      <c r="G81" s="720">
        <v>3</v>
      </c>
      <c r="H81" s="722">
        <v>3</v>
      </c>
      <c r="I81" s="723">
        <f t="shared" si="67"/>
        <v>0</v>
      </c>
      <c r="J81" s="720">
        <v>5</v>
      </c>
      <c r="K81" s="722">
        <v>3</v>
      </c>
      <c r="L81" s="722">
        <v>4</v>
      </c>
      <c r="M81" s="1496">
        <v>4</v>
      </c>
      <c r="N81" s="2130">
        <f t="shared" si="3"/>
        <v>0.33333333333333331</v>
      </c>
      <c r="O81" s="722">
        <v>4</v>
      </c>
      <c r="P81" s="1496">
        <v>4</v>
      </c>
      <c r="Q81" s="722">
        <v>4</v>
      </c>
      <c r="R81" s="1496">
        <v>4</v>
      </c>
      <c r="S81" s="2871" t="s">
        <v>2213</v>
      </c>
      <c r="T81" s="2698" t="s">
        <v>4448</v>
      </c>
      <c r="U81" s="2694" t="s">
        <v>1395</v>
      </c>
      <c r="V81" s="2694" t="s">
        <v>1680</v>
      </c>
      <c r="W81" s="2694" t="s">
        <v>392</v>
      </c>
      <c r="X81" s="2694" t="s">
        <v>392</v>
      </c>
      <c r="Y81" s="2694" t="s">
        <v>1372</v>
      </c>
      <c r="Z81" s="2694" t="s">
        <v>1372</v>
      </c>
      <c r="AA81" s="2694" t="s">
        <v>1372</v>
      </c>
      <c r="AB81" s="2694" t="s">
        <v>357</v>
      </c>
      <c r="AE81" s="84"/>
      <c r="AF81" s="84"/>
    </row>
    <row r="82" spans="1:32" ht="132" customHeight="1">
      <c r="A82" s="2879"/>
      <c r="B82" s="2728"/>
      <c r="C82" s="2719"/>
      <c r="D82" s="725" t="s">
        <v>1067</v>
      </c>
      <c r="E82" s="726">
        <f>E81</f>
        <v>3</v>
      </c>
      <c r="F82" s="911">
        <f t="shared" si="39"/>
        <v>0</v>
      </c>
      <c r="G82" s="726">
        <f t="shared" ref="G82:O82" si="99">G81</f>
        <v>3</v>
      </c>
      <c r="H82" s="728">
        <f t="shared" si="99"/>
        <v>3</v>
      </c>
      <c r="I82" s="729">
        <f t="shared" si="67"/>
        <v>0</v>
      </c>
      <c r="J82" s="726">
        <f t="shared" si="99"/>
        <v>5</v>
      </c>
      <c r="K82" s="728">
        <f t="shared" si="99"/>
        <v>3</v>
      </c>
      <c r="L82" s="728">
        <f t="shared" si="99"/>
        <v>4</v>
      </c>
      <c r="M82" s="1464">
        <f t="shared" ref="M82" si="100">M81</f>
        <v>4</v>
      </c>
      <c r="N82" s="1243">
        <f t="shared" si="3"/>
        <v>0.33333333333333331</v>
      </c>
      <c r="O82" s="728">
        <f t="shared" si="99"/>
        <v>4</v>
      </c>
      <c r="P82" s="1464">
        <f t="shared" ref="P82:Q82" si="101">P81</f>
        <v>4</v>
      </c>
      <c r="Q82" s="728">
        <f t="shared" si="101"/>
        <v>4</v>
      </c>
      <c r="R82" s="1464">
        <f t="shared" ref="R82" si="102">R81</f>
        <v>4</v>
      </c>
      <c r="S82" s="2871"/>
      <c r="T82" s="2836"/>
      <c r="U82" s="2694"/>
      <c r="V82" s="2694"/>
      <c r="W82" s="2694"/>
      <c r="X82" s="2694"/>
      <c r="Y82" s="2694"/>
      <c r="Z82" s="2694"/>
      <c r="AA82" s="2694"/>
      <c r="AB82" s="2694"/>
      <c r="AE82" s="84"/>
      <c r="AF82" s="84"/>
    </row>
    <row r="83" spans="1:32" ht="39.75" hidden="1" customHeight="1">
      <c r="A83" s="2983" t="s">
        <v>2847</v>
      </c>
      <c r="B83" s="2988" t="s">
        <v>2786</v>
      </c>
      <c r="C83" s="2989">
        <v>188711925</v>
      </c>
      <c r="D83" s="1114" t="s">
        <v>246</v>
      </c>
      <c r="E83" s="949">
        <v>32.26</v>
      </c>
      <c r="F83" s="950">
        <f t="shared" si="39"/>
        <v>-0.80716057036577804</v>
      </c>
      <c r="G83" s="949">
        <v>4.8390000000000004</v>
      </c>
      <c r="H83" s="951">
        <v>6.2210000000000001</v>
      </c>
      <c r="I83" s="951"/>
      <c r="J83" s="949"/>
      <c r="K83" s="951"/>
      <c r="L83" s="951"/>
      <c r="M83" s="1623"/>
      <c r="N83" s="2141" t="e">
        <f t="shared" si="3"/>
        <v>#DIV/0!</v>
      </c>
      <c r="O83" s="951"/>
      <c r="P83" s="1623"/>
      <c r="Q83" s="951"/>
      <c r="R83" s="1623"/>
      <c r="S83" s="2871"/>
      <c r="T83" s="2969" t="s">
        <v>3167</v>
      </c>
      <c r="U83" s="2965" t="s">
        <v>1396</v>
      </c>
      <c r="V83" s="952" t="s">
        <v>1359</v>
      </c>
      <c r="W83" s="952" t="s">
        <v>1365</v>
      </c>
      <c r="X83" s="952"/>
      <c r="Y83" s="952"/>
      <c r="Z83" s="952"/>
      <c r="AA83" s="952"/>
      <c r="AB83" s="2694"/>
      <c r="AE83" s="84"/>
      <c r="AF83" s="484"/>
    </row>
    <row r="84" spans="1:32" ht="39.75" hidden="1" customHeight="1">
      <c r="A84" s="2983"/>
      <c r="B84" s="2988"/>
      <c r="C84" s="2989"/>
      <c r="D84" s="2987" t="s">
        <v>1067</v>
      </c>
      <c r="E84" s="2959">
        <f>E83</f>
        <v>32.26</v>
      </c>
      <c r="F84" s="2962">
        <f t="shared" si="39"/>
        <v>-0.80716057036577804</v>
      </c>
      <c r="G84" s="2959">
        <f t="shared" ref="G84:L84" si="103">G83</f>
        <v>4.8390000000000004</v>
      </c>
      <c r="H84" s="2963">
        <f t="shared" si="103"/>
        <v>6.2210000000000001</v>
      </c>
      <c r="I84" s="2963"/>
      <c r="J84" s="2959"/>
      <c r="K84" s="2963">
        <f t="shared" si="103"/>
        <v>0</v>
      </c>
      <c r="L84" s="2963">
        <f t="shared" si="103"/>
        <v>0</v>
      </c>
      <c r="M84" s="2994">
        <f t="shared" ref="M84" si="104">M83</f>
        <v>0</v>
      </c>
      <c r="N84" s="2141" t="e">
        <f t="shared" si="3"/>
        <v>#DIV/0!</v>
      </c>
      <c r="O84" s="2963"/>
      <c r="P84" s="2994"/>
      <c r="Q84" s="2963"/>
      <c r="R84" s="2994"/>
      <c r="S84" s="2871"/>
      <c r="T84" s="2969"/>
      <c r="U84" s="2965"/>
      <c r="V84" s="952" t="s">
        <v>1360</v>
      </c>
      <c r="W84" s="952" t="s">
        <v>1366</v>
      </c>
      <c r="X84" s="952"/>
      <c r="Y84" s="952"/>
      <c r="Z84" s="952"/>
      <c r="AA84" s="952"/>
      <c r="AB84" s="2694"/>
      <c r="AE84" s="84"/>
      <c r="AF84" s="84"/>
    </row>
    <row r="85" spans="1:32" ht="39.75" hidden="1" customHeight="1">
      <c r="A85" s="2983"/>
      <c r="B85" s="2988"/>
      <c r="C85" s="2989"/>
      <c r="D85" s="2987"/>
      <c r="E85" s="2959"/>
      <c r="F85" s="2962" t="e">
        <f t="shared" si="39"/>
        <v>#DIV/0!</v>
      </c>
      <c r="G85" s="2959"/>
      <c r="H85" s="2963"/>
      <c r="I85" s="2963"/>
      <c r="J85" s="2959"/>
      <c r="K85" s="2963"/>
      <c r="L85" s="2963"/>
      <c r="M85" s="2994"/>
      <c r="N85" s="2141" t="e">
        <f t="shared" si="3"/>
        <v>#DIV/0!</v>
      </c>
      <c r="O85" s="2963"/>
      <c r="P85" s="2994"/>
      <c r="Q85" s="2963"/>
      <c r="R85" s="2994"/>
      <c r="S85" s="2871"/>
      <c r="T85" s="2969"/>
      <c r="U85" s="2965"/>
      <c r="V85" s="952" t="s">
        <v>1361</v>
      </c>
      <c r="W85" s="952" t="s">
        <v>1367</v>
      </c>
      <c r="X85" s="952"/>
      <c r="Y85" s="952"/>
      <c r="Z85" s="952"/>
      <c r="AA85" s="952"/>
      <c r="AB85" s="2694"/>
      <c r="AE85" s="84"/>
      <c r="AF85" s="84"/>
    </row>
    <row r="86" spans="1:32" ht="39.75" hidden="1" customHeight="1">
      <c r="A86" s="2983"/>
      <c r="B86" s="2988"/>
      <c r="C86" s="2989"/>
      <c r="D86" s="2987"/>
      <c r="E86" s="2959"/>
      <c r="F86" s="2962" t="e">
        <f t="shared" si="39"/>
        <v>#DIV/0!</v>
      </c>
      <c r="G86" s="2959"/>
      <c r="H86" s="2963"/>
      <c r="I86" s="2963"/>
      <c r="J86" s="2959"/>
      <c r="K86" s="2963"/>
      <c r="L86" s="2963"/>
      <c r="M86" s="2994"/>
      <c r="N86" s="2141" t="e">
        <f t="shared" si="3"/>
        <v>#DIV/0!</v>
      </c>
      <c r="O86" s="2963"/>
      <c r="P86" s="2994"/>
      <c r="Q86" s="2963"/>
      <c r="R86" s="2994"/>
      <c r="S86" s="2871"/>
      <c r="T86" s="2969"/>
      <c r="U86" s="2965"/>
      <c r="V86" s="952" t="s">
        <v>1362</v>
      </c>
      <c r="W86" s="952" t="s">
        <v>1368</v>
      </c>
      <c r="X86" s="952"/>
      <c r="Y86" s="952"/>
      <c r="Z86" s="952"/>
      <c r="AA86" s="952"/>
      <c r="AB86" s="2694"/>
      <c r="AE86" s="84"/>
      <c r="AF86" s="84"/>
    </row>
    <row r="87" spans="1:32" ht="39.75" hidden="1" customHeight="1">
      <c r="A87" s="2983"/>
      <c r="B87" s="2988"/>
      <c r="C87" s="2989"/>
      <c r="D87" s="2987"/>
      <c r="E87" s="2959"/>
      <c r="F87" s="2962" t="e">
        <f t="shared" si="39"/>
        <v>#DIV/0!</v>
      </c>
      <c r="G87" s="2959"/>
      <c r="H87" s="2963"/>
      <c r="I87" s="2963"/>
      <c r="J87" s="2959"/>
      <c r="K87" s="2963"/>
      <c r="L87" s="2963"/>
      <c r="M87" s="2994"/>
      <c r="N87" s="2141" t="e">
        <f t="shared" si="3"/>
        <v>#DIV/0!</v>
      </c>
      <c r="O87" s="2963"/>
      <c r="P87" s="2994"/>
      <c r="Q87" s="2963"/>
      <c r="R87" s="2994"/>
      <c r="S87" s="2871"/>
      <c r="T87" s="2969"/>
      <c r="U87" s="2965"/>
      <c r="V87" s="952" t="s">
        <v>1363</v>
      </c>
      <c r="W87" s="952" t="s">
        <v>1369</v>
      </c>
      <c r="X87" s="952"/>
      <c r="Y87" s="952"/>
      <c r="Z87" s="952"/>
      <c r="AA87" s="952"/>
      <c r="AB87" s="2694"/>
      <c r="AE87" s="84"/>
      <c r="AF87" s="84"/>
    </row>
    <row r="88" spans="1:32" ht="39.75" hidden="1" customHeight="1">
      <c r="A88" s="2983"/>
      <c r="B88" s="2988"/>
      <c r="C88" s="2989"/>
      <c r="D88" s="2987"/>
      <c r="E88" s="2959"/>
      <c r="F88" s="2962" t="e">
        <f t="shared" si="39"/>
        <v>#DIV/0!</v>
      </c>
      <c r="G88" s="2959"/>
      <c r="H88" s="2963"/>
      <c r="I88" s="2963"/>
      <c r="J88" s="2959"/>
      <c r="K88" s="2963"/>
      <c r="L88" s="2963"/>
      <c r="M88" s="2994"/>
      <c r="N88" s="2141" t="e">
        <f t="shared" si="3"/>
        <v>#DIV/0!</v>
      </c>
      <c r="O88" s="2963"/>
      <c r="P88" s="2994"/>
      <c r="Q88" s="2963"/>
      <c r="R88" s="2994"/>
      <c r="S88" s="2871"/>
      <c r="T88" s="2969"/>
      <c r="U88" s="2965"/>
      <c r="V88" s="952" t="s">
        <v>1364</v>
      </c>
      <c r="W88" s="952" t="s">
        <v>1370</v>
      </c>
      <c r="X88" s="952"/>
      <c r="Y88" s="952"/>
      <c r="Z88" s="952"/>
      <c r="AA88" s="952"/>
      <c r="AB88" s="2694"/>
      <c r="AE88" s="84"/>
      <c r="AF88" s="84"/>
    </row>
    <row r="89" spans="1:32" ht="39.75" hidden="1" customHeight="1">
      <c r="A89" s="2694" t="s">
        <v>3719</v>
      </c>
      <c r="B89" s="2703" t="s">
        <v>3697</v>
      </c>
      <c r="C89" s="2700" t="s">
        <v>3016</v>
      </c>
      <c r="D89" s="706" t="s">
        <v>48</v>
      </c>
      <c r="E89" s="955"/>
      <c r="F89" s="955"/>
      <c r="G89" s="956"/>
      <c r="H89" s="955"/>
      <c r="I89" s="955"/>
      <c r="J89" s="720">
        <v>3</v>
      </c>
      <c r="K89" s="955"/>
      <c r="L89" s="955"/>
      <c r="M89" s="1713"/>
      <c r="N89" s="2130"/>
      <c r="O89" s="955"/>
      <c r="P89" s="1713"/>
      <c r="Q89" s="955"/>
      <c r="R89" s="1713"/>
      <c r="S89" s="2871"/>
      <c r="T89" s="2704" t="s">
        <v>3726</v>
      </c>
      <c r="U89" s="2694" t="s">
        <v>3210</v>
      </c>
      <c r="V89" s="2694" t="s">
        <v>3211</v>
      </c>
      <c r="W89" s="955"/>
      <c r="X89" s="2694" t="s">
        <v>324</v>
      </c>
      <c r="Y89" s="2694" t="s">
        <v>324</v>
      </c>
      <c r="Z89" s="2694" t="s">
        <v>324</v>
      </c>
      <c r="AA89" s="2694" t="s">
        <v>324</v>
      </c>
      <c r="AB89" s="2694"/>
      <c r="AE89" s="84"/>
      <c r="AF89" s="84"/>
    </row>
    <row r="90" spans="1:32" ht="39.75" hidden="1" customHeight="1">
      <c r="A90" s="2694"/>
      <c r="B90" s="2703"/>
      <c r="C90" s="2700"/>
      <c r="D90" s="706" t="s">
        <v>2747</v>
      </c>
      <c r="E90" s="955"/>
      <c r="F90" s="955"/>
      <c r="G90" s="956"/>
      <c r="H90" s="955"/>
      <c r="I90" s="955"/>
      <c r="J90" s="957"/>
      <c r="K90" s="955"/>
      <c r="L90" s="955"/>
      <c r="M90" s="1713"/>
      <c r="N90" s="2130"/>
      <c r="O90" s="955"/>
      <c r="P90" s="1713"/>
      <c r="Q90" s="955"/>
      <c r="R90" s="1713"/>
      <c r="S90" s="2871"/>
      <c r="T90" s="2704"/>
      <c r="U90" s="2694"/>
      <c r="V90" s="2694"/>
      <c r="W90" s="955"/>
      <c r="X90" s="2694"/>
      <c r="Y90" s="2694"/>
      <c r="Z90" s="2694"/>
      <c r="AA90" s="2694"/>
      <c r="AB90" s="2694"/>
      <c r="AE90" s="84"/>
      <c r="AF90" s="84"/>
    </row>
    <row r="91" spans="1:32" ht="39.75" customHeight="1">
      <c r="A91" s="2694"/>
      <c r="B91" s="2703"/>
      <c r="C91" s="2700"/>
      <c r="D91" s="706" t="s">
        <v>246</v>
      </c>
      <c r="E91" s="720">
        <v>32.26</v>
      </c>
      <c r="F91" s="914">
        <f t="shared" ref="F91:F92" si="105">H91/E91-1</f>
        <v>-1</v>
      </c>
      <c r="G91" s="720">
        <v>4.8390000000000004</v>
      </c>
      <c r="H91" s="720"/>
      <c r="I91" s="723"/>
      <c r="J91" s="720">
        <v>28.74</v>
      </c>
      <c r="K91" s="722">
        <v>28.74</v>
      </c>
      <c r="L91" s="722">
        <v>28.74</v>
      </c>
      <c r="M91" s="1496">
        <v>28.74</v>
      </c>
      <c r="N91" s="2130">
        <f t="shared" ref="N91:N114" si="106">(L91-K91)/K91</f>
        <v>0</v>
      </c>
      <c r="O91" s="722">
        <v>28.704000000000001</v>
      </c>
      <c r="P91" s="1496">
        <v>28.704000000000001</v>
      </c>
      <c r="Q91" s="722">
        <v>28.704000000000001</v>
      </c>
      <c r="R91" s="1496">
        <v>28.704000000000001</v>
      </c>
      <c r="S91" s="2871"/>
      <c r="T91" s="2704"/>
      <c r="U91" s="2694"/>
      <c r="V91" s="2694"/>
      <c r="W91" s="2891" t="s">
        <v>324</v>
      </c>
      <c r="X91" s="2694"/>
      <c r="Y91" s="2694"/>
      <c r="Z91" s="2694"/>
      <c r="AA91" s="2694"/>
      <c r="AB91" s="2694"/>
      <c r="AE91" s="84"/>
      <c r="AF91" s="484"/>
    </row>
    <row r="92" spans="1:32" ht="82.2" customHeight="1">
      <c r="A92" s="2694"/>
      <c r="B92" s="2703"/>
      <c r="C92" s="2700"/>
      <c r="D92" s="725" t="s">
        <v>1067</v>
      </c>
      <c r="E92" s="726">
        <f>E91</f>
        <v>32.26</v>
      </c>
      <c r="F92" s="911">
        <f t="shared" si="105"/>
        <v>-1</v>
      </c>
      <c r="G92" s="726">
        <f t="shared" ref="G92" si="107">G91</f>
        <v>4.8390000000000004</v>
      </c>
      <c r="H92" s="726"/>
      <c r="I92" s="729"/>
      <c r="J92" s="728">
        <f>J91</f>
        <v>28.74</v>
      </c>
      <c r="K92" s="728">
        <f t="shared" ref="K92:O92" si="108">K91</f>
        <v>28.74</v>
      </c>
      <c r="L92" s="728">
        <f t="shared" si="108"/>
        <v>28.74</v>
      </c>
      <c r="M92" s="1464">
        <f t="shared" ref="M92" si="109">M91</f>
        <v>28.74</v>
      </c>
      <c r="N92" s="1243">
        <f t="shared" si="106"/>
        <v>0</v>
      </c>
      <c r="O92" s="728">
        <f t="shared" si="108"/>
        <v>28.704000000000001</v>
      </c>
      <c r="P92" s="1464">
        <f t="shared" ref="P92:Q92" si="110">P91</f>
        <v>28.704000000000001</v>
      </c>
      <c r="Q92" s="728">
        <f t="shared" si="110"/>
        <v>28.704000000000001</v>
      </c>
      <c r="R92" s="1464">
        <f t="shared" ref="R92" si="111">R91</f>
        <v>28.704000000000001</v>
      </c>
      <c r="S92" s="2871"/>
      <c r="T92" s="2704"/>
      <c r="U92" s="2694"/>
      <c r="V92" s="2694"/>
      <c r="W92" s="2891"/>
      <c r="X92" s="2694"/>
      <c r="Y92" s="2694"/>
      <c r="Z92" s="2694"/>
      <c r="AA92" s="2694"/>
      <c r="AB92" s="2694"/>
      <c r="AE92" s="84"/>
      <c r="AF92" s="84"/>
    </row>
    <row r="93" spans="1:32" ht="61.5" customHeight="1">
      <c r="A93" s="697" t="s">
        <v>1991</v>
      </c>
      <c r="B93" s="663" t="s">
        <v>3727</v>
      </c>
      <c r="C93" s="697"/>
      <c r="D93" s="697"/>
      <c r="E93" s="745">
        <f>SUM(E95)</f>
        <v>0</v>
      </c>
      <c r="F93" s="897"/>
      <c r="G93" s="745">
        <f t="shared" ref="G93:O93" si="112">SUM(G95)</f>
        <v>1.5</v>
      </c>
      <c r="H93" s="746">
        <f t="shared" si="112"/>
        <v>1.5</v>
      </c>
      <c r="I93" s="747">
        <f t="shared" ref="I93:I104" si="113">K93/H93-1</f>
        <v>0</v>
      </c>
      <c r="J93" s="745">
        <f t="shared" si="112"/>
        <v>8.5</v>
      </c>
      <c r="K93" s="746">
        <f t="shared" si="112"/>
        <v>1.5</v>
      </c>
      <c r="L93" s="746">
        <f>SUM(L95)</f>
        <v>6.5</v>
      </c>
      <c r="M93" s="746">
        <f t="shared" ref="M93:Q93" si="114">SUM(M95)</f>
        <v>6.5</v>
      </c>
      <c r="N93" s="746">
        <f t="shared" si="114"/>
        <v>3.3333333333333335</v>
      </c>
      <c r="O93" s="746">
        <f t="shared" si="114"/>
        <v>1.5</v>
      </c>
      <c r="P93" s="746">
        <f t="shared" si="114"/>
        <v>1.5</v>
      </c>
      <c r="Q93" s="746">
        <f t="shared" si="114"/>
        <v>1.5</v>
      </c>
      <c r="R93" s="1497">
        <f t="shared" ref="R93" si="115">SUM(R95)</f>
        <v>1.5</v>
      </c>
      <c r="S93" s="746" t="s">
        <v>955</v>
      </c>
      <c r="T93" s="697"/>
      <c r="U93" s="671" t="s">
        <v>2848</v>
      </c>
      <c r="V93" s="671" t="s">
        <v>3729</v>
      </c>
      <c r="W93" s="671" t="s">
        <v>433</v>
      </c>
      <c r="X93" s="671" t="s">
        <v>324</v>
      </c>
      <c r="Y93" s="671" t="s">
        <v>324</v>
      </c>
      <c r="Z93" s="671" t="s">
        <v>324</v>
      </c>
      <c r="AA93" s="671" t="s">
        <v>324</v>
      </c>
      <c r="AB93" s="671" t="s">
        <v>957</v>
      </c>
      <c r="AE93" s="84"/>
      <c r="AF93" s="84"/>
    </row>
    <row r="94" spans="1:32" ht="39.75" customHeight="1">
      <c r="A94" s="2879" t="s">
        <v>2299</v>
      </c>
      <c r="B94" s="2699" t="s">
        <v>2692</v>
      </c>
      <c r="C94" s="2719">
        <v>188711925</v>
      </c>
      <c r="D94" s="706" t="s">
        <v>470</v>
      </c>
      <c r="E94" s="720">
        <v>0</v>
      </c>
      <c r="F94" s="892"/>
      <c r="G94" s="720">
        <v>1.5</v>
      </c>
      <c r="H94" s="722">
        <v>1.5</v>
      </c>
      <c r="I94" s="723">
        <f t="shared" si="113"/>
        <v>0</v>
      </c>
      <c r="J94" s="720">
        <v>8.5</v>
      </c>
      <c r="K94" s="722">
        <v>1.5</v>
      </c>
      <c r="L94" s="722">
        <f>1.5+5</f>
        <v>6.5</v>
      </c>
      <c r="M94" s="1496">
        <v>6.5</v>
      </c>
      <c r="N94" s="2130">
        <f t="shared" si="106"/>
        <v>3.3333333333333335</v>
      </c>
      <c r="O94" s="722">
        <v>1.5</v>
      </c>
      <c r="P94" s="1496">
        <v>1.5</v>
      </c>
      <c r="Q94" s="722">
        <v>1.5</v>
      </c>
      <c r="R94" s="1496">
        <v>1.5</v>
      </c>
      <c r="S94" s="2871" t="s">
        <v>2214</v>
      </c>
      <c r="T94" s="2704" t="s">
        <v>4680</v>
      </c>
      <c r="U94" s="2694" t="s">
        <v>2849</v>
      </c>
      <c r="V94" s="2694" t="s">
        <v>1376</v>
      </c>
      <c r="W94" s="2694" t="s">
        <v>432</v>
      </c>
      <c r="X94" s="2694" t="s">
        <v>324</v>
      </c>
      <c r="Y94" s="2694" t="s">
        <v>324</v>
      </c>
      <c r="Z94" s="2694" t="s">
        <v>324</v>
      </c>
      <c r="AA94" s="2694" t="s">
        <v>324</v>
      </c>
      <c r="AB94" s="2694" t="s">
        <v>2215</v>
      </c>
      <c r="AC94" s="91" t="s">
        <v>2691</v>
      </c>
      <c r="AE94" s="84"/>
      <c r="AF94" s="84"/>
    </row>
    <row r="95" spans="1:32" ht="164.4" customHeight="1">
      <c r="A95" s="2879"/>
      <c r="B95" s="2699"/>
      <c r="C95" s="2719"/>
      <c r="D95" s="725" t="s">
        <v>1067</v>
      </c>
      <c r="E95" s="726">
        <f>E94</f>
        <v>0</v>
      </c>
      <c r="F95" s="911"/>
      <c r="G95" s="726">
        <f t="shared" ref="G95:O95" si="116">G94</f>
        <v>1.5</v>
      </c>
      <c r="H95" s="728">
        <f t="shared" si="116"/>
        <v>1.5</v>
      </c>
      <c r="I95" s="729">
        <f t="shared" si="113"/>
        <v>0</v>
      </c>
      <c r="J95" s="726">
        <f t="shared" si="116"/>
        <v>8.5</v>
      </c>
      <c r="K95" s="728">
        <f t="shared" si="116"/>
        <v>1.5</v>
      </c>
      <c r="L95" s="728">
        <f t="shared" si="116"/>
        <v>6.5</v>
      </c>
      <c r="M95" s="1464">
        <f t="shared" ref="M95" si="117">M94</f>
        <v>6.5</v>
      </c>
      <c r="N95" s="1243">
        <f t="shared" si="106"/>
        <v>3.3333333333333335</v>
      </c>
      <c r="O95" s="728">
        <f t="shared" si="116"/>
        <v>1.5</v>
      </c>
      <c r="P95" s="1464">
        <f t="shared" ref="P95:Q95" si="118">P94</f>
        <v>1.5</v>
      </c>
      <c r="Q95" s="728">
        <f t="shared" si="118"/>
        <v>1.5</v>
      </c>
      <c r="R95" s="1464">
        <f t="shared" ref="R95" si="119">R94</f>
        <v>1.5</v>
      </c>
      <c r="S95" s="2871"/>
      <c r="T95" s="2734"/>
      <c r="U95" s="2694"/>
      <c r="V95" s="2694"/>
      <c r="W95" s="2694"/>
      <c r="X95" s="2694"/>
      <c r="Y95" s="2694"/>
      <c r="Z95" s="2694"/>
      <c r="AA95" s="2694"/>
      <c r="AB95" s="2694"/>
      <c r="AE95" s="84"/>
      <c r="AF95" s="84"/>
    </row>
    <row r="96" spans="1:32" ht="61.5" customHeight="1">
      <c r="A96" s="1754" t="s">
        <v>3843</v>
      </c>
      <c r="B96" s="1755" t="s">
        <v>3846</v>
      </c>
      <c r="C96" s="1754"/>
      <c r="D96" s="1754"/>
      <c r="E96" s="1756">
        <f>SUM(E98)</f>
        <v>0</v>
      </c>
      <c r="F96" s="1757"/>
      <c r="G96" s="1756">
        <f t="shared" ref="G96:H96" si="120">SUM(G98)</f>
        <v>1.5</v>
      </c>
      <c r="H96" s="1756">
        <f t="shared" si="120"/>
        <v>1.5</v>
      </c>
      <c r="I96" s="1757">
        <f t="shared" si="113"/>
        <v>-1</v>
      </c>
      <c r="J96" s="1756">
        <f t="shared" ref="J96:R96" si="121">SUM(J98)</f>
        <v>8.5</v>
      </c>
      <c r="K96" s="1756"/>
      <c r="L96" s="1756">
        <f>SUM(L98)</f>
        <v>3</v>
      </c>
      <c r="M96" s="1756">
        <f t="shared" ref="M96:Q96" si="122">SUM(M98)</f>
        <v>3</v>
      </c>
      <c r="N96" s="1756">
        <f t="shared" si="122"/>
        <v>0</v>
      </c>
      <c r="O96" s="1756">
        <f t="shared" si="122"/>
        <v>3</v>
      </c>
      <c r="P96" s="1756">
        <f t="shared" si="122"/>
        <v>3</v>
      </c>
      <c r="Q96" s="1756">
        <f t="shared" si="122"/>
        <v>3</v>
      </c>
      <c r="R96" s="1756">
        <f t="shared" si="121"/>
        <v>3</v>
      </c>
      <c r="S96" s="1756" t="s">
        <v>970</v>
      </c>
      <c r="T96" s="1754"/>
      <c r="U96" s="1758" t="s">
        <v>4695</v>
      </c>
      <c r="V96" s="1758" t="s">
        <v>4696</v>
      </c>
      <c r="W96" s="1758" t="s">
        <v>433</v>
      </c>
      <c r="X96" s="1758" t="s">
        <v>324</v>
      </c>
      <c r="Y96" s="1758" t="s">
        <v>585</v>
      </c>
      <c r="Z96" s="1758" t="s">
        <v>585</v>
      </c>
      <c r="AA96" s="1758" t="s">
        <v>585</v>
      </c>
      <c r="AB96" s="1758" t="s">
        <v>957</v>
      </c>
      <c r="AE96" s="84"/>
      <c r="AF96" s="84"/>
    </row>
    <row r="97" spans="1:32" ht="39.75" customHeight="1">
      <c r="A97" s="2877" t="s">
        <v>3991</v>
      </c>
      <c r="B97" s="2728" t="s">
        <v>3847</v>
      </c>
      <c r="C97" s="2719">
        <v>188711925</v>
      </c>
      <c r="D97" s="706" t="s">
        <v>470</v>
      </c>
      <c r="E97" s="722">
        <v>0</v>
      </c>
      <c r="F97" s="723"/>
      <c r="G97" s="722">
        <v>1.5</v>
      </c>
      <c r="H97" s="722">
        <v>1.5</v>
      </c>
      <c r="I97" s="723">
        <f t="shared" si="113"/>
        <v>-1</v>
      </c>
      <c r="J97" s="722">
        <v>8.5</v>
      </c>
      <c r="K97" s="722"/>
      <c r="L97" s="722">
        <v>3</v>
      </c>
      <c r="M97" s="1496">
        <v>3</v>
      </c>
      <c r="N97" s="2130"/>
      <c r="O97" s="722">
        <v>3</v>
      </c>
      <c r="P97" s="1496">
        <v>3</v>
      </c>
      <c r="Q97" s="722">
        <v>3</v>
      </c>
      <c r="R97" s="1496">
        <v>3</v>
      </c>
      <c r="S97" s="2952" t="s">
        <v>2213</v>
      </c>
      <c r="T97" s="2698" t="s">
        <v>3848</v>
      </c>
      <c r="U97" s="2951" t="s">
        <v>4722</v>
      </c>
      <c r="V97" s="2951" t="s">
        <v>1376</v>
      </c>
      <c r="W97" s="2951" t="s">
        <v>432</v>
      </c>
      <c r="X97" s="2951" t="s">
        <v>324</v>
      </c>
      <c r="Y97" s="2951" t="s">
        <v>324</v>
      </c>
      <c r="Z97" s="2951" t="s">
        <v>324</v>
      </c>
      <c r="AA97" s="2951" t="s">
        <v>324</v>
      </c>
      <c r="AB97" s="2951" t="s">
        <v>1441</v>
      </c>
      <c r="AC97" s="91" t="s">
        <v>2691</v>
      </c>
      <c r="AE97" s="84"/>
      <c r="AF97" s="84"/>
    </row>
    <row r="98" spans="1:32" ht="104.4" customHeight="1">
      <c r="A98" s="2878"/>
      <c r="B98" s="2728"/>
      <c r="C98" s="2719"/>
      <c r="D98" s="725" t="s">
        <v>1067</v>
      </c>
      <c r="E98" s="728">
        <f>E97</f>
        <v>0</v>
      </c>
      <c r="F98" s="729"/>
      <c r="G98" s="728">
        <f t="shared" ref="G98:H98" si="123">G97</f>
        <v>1.5</v>
      </c>
      <c r="H98" s="728">
        <f t="shared" si="123"/>
        <v>1.5</v>
      </c>
      <c r="I98" s="729">
        <f t="shared" si="113"/>
        <v>-1</v>
      </c>
      <c r="J98" s="728">
        <f t="shared" ref="J98:R98" si="124">J97</f>
        <v>8.5</v>
      </c>
      <c r="K98" s="728"/>
      <c r="L98" s="728">
        <f t="shared" si="124"/>
        <v>3</v>
      </c>
      <c r="M98" s="1464">
        <f t="shared" si="124"/>
        <v>3</v>
      </c>
      <c r="N98" s="1243"/>
      <c r="O98" s="728">
        <f t="shared" si="124"/>
        <v>3</v>
      </c>
      <c r="P98" s="1464">
        <f t="shared" si="124"/>
        <v>3</v>
      </c>
      <c r="Q98" s="728">
        <f t="shared" si="124"/>
        <v>3</v>
      </c>
      <c r="R98" s="1464">
        <f t="shared" si="124"/>
        <v>3</v>
      </c>
      <c r="S98" s="2952"/>
      <c r="T98" s="2836"/>
      <c r="U98" s="2951"/>
      <c r="V98" s="2951"/>
      <c r="W98" s="2951"/>
      <c r="X98" s="2951"/>
      <c r="Y98" s="2951"/>
      <c r="Z98" s="2951"/>
      <c r="AA98" s="2951"/>
      <c r="AB98" s="2951"/>
      <c r="AE98" s="84"/>
      <c r="AF98" s="84"/>
    </row>
    <row r="99" spans="1:32" ht="61.5" customHeight="1">
      <c r="A99" s="1754" t="s">
        <v>3844</v>
      </c>
      <c r="B99" s="1755" t="s">
        <v>3849</v>
      </c>
      <c r="C99" s="1754"/>
      <c r="D99" s="1754"/>
      <c r="E99" s="1756">
        <f>SUM(E101)</f>
        <v>0</v>
      </c>
      <c r="F99" s="1757"/>
      <c r="G99" s="1756">
        <f t="shared" ref="G99:H99" si="125">SUM(G101)</f>
        <v>1.5</v>
      </c>
      <c r="H99" s="1756">
        <f t="shared" si="125"/>
        <v>1.5</v>
      </c>
      <c r="I99" s="1757">
        <f t="shared" si="113"/>
        <v>-1</v>
      </c>
      <c r="J99" s="1756">
        <f t="shared" ref="J99:R99" si="126">SUM(J101)</f>
        <v>8.5</v>
      </c>
      <c r="K99" s="1756">
        <f t="shared" si="126"/>
        <v>0</v>
      </c>
      <c r="L99" s="1756">
        <f>SUM(L101)</f>
        <v>3</v>
      </c>
      <c r="M99" s="1756">
        <f t="shared" ref="M99:Q99" si="127">SUM(M101)</f>
        <v>3</v>
      </c>
      <c r="N99" s="1756">
        <f t="shared" si="127"/>
        <v>0</v>
      </c>
      <c r="O99" s="1756">
        <f t="shared" si="127"/>
        <v>3</v>
      </c>
      <c r="P99" s="1756">
        <f t="shared" si="127"/>
        <v>3</v>
      </c>
      <c r="Q99" s="1756">
        <f t="shared" si="127"/>
        <v>3</v>
      </c>
      <c r="R99" s="1756">
        <f t="shared" si="126"/>
        <v>3</v>
      </c>
      <c r="S99" s="1756" t="s">
        <v>970</v>
      </c>
      <c r="T99" s="1754"/>
      <c r="U99" s="1758" t="s">
        <v>4698</v>
      </c>
      <c r="V99" s="1758" t="s">
        <v>4697</v>
      </c>
      <c r="W99" s="1758" t="s">
        <v>433</v>
      </c>
      <c r="X99" s="1758" t="s">
        <v>324</v>
      </c>
      <c r="Y99" s="1758" t="s">
        <v>585</v>
      </c>
      <c r="Z99" s="1758" t="s">
        <v>585</v>
      </c>
      <c r="AA99" s="1758" t="s">
        <v>585</v>
      </c>
      <c r="AB99" s="1758" t="s">
        <v>957</v>
      </c>
      <c r="AE99" s="84"/>
      <c r="AF99" s="84"/>
    </row>
    <row r="100" spans="1:32" ht="39.75" customHeight="1">
      <c r="A100" s="2951" t="s">
        <v>3992</v>
      </c>
      <c r="B100" s="2728" t="s">
        <v>3850</v>
      </c>
      <c r="C100" s="2961">
        <v>188711925</v>
      </c>
      <c r="D100" s="1817" t="s">
        <v>470</v>
      </c>
      <c r="E100" s="1818">
        <v>0</v>
      </c>
      <c r="F100" s="1942"/>
      <c r="G100" s="1818">
        <v>1.5</v>
      </c>
      <c r="H100" s="1818">
        <v>1.5</v>
      </c>
      <c r="I100" s="1942">
        <f t="shared" si="113"/>
        <v>-1</v>
      </c>
      <c r="J100" s="1818">
        <v>8.5</v>
      </c>
      <c r="K100" s="1818"/>
      <c r="L100" s="1818">
        <v>3</v>
      </c>
      <c r="M100" s="1496">
        <v>3</v>
      </c>
      <c r="N100" s="2130"/>
      <c r="O100" s="1818">
        <v>3</v>
      </c>
      <c r="P100" s="1496">
        <v>3</v>
      </c>
      <c r="Q100" s="1818">
        <v>3</v>
      </c>
      <c r="R100" s="1496">
        <v>3</v>
      </c>
      <c r="S100" s="2952" t="s">
        <v>2213</v>
      </c>
      <c r="T100" s="2698" t="s">
        <v>4316</v>
      </c>
      <c r="U100" s="2951" t="s">
        <v>4721</v>
      </c>
      <c r="V100" s="2951" t="s">
        <v>1376</v>
      </c>
      <c r="W100" s="2951" t="s">
        <v>432</v>
      </c>
      <c r="X100" s="2951" t="s">
        <v>324</v>
      </c>
      <c r="Y100" s="2951" t="s">
        <v>324</v>
      </c>
      <c r="Z100" s="2951" t="s">
        <v>324</v>
      </c>
      <c r="AA100" s="2951" t="s">
        <v>324</v>
      </c>
      <c r="AB100" s="2951" t="s">
        <v>1441</v>
      </c>
      <c r="AC100" s="91" t="s">
        <v>2691</v>
      </c>
      <c r="AE100" s="84"/>
      <c r="AF100" s="84"/>
    </row>
    <row r="101" spans="1:32" ht="69" customHeight="1">
      <c r="A101" s="2960"/>
      <c r="B101" s="2728"/>
      <c r="C101" s="2961"/>
      <c r="D101" s="1865" t="s">
        <v>1067</v>
      </c>
      <c r="E101" s="1866">
        <f>E100</f>
        <v>0</v>
      </c>
      <c r="F101" s="1867"/>
      <c r="G101" s="1866">
        <f t="shared" ref="G101:H101" si="128">G100</f>
        <v>1.5</v>
      </c>
      <c r="H101" s="1866">
        <f t="shared" si="128"/>
        <v>1.5</v>
      </c>
      <c r="I101" s="1867">
        <f t="shared" si="113"/>
        <v>-1</v>
      </c>
      <c r="J101" s="1866">
        <f t="shared" ref="J101:R101" si="129">J100</f>
        <v>8.5</v>
      </c>
      <c r="K101" s="1866">
        <f t="shared" si="129"/>
        <v>0</v>
      </c>
      <c r="L101" s="1866">
        <f t="shared" si="129"/>
        <v>3</v>
      </c>
      <c r="M101" s="1464">
        <f t="shared" si="129"/>
        <v>3</v>
      </c>
      <c r="N101" s="1243"/>
      <c r="O101" s="1866">
        <f t="shared" si="129"/>
        <v>3</v>
      </c>
      <c r="P101" s="1464">
        <f t="shared" si="129"/>
        <v>3</v>
      </c>
      <c r="Q101" s="1866">
        <f t="shared" si="129"/>
        <v>3</v>
      </c>
      <c r="R101" s="1464">
        <f t="shared" si="129"/>
        <v>3</v>
      </c>
      <c r="S101" s="2952"/>
      <c r="T101" s="2836"/>
      <c r="U101" s="2951"/>
      <c r="V101" s="2951"/>
      <c r="W101" s="2951"/>
      <c r="X101" s="2951"/>
      <c r="Y101" s="2951"/>
      <c r="Z101" s="2951"/>
      <c r="AA101" s="2951"/>
      <c r="AB101" s="2951"/>
      <c r="AE101" s="84"/>
      <c r="AF101" s="84"/>
    </row>
    <row r="102" spans="1:32" ht="61.5" customHeight="1">
      <c r="A102" s="1754" t="s">
        <v>3845</v>
      </c>
      <c r="B102" s="1755" t="s">
        <v>3851</v>
      </c>
      <c r="C102" s="1446"/>
      <c r="D102" s="1754"/>
      <c r="E102" s="1756">
        <f>SUM(E104)</f>
        <v>0</v>
      </c>
      <c r="F102" s="1757"/>
      <c r="G102" s="1756">
        <f t="shared" ref="G102:H102" si="130">SUM(G104)</f>
        <v>1.5</v>
      </c>
      <c r="H102" s="1756">
        <f t="shared" si="130"/>
        <v>1.5</v>
      </c>
      <c r="I102" s="1757">
        <f t="shared" si="113"/>
        <v>-1</v>
      </c>
      <c r="J102" s="1756">
        <f t="shared" ref="J102:R102" si="131">SUM(J104)</f>
        <v>8.5</v>
      </c>
      <c r="K102" s="1756">
        <f t="shared" si="131"/>
        <v>0</v>
      </c>
      <c r="L102" s="1756">
        <f t="shared" si="131"/>
        <v>10</v>
      </c>
      <c r="M102" s="1756">
        <f t="shared" si="131"/>
        <v>10</v>
      </c>
      <c r="N102" s="1756">
        <f t="shared" si="131"/>
        <v>0</v>
      </c>
      <c r="O102" s="1756">
        <f t="shared" si="131"/>
        <v>10</v>
      </c>
      <c r="P102" s="1756">
        <f t="shared" si="131"/>
        <v>10</v>
      </c>
      <c r="Q102" s="1756">
        <f t="shared" si="131"/>
        <v>10</v>
      </c>
      <c r="R102" s="1756">
        <f t="shared" si="131"/>
        <v>10</v>
      </c>
      <c r="S102" s="1756" t="s">
        <v>955</v>
      </c>
      <c r="T102" s="1754"/>
      <c r="U102" s="1758" t="s">
        <v>4699</v>
      </c>
      <c r="V102" s="1758" t="s">
        <v>4700</v>
      </c>
      <c r="W102" s="1758" t="s">
        <v>433</v>
      </c>
      <c r="X102" s="1758" t="s">
        <v>324</v>
      </c>
      <c r="Y102" s="1758" t="s">
        <v>585</v>
      </c>
      <c r="Z102" s="1758" t="s">
        <v>585</v>
      </c>
      <c r="AA102" s="1758" t="s">
        <v>585</v>
      </c>
      <c r="AB102" s="1758" t="s">
        <v>957</v>
      </c>
      <c r="AE102" s="84"/>
      <c r="AF102" s="84"/>
    </row>
    <row r="103" spans="1:32" ht="39.75" customHeight="1">
      <c r="A103" s="2877" t="s">
        <v>3993</v>
      </c>
      <c r="B103" s="2728" t="s">
        <v>3852</v>
      </c>
      <c r="C103" s="2961">
        <v>188711925</v>
      </c>
      <c r="D103" s="1817" t="s">
        <v>470</v>
      </c>
      <c r="E103" s="1818">
        <v>0</v>
      </c>
      <c r="F103" s="1942"/>
      <c r="G103" s="1818">
        <v>1.5</v>
      </c>
      <c r="H103" s="1818">
        <v>1.5</v>
      </c>
      <c r="I103" s="1942">
        <f t="shared" si="113"/>
        <v>-1</v>
      </c>
      <c r="J103" s="1818">
        <v>8.5</v>
      </c>
      <c r="K103" s="1818"/>
      <c r="L103" s="1818">
        <v>10</v>
      </c>
      <c r="M103" s="1496">
        <v>10</v>
      </c>
      <c r="N103" s="2130"/>
      <c r="O103" s="1818">
        <v>10</v>
      </c>
      <c r="P103" s="1496">
        <v>10</v>
      </c>
      <c r="Q103" s="1818">
        <v>10</v>
      </c>
      <c r="R103" s="1496">
        <v>10</v>
      </c>
      <c r="S103" s="2952" t="s">
        <v>2214</v>
      </c>
      <c r="T103" s="2953" t="s">
        <v>4058</v>
      </c>
      <c r="U103" s="2951" t="s">
        <v>4059</v>
      </c>
      <c r="V103" s="2951" t="s">
        <v>1376</v>
      </c>
      <c r="W103" s="2951" t="s">
        <v>432</v>
      </c>
      <c r="X103" s="2951" t="s">
        <v>324</v>
      </c>
      <c r="Y103" s="2951" t="s">
        <v>392</v>
      </c>
      <c r="Z103" s="2951" t="s">
        <v>392</v>
      </c>
      <c r="AA103" s="2951" t="s">
        <v>392</v>
      </c>
      <c r="AB103" s="2951" t="s">
        <v>2215</v>
      </c>
      <c r="AC103" s="91" t="s">
        <v>2691</v>
      </c>
      <c r="AE103" s="84"/>
      <c r="AF103" s="84"/>
    </row>
    <row r="104" spans="1:32" ht="142.80000000000001" customHeight="1">
      <c r="A104" s="2878"/>
      <c r="B104" s="2728"/>
      <c r="C104" s="2961"/>
      <c r="D104" s="1865" t="s">
        <v>1067</v>
      </c>
      <c r="E104" s="1866">
        <f>E103</f>
        <v>0</v>
      </c>
      <c r="F104" s="1867"/>
      <c r="G104" s="1866">
        <f t="shared" ref="G104:H104" si="132">G103</f>
        <v>1.5</v>
      </c>
      <c r="H104" s="1866">
        <f t="shared" si="132"/>
        <v>1.5</v>
      </c>
      <c r="I104" s="1867">
        <f t="shared" si="113"/>
        <v>-1</v>
      </c>
      <c r="J104" s="1866">
        <f t="shared" ref="J104:R104" si="133">J103</f>
        <v>8.5</v>
      </c>
      <c r="K104" s="1866">
        <f t="shared" si="133"/>
        <v>0</v>
      </c>
      <c r="L104" s="1866">
        <f t="shared" si="133"/>
        <v>10</v>
      </c>
      <c r="M104" s="1464">
        <f>M103</f>
        <v>10</v>
      </c>
      <c r="N104" s="1243"/>
      <c r="O104" s="1866">
        <f t="shared" si="133"/>
        <v>10</v>
      </c>
      <c r="P104" s="1464">
        <f t="shared" si="133"/>
        <v>10</v>
      </c>
      <c r="Q104" s="1866">
        <f t="shared" si="133"/>
        <v>10</v>
      </c>
      <c r="R104" s="1464">
        <f t="shared" si="133"/>
        <v>10</v>
      </c>
      <c r="S104" s="2952"/>
      <c r="T104" s="2954"/>
      <c r="U104" s="2951"/>
      <c r="V104" s="2951"/>
      <c r="W104" s="2951"/>
      <c r="X104" s="2951"/>
      <c r="Y104" s="2951"/>
      <c r="Z104" s="2951"/>
      <c r="AA104" s="2951"/>
      <c r="AB104" s="2951"/>
      <c r="AE104" s="84"/>
      <c r="AF104" s="84"/>
    </row>
    <row r="105" spans="1:32" ht="74.400000000000006" customHeight="1">
      <c r="A105" s="2984"/>
      <c r="B105" s="2985"/>
      <c r="C105" s="2985"/>
      <c r="D105" s="2986"/>
      <c r="E105" s="242" t="s">
        <v>1081</v>
      </c>
      <c r="F105" s="242"/>
      <c r="G105" s="242" t="str">
        <f>G20</f>
        <v>2024  m. išlaidų projektas (lėšų poreikis), tūkst. Eur</v>
      </c>
      <c r="H105" s="182" t="str">
        <f>H20</f>
        <v>2024  m.asignavimai ir kitos lėšos, tūkst. Eur</v>
      </c>
      <c r="I105" s="182" t="s">
        <v>2882</v>
      </c>
      <c r="J105" s="481" t="s">
        <v>2883</v>
      </c>
      <c r="K105" s="182" t="str">
        <f>K20</f>
        <v>2025 m. asignavimai ir kitos lėšos, tūkst. Eur</v>
      </c>
      <c r="L105" s="182" t="str">
        <f>L20</f>
        <v>2026 m. asignavimai ir kitos lėšos, tūkst. Eur</v>
      </c>
      <c r="M105" s="1505" t="str">
        <f>M20</f>
        <v>2026 m.asignavimai ir kitos lėšos, tūkst. Eur
(poreikis)</v>
      </c>
      <c r="N105" s="2142"/>
      <c r="O105" s="182" t="s">
        <v>2881</v>
      </c>
      <c r="P105" s="1505" t="str">
        <f>P20</f>
        <v>2027 m.asignavimai ir kitos lėšos, tūkst. Eur
(poreikis)</v>
      </c>
      <c r="Q105" s="182" t="str">
        <f>Q20</f>
        <v>2028 m.asignavimai ir kitos lėšos, tūkst. Eur</v>
      </c>
      <c r="R105" s="1505" t="str">
        <f>R20</f>
        <v>2028 m.asignavimai ir kitos lėšos, tūkst. Eur
(poreikis)</v>
      </c>
      <c r="S105" s="2966"/>
      <c r="T105" s="2684"/>
      <c r="U105" s="89"/>
      <c r="V105" s="89"/>
      <c r="W105" s="202"/>
      <c r="X105" s="202"/>
      <c r="Y105" s="202"/>
      <c r="Z105" s="202"/>
      <c r="AA105" s="202"/>
      <c r="AB105" s="89"/>
      <c r="AE105" s="84"/>
      <c r="AF105" s="84"/>
    </row>
    <row r="106" spans="1:32" ht="27.75" customHeight="1">
      <c r="A106" s="2977"/>
      <c r="B106" s="2974" t="s">
        <v>720</v>
      </c>
      <c r="C106" s="2975"/>
      <c r="D106" s="2976"/>
      <c r="E106" s="243">
        <f>E107+E108+E109+E110+E111+E112</f>
        <v>300.09199999999998</v>
      </c>
      <c r="F106" s="246">
        <f t="shared" si="39"/>
        <v>0.10618077123015612</v>
      </c>
      <c r="G106" s="243">
        <f t="shared" ref="G106" si="134">SUM(G107,G108,G109,G110,G111,G112,)</f>
        <v>430.05900000000003</v>
      </c>
      <c r="H106" s="169">
        <f>SUM(H107,H108,H109,H110,H111,H112,)</f>
        <v>331.95600000000002</v>
      </c>
      <c r="I106" s="576">
        <f t="shared" ref="I106:I115" si="135">K106/H106-1</f>
        <v>1.015402643723867</v>
      </c>
      <c r="J106" s="243">
        <f t="shared" ref="J106:O106" si="136">SUM(J107,J108,J109,J110,J111,J112,)</f>
        <v>792</v>
      </c>
      <c r="K106" s="169">
        <f t="shared" si="136"/>
        <v>669.02500000000009</v>
      </c>
      <c r="L106" s="166">
        <f>SUM(L107,L108,L109,L110,L111,L112,)</f>
        <v>760.43</v>
      </c>
      <c r="M106" s="1644">
        <f t="shared" ref="M106" si="137">SUM(M107,M108,M109,M110,M111,M112,)</f>
        <v>804.03000000000009</v>
      </c>
      <c r="N106" s="2130">
        <f t="shared" si="106"/>
        <v>0.13662419192107894</v>
      </c>
      <c r="O106" s="166">
        <f t="shared" si="136"/>
        <v>672.45399999999995</v>
      </c>
      <c r="P106" s="1644">
        <f t="shared" ref="P106:Q106" si="138">SUM(P107,P108,P109,P110,P111,P112,)</f>
        <v>682.45399999999995</v>
      </c>
      <c r="Q106" s="166">
        <f t="shared" si="138"/>
        <v>560.70399999999995</v>
      </c>
      <c r="R106" s="1644">
        <f t="shared" ref="R106" si="139">SUM(R107,R108,R109,R110,R111,R112,)</f>
        <v>574.70399999999995</v>
      </c>
      <c r="S106" s="191"/>
      <c r="T106" s="172"/>
      <c r="U106" s="172"/>
      <c r="V106" s="172"/>
      <c r="W106" s="193"/>
      <c r="X106" s="193"/>
      <c r="Y106" s="193"/>
      <c r="Z106" s="193"/>
      <c r="AA106" s="191"/>
      <c r="AB106" s="172"/>
      <c r="AE106" s="84"/>
      <c r="AF106" s="84"/>
    </row>
    <row r="107" spans="1:32" ht="39.75" customHeight="1">
      <c r="A107" s="2978"/>
      <c r="B107" s="2971" t="s">
        <v>1913</v>
      </c>
      <c r="C107" s="2971"/>
      <c r="D107" s="2971"/>
      <c r="E107" s="241">
        <f>SUM(E23,E26,E33,E36,E40,E48,E50,E52,E54,E57,E59,E66,E68,E81,)</f>
        <v>253.3</v>
      </c>
      <c r="F107" s="246">
        <f t="shared" si="39"/>
        <v>0.19115673114883536</v>
      </c>
      <c r="G107" s="241">
        <f>SUM(G23,G26,G33,G36,G40,G48,G50,G52,G54,G57,G59,G66,G68,G81,)</f>
        <v>410.22</v>
      </c>
      <c r="H107" s="170">
        <f>SUM(H23,H26,H33,H40,H48,H50,H52,H54,H57,H59,H66,H68,H81,H43,H94)</f>
        <v>301.72000000000003</v>
      </c>
      <c r="I107" s="577">
        <f t="shared" si="135"/>
        <v>1.0762959034866761</v>
      </c>
      <c r="J107" s="241">
        <f>SUM(J23,J26,J33,J40,J48,J50,J52,J54,J57,J59,J66,J68,J81,J43,J94,J36,)</f>
        <v>749.26</v>
      </c>
      <c r="K107" s="170">
        <f>SUM(K23,K26,K33,K40,K48,K50,K52,K54,K57,K59,K66,K68,K81,K43,K94,K36,K89,)</f>
        <v>626.46</v>
      </c>
      <c r="L107" s="170">
        <f>SUM(L23,L26,L33,L40,L48,L50,L52,L54,L57,L59,L66,L68,L81,L43,L94,L36,L89,L103,L100,L97,L74,L72,L70,L45,L76)</f>
        <v>248.89999999999998</v>
      </c>
      <c r="M107" s="1645">
        <f>SUM(M23,M26,M33,M40,M48,M50,M52,M54,M57,M59,M66,M68,M81,M43,M94,M36,M89,M103,M100,M97,M74,M72,M70,M45,M76)</f>
        <v>761.29000000000008</v>
      </c>
      <c r="N107" s="2130">
        <f t="shared" si="106"/>
        <v>-0.60268812055039434</v>
      </c>
      <c r="O107" s="170">
        <f>SUM(O23,O26,O33,O40,O48,O50,O52,O54,O57,O59,O66,O68,O81,O43,O94,O36,O89,O103,O100,O97,O74,O72,O70,O45,O76)</f>
        <v>643.75</v>
      </c>
      <c r="P107" s="1645">
        <f t="shared" ref="P107:R107" si="140">SUM(P23,P26,P33,P40,P48,P50,P52,P54,P57,P59,P66,P68,P81,P43,P94,P36,P89,P103,P100,P97,P74,P72,P70,P45,P76)</f>
        <v>639.75</v>
      </c>
      <c r="Q107" s="170">
        <f t="shared" si="140"/>
        <v>532</v>
      </c>
      <c r="R107" s="1645">
        <f t="shared" si="140"/>
        <v>532</v>
      </c>
      <c r="S107" s="192"/>
      <c r="T107" s="172"/>
      <c r="U107" s="172"/>
      <c r="V107" s="172"/>
      <c r="W107" s="193"/>
      <c r="X107" s="193"/>
      <c r="Y107" s="193"/>
      <c r="Z107" s="193"/>
      <c r="AA107" s="191"/>
      <c r="AB107" s="172"/>
      <c r="AE107" s="84"/>
      <c r="AF107" s="84"/>
    </row>
    <row r="108" spans="1:32" ht="30" customHeight="1">
      <c r="A108" s="2978"/>
      <c r="B108" s="2971" t="s">
        <v>722</v>
      </c>
      <c r="C108" s="2971"/>
      <c r="D108" s="2971"/>
      <c r="E108" s="241">
        <f>SUM(E28)</f>
        <v>14.532</v>
      </c>
      <c r="F108" s="246">
        <f t="shared" si="39"/>
        <v>-3.557665840902835E-2</v>
      </c>
      <c r="G108" s="241">
        <f>SUM(G28,)</f>
        <v>15</v>
      </c>
      <c r="H108" s="170">
        <f>SUM(H28)</f>
        <v>14.015000000000001</v>
      </c>
      <c r="I108" s="577">
        <f t="shared" si="135"/>
        <v>-1.3556903317873847E-2</v>
      </c>
      <c r="J108" s="241">
        <f>SUM(J28)</f>
        <v>14</v>
      </c>
      <c r="K108" s="170">
        <f>SUM(K28)</f>
        <v>13.824999999999999</v>
      </c>
      <c r="L108" s="170">
        <f>SUM(L28)</f>
        <v>0</v>
      </c>
      <c r="M108" s="1645">
        <f>SUM(M28)</f>
        <v>14</v>
      </c>
      <c r="N108" s="2130">
        <f t="shared" si="106"/>
        <v>-1</v>
      </c>
      <c r="O108" s="170">
        <f>SUM(O28)</f>
        <v>0</v>
      </c>
      <c r="P108" s="1645">
        <f t="shared" ref="P108:R108" si="141">SUM(P28)</f>
        <v>14</v>
      </c>
      <c r="Q108" s="170">
        <f t="shared" si="141"/>
        <v>0</v>
      </c>
      <c r="R108" s="1645">
        <f t="shared" si="141"/>
        <v>14</v>
      </c>
      <c r="S108" s="192"/>
      <c r="U108" s="172"/>
      <c r="V108" s="172"/>
      <c r="W108" s="193"/>
      <c r="X108" s="193"/>
      <c r="Y108" s="193"/>
      <c r="Z108" s="193"/>
      <c r="AA108" s="191"/>
      <c r="AB108" s="172"/>
      <c r="AE108" s="84"/>
      <c r="AF108" s="84"/>
    </row>
    <row r="109" spans="1:32" ht="27.75" customHeight="1">
      <c r="A109" s="2978"/>
      <c r="B109" s="2971" t="s">
        <v>723</v>
      </c>
      <c r="C109" s="2971"/>
      <c r="D109" s="2971"/>
      <c r="E109" s="241">
        <v>0</v>
      </c>
      <c r="F109" s="246"/>
      <c r="G109" s="241">
        <v>0</v>
      </c>
      <c r="H109" s="170">
        <v>0</v>
      </c>
      <c r="I109" s="577" t="e">
        <f t="shared" si="135"/>
        <v>#DIV/0!</v>
      </c>
      <c r="J109" s="241">
        <v>0</v>
      </c>
      <c r="K109" s="170">
        <v>0</v>
      </c>
      <c r="L109" s="170">
        <v>0</v>
      </c>
      <c r="M109" s="1645">
        <v>0</v>
      </c>
      <c r="N109" s="2130"/>
      <c r="O109" s="170">
        <v>0</v>
      </c>
      <c r="P109" s="1645">
        <v>0</v>
      </c>
      <c r="Q109" s="170">
        <v>0</v>
      </c>
      <c r="R109" s="1645">
        <v>0</v>
      </c>
      <c r="S109" s="192"/>
      <c r="T109" s="172"/>
      <c r="U109" s="172"/>
      <c r="V109" s="172"/>
      <c r="W109" s="193"/>
      <c r="X109" s="193"/>
      <c r="Y109" s="193"/>
      <c r="Z109" s="193"/>
      <c r="AA109" s="191"/>
      <c r="AB109" s="172"/>
      <c r="AE109" s="84"/>
      <c r="AF109" s="84"/>
    </row>
    <row r="110" spans="1:32" ht="30.75" customHeight="1">
      <c r="A110" s="2978"/>
      <c r="B110" s="2973" t="s">
        <v>2687</v>
      </c>
      <c r="C110" s="2973"/>
      <c r="D110" s="2973"/>
      <c r="E110" s="241">
        <f>SUM(E83)</f>
        <v>32.26</v>
      </c>
      <c r="F110" s="246">
        <f t="shared" si="39"/>
        <v>-0.80716057036577804</v>
      </c>
      <c r="G110" s="241">
        <f>SUM(G83)</f>
        <v>4.8390000000000004</v>
      </c>
      <c r="H110" s="170">
        <f>SUM(H83)</f>
        <v>6.2210000000000001</v>
      </c>
      <c r="I110" s="577">
        <f t="shared" si="135"/>
        <v>3.6198360392219895</v>
      </c>
      <c r="J110" s="241">
        <f>SUM(J91)</f>
        <v>28.74</v>
      </c>
      <c r="K110" s="170">
        <f>SUM(K91,)</f>
        <v>28.74</v>
      </c>
      <c r="L110" s="170">
        <f>SUM(L91,)</f>
        <v>28.74</v>
      </c>
      <c r="M110" s="1645">
        <f>SUM(M91,)</f>
        <v>28.74</v>
      </c>
      <c r="N110" s="2130">
        <f t="shared" si="106"/>
        <v>0</v>
      </c>
      <c r="O110" s="170">
        <f>SUM(O91,)</f>
        <v>28.704000000000001</v>
      </c>
      <c r="P110" s="1645">
        <f>SUM(P91,)</f>
        <v>28.704000000000001</v>
      </c>
      <c r="Q110" s="170">
        <f>SUM(Q91,)</f>
        <v>28.704000000000001</v>
      </c>
      <c r="R110" s="1645">
        <f>SUM(R91,)</f>
        <v>28.704000000000001</v>
      </c>
      <c r="S110" s="192"/>
      <c r="T110" s="172"/>
      <c r="U110" s="172"/>
      <c r="V110" s="172"/>
      <c r="W110" s="193"/>
      <c r="X110" s="193"/>
      <c r="Y110" s="193"/>
      <c r="Z110" s="193"/>
      <c r="AA110" s="191"/>
      <c r="AB110" s="172"/>
      <c r="AE110" s="84"/>
      <c r="AF110" s="84"/>
    </row>
    <row r="111" spans="1:32" ht="30" customHeight="1">
      <c r="A111" s="2978"/>
      <c r="B111" s="2971" t="s">
        <v>724</v>
      </c>
      <c r="C111" s="2971"/>
      <c r="D111" s="2971"/>
      <c r="E111" s="241">
        <v>0</v>
      </c>
      <c r="F111" s="209"/>
      <c r="G111" s="241">
        <v>0</v>
      </c>
      <c r="H111" s="170">
        <v>0</v>
      </c>
      <c r="I111" s="577" t="e">
        <f t="shared" si="135"/>
        <v>#DIV/0!</v>
      </c>
      <c r="J111" s="241">
        <v>0</v>
      </c>
      <c r="K111" s="170">
        <v>0</v>
      </c>
      <c r="L111" s="170">
        <f>L77</f>
        <v>50</v>
      </c>
      <c r="M111" s="1645">
        <v>0</v>
      </c>
      <c r="N111" s="2130"/>
      <c r="O111" s="170">
        <v>0</v>
      </c>
      <c r="P111" s="1645">
        <v>0</v>
      </c>
      <c r="Q111" s="170">
        <v>0</v>
      </c>
      <c r="R111" s="1645">
        <v>0</v>
      </c>
      <c r="S111" s="192"/>
      <c r="T111" s="172"/>
      <c r="U111" s="172"/>
      <c r="V111" s="172"/>
      <c r="W111" s="193"/>
      <c r="X111" s="193"/>
      <c r="Y111" s="193"/>
      <c r="Z111" s="193"/>
      <c r="AA111" s="191"/>
      <c r="AB111" s="172"/>
      <c r="AE111" s="84"/>
      <c r="AF111" s="84"/>
    </row>
    <row r="112" spans="1:32" ht="29.25" customHeight="1">
      <c r="A112" s="2978"/>
      <c r="B112" s="2971" t="s">
        <v>725</v>
      </c>
      <c r="C112" s="2971"/>
      <c r="D112" s="2971"/>
      <c r="E112" s="241">
        <v>0</v>
      </c>
      <c r="F112" s="209"/>
      <c r="G112" s="241">
        <v>0</v>
      </c>
      <c r="H112" s="170">
        <f>SUM(H36,H24,H27)</f>
        <v>10</v>
      </c>
      <c r="I112" s="577">
        <f t="shared" si="135"/>
        <v>-1</v>
      </c>
      <c r="J112" s="241">
        <f>SUM(J35,J27,J24,)</f>
        <v>0</v>
      </c>
      <c r="K112" s="170">
        <f>K90</f>
        <v>0</v>
      </c>
      <c r="L112" s="170">
        <f>SUM(L35,L41,L60,)</f>
        <v>432.78999999999996</v>
      </c>
      <c r="M112" s="1645">
        <f>M90</f>
        <v>0</v>
      </c>
      <c r="N112" s="2130"/>
      <c r="O112" s="170">
        <f>O90</f>
        <v>0</v>
      </c>
      <c r="P112" s="1645">
        <f>P90</f>
        <v>0</v>
      </c>
      <c r="Q112" s="170">
        <f>Q90</f>
        <v>0</v>
      </c>
      <c r="R112" s="1645">
        <f>R90</f>
        <v>0</v>
      </c>
      <c r="S112" s="192"/>
      <c r="T112" s="172"/>
      <c r="U112" s="172"/>
      <c r="V112" s="172"/>
      <c r="W112" s="193"/>
      <c r="X112" s="193"/>
      <c r="Y112" s="193"/>
      <c r="Z112" s="193"/>
      <c r="AA112" s="191"/>
      <c r="AB112" s="172"/>
      <c r="AE112" s="84"/>
      <c r="AF112" s="84"/>
    </row>
    <row r="113" spans="1:32" ht="39.75" customHeight="1">
      <c r="A113" s="2978"/>
      <c r="B113" s="2972" t="s">
        <v>726</v>
      </c>
      <c r="C113" s="2972"/>
      <c r="D113" s="2972"/>
      <c r="E113" s="244">
        <v>0</v>
      </c>
      <c r="F113" s="247"/>
      <c r="G113" s="244">
        <v>0</v>
      </c>
      <c r="H113" s="194">
        <v>0</v>
      </c>
      <c r="I113" s="578" t="e">
        <f t="shared" si="135"/>
        <v>#DIV/0!</v>
      </c>
      <c r="J113" s="244">
        <v>0</v>
      </c>
      <c r="K113" s="194">
        <v>0</v>
      </c>
      <c r="L113" s="194">
        <v>0</v>
      </c>
      <c r="M113" s="1714">
        <v>0</v>
      </c>
      <c r="N113" s="2130"/>
      <c r="O113" s="194">
        <f>O78</f>
        <v>50</v>
      </c>
      <c r="P113" s="1714">
        <v>0</v>
      </c>
      <c r="Q113" s="194">
        <v>0</v>
      </c>
      <c r="R113" s="1714">
        <v>0</v>
      </c>
      <c r="S113" s="192"/>
      <c r="T113" s="172"/>
      <c r="U113" s="172"/>
      <c r="V113" s="172"/>
      <c r="W113" s="193"/>
      <c r="X113" s="193"/>
      <c r="Y113" s="193"/>
      <c r="Z113" s="193"/>
      <c r="AA113" s="191"/>
      <c r="AB113" s="172"/>
      <c r="AE113" s="84"/>
      <c r="AF113" s="84"/>
    </row>
    <row r="114" spans="1:32" ht="39.75" customHeight="1">
      <c r="A114" s="2978"/>
      <c r="B114" s="2972" t="s">
        <v>1082</v>
      </c>
      <c r="C114" s="2972"/>
      <c r="D114" s="2972"/>
      <c r="E114" s="245">
        <f>SUM(E106,E113)</f>
        <v>300.09199999999998</v>
      </c>
      <c r="F114" s="248">
        <f t="shared" si="39"/>
        <v>0.10618077123015612</v>
      </c>
      <c r="G114" s="245">
        <f t="shared" ref="G114" si="142">SUM(G106,G113)</f>
        <v>430.05900000000003</v>
      </c>
      <c r="H114" s="166">
        <f>SUM(H106,H113)</f>
        <v>331.95600000000002</v>
      </c>
      <c r="I114" s="579">
        <f t="shared" si="135"/>
        <v>1.015402643723867</v>
      </c>
      <c r="J114" s="245">
        <f>SUM(J106,J113)</f>
        <v>792</v>
      </c>
      <c r="K114" s="166">
        <f>SUM(K106,K113)</f>
        <v>669.02500000000009</v>
      </c>
      <c r="L114" s="166">
        <f>SUM(L106,L113)</f>
        <v>760.43</v>
      </c>
      <c r="M114" s="1644">
        <f>SUM(M106,M113)</f>
        <v>804.03000000000009</v>
      </c>
      <c r="N114" s="2130">
        <f t="shared" si="106"/>
        <v>0.13662419192107894</v>
      </c>
      <c r="O114" s="166">
        <f t="shared" ref="O114:P114" si="143">SUM(O106,O113)</f>
        <v>722.45399999999995</v>
      </c>
      <c r="P114" s="1644">
        <f t="shared" si="143"/>
        <v>682.45399999999995</v>
      </c>
      <c r="Q114" s="166">
        <f t="shared" ref="Q114:R114" si="144">SUM(Q106,Q113)</f>
        <v>560.70399999999995</v>
      </c>
      <c r="R114" s="1644">
        <f t="shared" si="144"/>
        <v>574.70399999999995</v>
      </c>
      <c r="S114" s="191"/>
      <c r="T114" s="172"/>
      <c r="U114" s="172"/>
      <c r="V114" s="172"/>
      <c r="W114" s="193"/>
      <c r="X114" s="193"/>
      <c r="Y114" s="193"/>
      <c r="Z114" s="193"/>
      <c r="AA114" s="191"/>
      <c r="AB114" s="172"/>
      <c r="AE114" s="84"/>
      <c r="AF114" s="84"/>
    </row>
    <row r="115" spans="1:32" ht="28.5" customHeight="1">
      <c r="A115" s="2978"/>
      <c r="B115" s="2972" t="s">
        <v>1914</v>
      </c>
      <c r="C115" s="2972"/>
      <c r="D115" s="2972"/>
      <c r="E115" s="243">
        <v>0</v>
      </c>
      <c r="F115" s="208"/>
      <c r="G115" s="243">
        <v>0</v>
      </c>
      <c r="H115" s="169">
        <v>0</v>
      </c>
      <c r="I115" s="576" t="e">
        <f t="shared" si="135"/>
        <v>#DIV/0!</v>
      </c>
      <c r="J115" s="243">
        <v>0</v>
      </c>
      <c r="K115" s="169">
        <v>0</v>
      </c>
      <c r="L115" s="169">
        <v>0</v>
      </c>
      <c r="M115" s="1715">
        <v>0</v>
      </c>
      <c r="N115" s="2130"/>
      <c r="O115" s="169">
        <v>0</v>
      </c>
      <c r="P115" s="1715">
        <v>0</v>
      </c>
      <c r="Q115" s="169">
        <v>0</v>
      </c>
      <c r="R115" s="1715">
        <v>0</v>
      </c>
      <c r="S115" s="191"/>
      <c r="T115" s="172"/>
      <c r="U115" s="172"/>
      <c r="V115" s="172"/>
      <c r="W115" s="193"/>
      <c r="X115" s="193"/>
      <c r="Y115" s="193"/>
      <c r="Z115" s="193"/>
      <c r="AA115" s="191"/>
      <c r="AB115" s="172"/>
      <c r="AE115" s="84"/>
      <c r="AF115" s="84"/>
    </row>
    <row r="116" spans="1:32" ht="39.75" customHeight="1">
      <c r="A116" s="2979"/>
      <c r="B116" s="2972" t="s">
        <v>727</v>
      </c>
      <c r="C116" s="2972"/>
      <c r="D116" s="2972"/>
      <c r="E116" s="243">
        <v>0</v>
      </c>
      <c r="F116" s="208"/>
      <c r="G116" s="243">
        <v>0</v>
      </c>
      <c r="H116" s="540">
        <f>H114/E114-1</f>
        <v>0.10618077123015612</v>
      </c>
      <c r="I116" s="540"/>
      <c r="J116" s="541">
        <f>J114/H114-1</f>
        <v>1.3858583667714997</v>
      </c>
      <c r="K116" s="540">
        <v>1.02</v>
      </c>
      <c r="L116" s="542">
        <f>(L114-K114)/K114</f>
        <v>0.13662419192107894</v>
      </c>
      <c r="M116" s="1716"/>
      <c r="N116" s="1243"/>
      <c r="O116" s="535">
        <f>(O114-L114)/L114</f>
        <v>-4.9940165432715705E-2</v>
      </c>
      <c r="P116" s="1717"/>
      <c r="Q116" s="535">
        <f>(Q114-O114)/O114</f>
        <v>-0.22388968709426485</v>
      </c>
      <c r="R116" s="1717"/>
      <c r="S116" s="191"/>
      <c r="T116" s="172"/>
      <c r="U116" s="172"/>
      <c r="V116" s="172"/>
      <c r="W116" s="193"/>
      <c r="X116" s="193"/>
      <c r="Y116" s="193"/>
      <c r="Z116" s="193"/>
      <c r="AA116" s="191"/>
      <c r="AB116" s="172"/>
      <c r="AE116" s="84"/>
      <c r="AF116" s="84"/>
    </row>
    <row r="117" spans="1:32" ht="39.75" customHeight="1">
      <c r="E117" s="84"/>
      <c r="F117" s="84"/>
      <c r="AE117" s="84"/>
      <c r="AF117" s="84"/>
    </row>
    <row r="118" spans="1:32" ht="39.75" hidden="1" customHeight="1">
      <c r="E118" s="84"/>
      <c r="F118" s="84"/>
      <c r="J118" s="91" t="s">
        <v>3557</v>
      </c>
      <c r="K118" s="113">
        <v>626.46</v>
      </c>
      <c r="AE118" s="84"/>
      <c r="AF118" s="84"/>
    </row>
    <row r="119" spans="1:32" ht="28.95" hidden="1" customHeight="1">
      <c r="A119" s="2970"/>
      <c r="B119" s="2970"/>
      <c r="C119" s="89"/>
      <c r="D119" s="123"/>
      <c r="E119" s="123"/>
      <c r="F119" s="123"/>
      <c r="G119" s="123"/>
      <c r="H119" s="123">
        <v>400.45</v>
      </c>
      <c r="I119" s="123"/>
      <c r="J119" s="482"/>
      <c r="K119" s="123"/>
      <c r="L119" s="669"/>
      <c r="M119" s="710"/>
      <c r="N119" s="710" t="s">
        <v>4157</v>
      </c>
      <c r="O119" s="1923" t="s">
        <v>4159</v>
      </c>
      <c r="P119" s="1923" t="s">
        <v>4158</v>
      </c>
      <c r="Q119" s="278"/>
      <c r="R119" s="1698"/>
      <c r="S119" s="124"/>
      <c r="AE119" s="84"/>
      <c r="AF119" s="84"/>
    </row>
    <row r="120" spans="1:32" ht="26.4" hidden="1" customHeight="1">
      <c r="E120" s="84"/>
      <c r="F120" s="84"/>
      <c r="H120" s="113">
        <f>H119-H107-H112</f>
        <v>88.729999999999961</v>
      </c>
      <c r="I120" s="113"/>
      <c r="J120" s="483"/>
      <c r="L120" s="2748" t="s">
        <v>4160</v>
      </c>
      <c r="M120" s="1923" t="s">
        <v>4156</v>
      </c>
      <c r="N120" s="1935"/>
      <c r="O120" s="1935"/>
      <c r="P120" s="1935"/>
      <c r="Q120" s="1939"/>
      <c r="AE120" s="84"/>
      <c r="AF120" s="84"/>
    </row>
    <row r="121" spans="1:32" ht="28.95" hidden="1" customHeight="1">
      <c r="E121" s="84"/>
      <c r="F121" s="84"/>
      <c r="L121" s="2748"/>
      <c r="M121" s="1923" t="s">
        <v>3508</v>
      </c>
      <c r="N121" s="1935">
        <f>SUM(K23,K26,K33,K36,K40,K43,K45,K48,K50,K52,K54,K57,K59,K66,K68,K70,K72,K74,K76,K81,K89,K94,K97,K100,K103,)</f>
        <v>626.46</v>
      </c>
      <c r="O121" s="1924">
        <f>SUM(L23,L26,L33,L36,L40,L43,L45,L48,L50,L52,L54,L57,L59,L66,L68,L70,L72,L74,L81,L89,L94,L97,L100,L103,)</f>
        <v>248.9</v>
      </c>
      <c r="P121" s="1924">
        <f>SUM(M23,M26,M33,M36,M40,M43,M45,M48,M50,M52,M54,M57,M59,M66,M68,M70,M72,M74,M81,M89,M94,M97,M100,M103,)</f>
        <v>711.29</v>
      </c>
      <c r="Q121" s="1927">
        <f>(O121-N121)/N121</f>
        <v>-0.60268812055039434</v>
      </c>
      <c r="AE121" s="84"/>
      <c r="AF121" s="84"/>
    </row>
    <row r="122" spans="1:32" ht="25.95" hidden="1" customHeight="1">
      <c r="E122" s="84"/>
      <c r="F122" s="84"/>
      <c r="L122" s="2748"/>
      <c r="M122" s="1923" t="s">
        <v>4155</v>
      </c>
      <c r="N122" s="1935">
        <v>0</v>
      </c>
      <c r="O122" s="1935">
        <f>SUM(L76)</f>
        <v>0</v>
      </c>
      <c r="P122" s="1935">
        <f>SUM(M76)</f>
        <v>50</v>
      </c>
      <c r="Q122" s="1927"/>
      <c r="AE122" s="84"/>
      <c r="AF122" s="84"/>
    </row>
    <row r="123" spans="1:32" ht="51.6" hidden="1" customHeight="1">
      <c r="E123" s="84"/>
      <c r="F123" s="84"/>
      <c r="N123" s="113">
        <f>SUM(N121,N122)</f>
        <v>626.46</v>
      </c>
      <c r="O123" s="113">
        <f>SUM(O121,O122)</f>
        <v>248.9</v>
      </c>
      <c r="P123" s="113">
        <f>SUM(P121,P122)</f>
        <v>761.29</v>
      </c>
      <c r="AE123" s="84"/>
      <c r="AF123" s="84"/>
    </row>
    <row r="124" spans="1:32" ht="89.4" hidden="1" customHeight="1">
      <c r="E124" s="84"/>
      <c r="F124" s="84"/>
      <c r="K124" s="1921" t="s">
        <v>4171</v>
      </c>
      <c r="L124" s="1940">
        <f>SUM(O121-N121)</f>
        <v>-377.56000000000006</v>
      </c>
      <c r="N124" s="113">
        <f>N123-K107</f>
        <v>0</v>
      </c>
      <c r="O124" s="113">
        <f>O123-L107</f>
        <v>0</v>
      </c>
      <c r="P124" s="113">
        <f t="shared" ref="P124" si="145">P123-M107</f>
        <v>0</v>
      </c>
      <c r="AE124" s="84"/>
      <c r="AF124" s="84"/>
    </row>
    <row r="125" spans="1:32" ht="84" hidden="1" customHeight="1">
      <c r="E125" s="84"/>
      <c r="F125" s="84"/>
      <c r="K125" s="1921" t="s">
        <v>4172</v>
      </c>
      <c r="L125" s="1940">
        <f>O122-N122</f>
        <v>0</v>
      </c>
      <c r="Q125" s="113">
        <f>SUM(O23,O26,O33,O36,O40,O43,O45,O48,O50,O52,O54,O57,O59,O66,O70,O72,O74,O81,O94,O97,O100,O103)</f>
        <v>643.75</v>
      </c>
      <c r="R125" s="1649">
        <f>SUM(Q23,Q26,Q33,Q36,Q40,Q43,Q45,Q48,Q50,Q52,Q54,Q57,Q59,Q66,Q70,Q72,Q74,Q81,Q94,Q97,Q100,Q103)</f>
        <v>532</v>
      </c>
      <c r="AE125" s="84"/>
      <c r="AF125" s="84"/>
    </row>
    <row r="126" spans="1:32" ht="39.75" hidden="1" customHeight="1">
      <c r="E126" s="84"/>
      <c r="F126" s="84"/>
      <c r="L126" s="1949">
        <f>SUM(L124,L125)</f>
        <v>-377.56000000000006</v>
      </c>
      <c r="AE126" s="84"/>
      <c r="AF126" s="84"/>
    </row>
    <row r="127" spans="1:32" ht="39.75" hidden="1" customHeight="1">
      <c r="E127" s="84"/>
      <c r="F127" s="84"/>
      <c r="AE127" s="84"/>
      <c r="AF127" s="84"/>
    </row>
    <row r="128" spans="1:32" ht="39.75" hidden="1" customHeight="1">
      <c r="E128" s="84"/>
      <c r="F128" s="84"/>
      <c r="L128" s="113">
        <f>SUM(L22,L47,L56,L80,L93,L96,L99,L102,)</f>
        <v>760.43</v>
      </c>
      <c r="M128" s="113">
        <f t="shared" ref="M128:Q128" si="146">SUM(M22,M47,M56,M80,M93,M96,M99,M102,)</f>
        <v>804.03</v>
      </c>
      <c r="N128" s="113" t="e">
        <f t="shared" si="146"/>
        <v>#DIV/0!</v>
      </c>
      <c r="O128" s="113">
        <f t="shared" si="146"/>
        <v>722.45399999999995</v>
      </c>
      <c r="P128" s="113">
        <f t="shared" si="146"/>
        <v>682.45399999999995</v>
      </c>
      <c r="Q128" s="113">
        <f t="shared" si="146"/>
        <v>560.70399999999995</v>
      </c>
      <c r="AE128" s="84"/>
      <c r="AF128" s="84"/>
    </row>
    <row r="129" spans="5:32" ht="39.75" hidden="1" customHeight="1">
      <c r="E129" s="84"/>
      <c r="F129" s="84"/>
      <c r="L129" s="113">
        <f>L114-L128</f>
        <v>0</v>
      </c>
      <c r="M129" s="113">
        <f t="shared" ref="M129:Q129" si="147">M114-M128</f>
        <v>0</v>
      </c>
      <c r="N129" s="113" t="e">
        <f t="shared" si="147"/>
        <v>#DIV/0!</v>
      </c>
      <c r="O129" s="113">
        <f t="shared" si="147"/>
        <v>0</v>
      </c>
      <c r="P129" s="113">
        <f t="shared" si="147"/>
        <v>0</v>
      </c>
      <c r="Q129" s="113">
        <f t="shared" si="147"/>
        <v>0</v>
      </c>
      <c r="AE129" s="84"/>
      <c r="AF129" s="84"/>
    </row>
    <row r="130" spans="5:32" ht="39.75" hidden="1" customHeight="1">
      <c r="E130" s="84"/>
      <c r="F130" s="84"/>
      <c r="AE130" s="84"/>
      <c r="AF130" s="84"/>
    </row>
    <row r="131" spans="5:32" ht="39.75" customHeight="1">
      <c r="E131" s="84"/>
      <c r="F131" s="84"/>
      <c r="AE131" s="84"/>
      <c r="AF131" s="84"/>
    </row>
    <row r="132" spans="5:32" ht="39.75" customHeight="1">
      <c r="E132" s="84"/>
      <c r="F132" s="84"/>
      <c r="AE132" s="84"/>
      <c r="AF132" s="84"/>
    </row>
    <row r="133" spans="5:32" ht="39.75" customHeight="1">
      <c r="E133" s="84"/>
      <c r="F133" s="84"/>
      <c r="AE133" s="84"/>
      <c r="AF133" s="84"/>
    </row>
    <row r="134" spans="5:32" ht="39.75" customHeight="1">
      <c r="E134" s="84"/>
      <c r="F134" s="84"/>
      <c r="AE134" s="84"/>
      <c r="AF134" s="84"/>
    </row>
    <row r="135" spans="5:32" ht="39.75" customHeight="1">
      <c r="E135" s="84"/>
      <c r="F135" s="84"/>
      <c r="AE135" s="84"/>
      <c r="AF135" s="84"/>
    </row>
    <row r="136" spans="5:32" ht="39.75" customHeight="1">
      <c r="E136" s="84"/>
      <c r="F136" s="84"/>
      <c r="AE136" s="84"/>
      <c r="AF136" s="84"/>
    </row>
    <row r="137" spans="5:32" ht="39.75" customHeight="1">
      <c r="E137" s="84"/>
      <c r="F137" s="84"/>
      <c r="AE137" s="84"/>
      <c r="AF137" s="84"/>
    </row>
    <row r="138" spans="5:32" ht="39.75" customHeight="1">
      <c r="E138" s="84"/>
      <c r="F138" s="84"/>
      <c r="AE138" s="84"/>
      <c r="AF138" s="84"/>
    </row>
    <row r="139" spans="5:32" ht="39.75" customHeight="1">
      <c r="E139" s="84"/>
      <c r="F139" s="84"/>
      <c r="AE139" s="84"/>
      <c r="AF139" s="84"/>
    </row>
    <row r="140" spans="5:32" ht="39.75" customHeight="1">
      <c r="E140" s="84"/>
      <c r="F140" s="84"/>
      <c r="AE140" s="84"/>
      <c r="AF140" s="84"/>
    </row>
    <row r="141" spans="5:32" ht="39.75" customHeight="1">
      <c r="E141" s="84"/>
      <c r="F141" s="84"/>
      <c r="AE141" s="84"/>
      <c r="AF141" s="84"/>
    </row>
    <row r="142" spans="5:32" ht="39.75" customHeight="1">
      <c r="E142" s="84"/>
      <c r="F142" s="84"/>
      <c r="AE142" s="84"/>
      <c r="AF142" s="84"/>
    </row>
    <row r="143" spans="5:32" ht="39.75" customHeight="1">
      <c r="E143" s="84"/>
      <c r="F143" s="84"/>
      <c r="AE143" s="84"/>
      <c r="AF143" s="84"/>
    </row>
    <row r="144" spans="5:32" ht="39.75" customHeight="1">
      <c r="E144" s="84"/>
      <c r="F144" s="84"/>
      <c r="AE144" s="84"/>
      <c r="AF144" s="84"/>
    </row>
    <row r="145" spans="5:32" ht="39.75" customHeight="1">
      <c r="E145" s="84"/>
      <c r="F145" s="84"/>
      <c r="AE145" s="84"/>
      <c r="AF145" s="84"/>
    </row>
    <row r="146" spans="5:32" ht="39.75" customHeight="1">
      <c r="E146" s="84"/>
      <c r="F146" s="84"/>
      <c r="AE146" s="84"/>
      <c r="AF146" s="84"/>
    </row>
    <row r="147" spans="5:32" ht="39.75" customHeight="1">
      <c r="E147" s="84"/>
      <c r="F147" s="84"/>
      <c r="AE147" s="84"/>
      <c r="AF147" s="84"/>
    </row>
    <row r="148" spans="5:32" ht="39.75" customHeight="1">
      <c r="E148" s="84"/>
      <c r="F148" s="84"/>
      <c r="AE148" s="84"/>
      <c r="AF148" s="84"/>
    </row>
    <row r="149" spans="5:32" ht="39.75" customHeight="1">
      <c r="E149" s="84"/>
      <c r="F149" s="84"/>
      <c r="AE149" s="84"/>
      <c r="AF149" s="84"/>
    </row>
    <row r="150" spans="5:32" ht="39.75" customHeight="1">
      <c r="E150" s="84"/>
      <c r="F150" s="84"/>
      <c r="AE150" s="84"/>
      <c r="AF150" s="84"/>
    </row>
    <row r="151" spans="5:32" ht="39.75" customHeight="1">
      <c r="E151" s="84"/>
      <c r="F151" s="84"/>
      <c r="AE151" s="84"/>
      <c r="AF151" s="84"/>
    </row>
    <row r="152" spans="5:32" ht="39.75" customHeight="1">
      <c r="E152" s="84"/>
      <c r="F152" s="84"/>
      <c r="AE152" s="84"/>
      <c r="AF152" s="84"/>
    </row>
    <row r="153" spans="5:32" ht="39.75" customHeight="1">
      <c r="E153" s="84"/>
      <c r="F153" s="84"/>
      <c r="AE153" s="84"/>
      <c r="AF153" s="84"/>
    </row>
    <row r="154" spans="5:32" ht="39.75" customHeight="1">
      <c r="E154" s="84"/>
      <c r="F154" s="84"/>
      <c r="AE154" s="84"/>
      <c r="AF154" s="84"/>
    </row>
    <row r="155" spans="5:32" ht="39.75" customHeight="1">
      <c r="E155" s="84"/>
      <c r="F155" s="84"/>
      <c r="AE155" s="84"/>
      <c r="AF155" s="84"/>
    </row>
    <row r="156" spans="5:32" ht="39.75" customHeight="1">
      <c r="E156" s="84"/>
      <c r="F156" s="84"/>
      <c r="AE156" s="84"/>
      <c r="AF156" s="84"/>
    </row>
    <row r="157" spans="5:32" ht="39.75" customHeight="1">
      <c r="E157" s="84"/>
      <c r="F157" s="84"/>
      <c r="AE157" s="84"/>
      <c r="AF157" s="84"/>
    </row>
    <row r="158" spans="5:32" ht="39.75" customHeight="1">
      <c r="E158" s="84"/>
      <c r="F158" s="84"/>
      <c r="AE158" s="84"/>
      <c r="AF158" s="84"/>
    </row>
    <row r="159" spans="5:32" ht="39.75" customHeight="1">
      <c r="E159" s="84"/>
      <c r="F159" s="84"/>
      <c r="AE159" s="84"/>
      <c r="AF159" s="84"/>
    </row>
    <row r="160" spans="5:32" ht="39.75" customHeight="1">
      <c r="E160" s="84"/>
      <c r="F160" s="84"/>
      <c r="AE160" s="84"/>
      <c r="AF160" s="84"/>
    </row>
    <row r="161" spans="5:32" ht="39.75" customHeight="1">
      <c r="E161" s="84"/>
      <c r="F161" s="84"/>
      <c r="AE161" s="84"/>
      <c r="AF161" s="84"/>
    </row>
    <row r="162" spans="5:32" ht="39.75" customHeight="1">
      <c r="E162" s="84"/>
      <c r="F162" s="84"/>
      <c r="AE162" s="84"/>
      <c r="AF162" s="84"/>
    </row>
    <row r="163" spans="5:32" ht="39.75" customHeight="1">
      <c r="E163" s="84"/>
      <c r="F163" s="84"/>
      <c r="AE163" s="84"/>
      <c r="AF163" s="84"/>
    </row>
    <row r="164" spans="5:32" ht="39.75" customHeight="1">
      <c r="E164" s="84"/>
      <c r="F164" s="84"/>
      <c r="AE164" s="84"/>
      <c r="AF164" s="84"/>
    </row>
    <row r="165" spans="5:32" ht="39.75" customHeight="1">
      <c r="E165" s="84"/>
      <c r="F165" s="84"/>
      <c r="AE165" s="84"/>
      <c r="AF165" s="84"/>
    </row>
    <row r="166" spans="5:32" ht="39.75" customHeight="1">
      <c r="E166" s="84"/>
      <c r="F166" s="84"/>
      <c r="AE166" s="84"/>
      <c r="AF166" s="84"/>
    </row>
    <row r="167" spans="5:32" ht="39.75" customHeight="1">
      <c r="E167" s="84"/>
      <c r="F167" s="84"/>
      <c r="AE167" s="84"/>
      <c r="AF167" s="84"/>
    </row>
    <row r="168" spans="5:32" ht="39.75" customHeight="1">
      <c r="E168" s="84"/>
      <c r="F168" s="84"/>
      <c r="AE168" s="84"/>
      <c r="AF168" s="84"/>
    </row>
    <row r="169" spans="5:32" ht="39.75" customHeight="1">
      <c r="E169" s="84"/>
      <c r="F169" s="84"/>
      <c r="AE169" s="84"/>
      <c r="AF169" s="84"/>
    </row>
    <row r="170" spans="5:32" ht="39.75" customHeight="1">
      <c r="E170" s="84"/>
      <c r="F170" s="84"/>
      <c r="AE170" s="84"/>
      <c r="AF170" s="84"/>
    </row>
    <row r="171" spans="5:32" ht="39.75" customHeight="1">
      <c r="E171" s="84"/>
      <c r="F171" s="84"/>
      <c r="AE171" s="84"/>
      <c r="AF171" s="84"/>
    </row>
    <row r="172" spans="5:32" ht="39.75" customHeight="1">
      <c r="E172" s="84"/>
      <c r="F172" s="84"/>
      <c r="AE172" s="84"/>
      <c r="AF172" s="84"/>
    </row>
    <row r="173" spans="5:32" ht="39.75" customHeight="1">
      <c r="E173" s="84"/>
      <c r="F173" s="84"/>
      <c r="AE173" s="84"/>
      <c r="AF173" s="84"/>
    </row>
    <row r="174" spans="5:32" ht="39.75" customHeight="1">
      <c r="E174" s="84"/>
      <c r="F174" s="84"/>
      <c r="AE174" s="84"/>
      <c r="AF174" s="84"/>
    </row>
    <row r="175" spans="5:32" ht="39.75" customHeight="1">
      <c r="E175" s="84"/>
      <c r="F175" s="84"/>
      <c r="AE175" s="84"/>
      <c r="AF175" s="84"/>
    </row>
    <row r="176" spans="5:32" ht="39.75" customHeight="1">
      <c r="E176" s="84"/>
      <c r="F176" s="84"/>
      <c r="AE176" s="84"/>
      <c r="AF176" s="84"/>
    </row>
    <row r="177" spans="5:32" ht="39.75" customHeight="1">
      <c r="E177" s="84"/>
      <c r="F177" s="84"/>
      <c r="AE177" s="84"/>
      <c r="AF177" s="84"/>
    </row>
    <row r="178" spans="5:32" ht="39.75" customHeight="1">
      <c r="E178" s="84"/>
      <c r="F178" s="84"/>
      <c r="AE178" s="84"/>
      <c r="AF178" s="84"/>
    </row>
    <row r="179" spans="5:32" ht="39.75" customHeight="1">
      <c r="E179" s="84"/>
      <c r="F179" s="84"/>
      <c r="AE179" s="84"/>
      <c r="AF179" s="84"/>
    </row>
    <row r="180" spans="5:32" ht="39.75" customHeight="1">
      <c r="E180" s="84"/>
      <c r="F180" s="84"/>
      <c r="AE180" s="84"/>
      <c r="AF180" s="84"/>
    </row>
    <row r="181" spans="5:32" ht="39.75" customHeight="1">
      <c r="E181" s="84"/>
      <c r="F181" s="84"/>
      <c r="AE181" s="84"/>
      <c r="AF181" s="84"/>
    </row>
    <row r="182" spans="5:32" ht="39.75" customHeight="1">
      <c r="E182" s="84"/>
      <c r="F182" s="84"/>
      <c r="AE182" s="84"/>
      <c r="AF182" s="84"/>
    </row>
    <row r="183" spans="5:32" ht="39.75" customHeight="1">
      <c r="E183" s="84"/>
      <c r="F183" s="84"/>
      <c r="AE183" s="84"/>
      <c r="AF183" s="84"/>
    </row>
    <row r="184" spans="5:32" ht="39.75" customHeight="1">
      <c r="E184" s="84"/>
      <c r="F184" s="84"/>
      <c r="AE184" s="84"/>
      <c r="AF184" s="84"/>
    </row>
    <row r="185" spans="5:32" ht="39.75" customHeight="1">
      <c r="E185" s="84"/>
      <c r="F185" s="84"/>
      <c r="AE185" s="84"/>
      <c r="AF185" s="84"/>
    </row>
    <row r="186" spans="5:32" ht="39.75" customHeight="1">
      <c r="E186" s="84"/>
      <c r="F186" s="84"/>
      <c r="AE186" s="84"/>
      <c r="AF186" s="84"/>
    </row>
    <row r="187" spans="5:32" ht="39.75" customHeight="1">
      <c r="E187" s="84"/>
      <c r="F187" s="84"/>
      <c r="AE187" s="84"/>
      <c r="AF187" s="84"/>
    </row>
    <row r="188" spans="5:32" ht="39.75" customHeight="1">
      <c r="E188" s="84"/>
      <c r="F188" s="84"/>
      <c r="AE188" s="84"/>
      <c r="AF188" s="84"/>
    </row>
    <row r="189" spans="5:32" ht="39.75" customHeight="1">
      <c r="E189" s="84"/>
      <c r="F189" s="84"/>
      <c r="AE189" s="84"/>
      <c r="AF189" s="84"/>
    </row>
    <row r="190" spans="5:32" ht="39.75" customHeight="1">
      <c r="E190" s="84"/>
      <c r="F190" s="84"/>
      <c r="AE190" s="84"/>
      <c r="AF190" s="84"/>
    </row>
    <row r="191" spans="5:32" ht="39.75" customHeight="1">
      <c r="E191" s="84"/>
      <c r="F191" s="84"/>
      <c r="AE191" s="84"/>
      <c r="AF191" s="84"/>
    </row>
    <row r="192" spans="5:32" ht="39.75" customHeight="1">
      <c r="E192" s="84"/>
      <c r="F192" s="84"/>
      <c r="AE192" s="84"/>
      <c r="AF192" s="84"/>
    </row>
    <row r="193" spans="5:32" ht="39.75" customHeight="1">
      <c r="E193" s="84"/>
      <c r="F193" s="84"/>
      <c r="AE193" s="84"/>
      <c r="AF193" s="84"/>
    </row>
    <row r="194" spans="5:32" ht="39.75" customHeight="1">
      <c r="E194" s="84"/>
      <c r="F194" s="84"/>
      <c r="AE194" s="84"/>
      <c r="AF194" s="84"/>
    </row>
    <row r="195" spans="5:32" ht="39.75" customHeight="1">
      <c r="E195" s="84"/>
      <c r="F195" s="84"/>
      <c r="AE195" s="84"/>
      <c r="AF195" s="84"/>
    </row>
    <row r="196" spans="5:32" ht="39.75" customHeight="1">
      <c r="E196" s="84"/>
      <c r="F196" s="84"/>
      <c r="AE196" s="84"/>
      <c r="AF196" s="84"/>
    </row>
    <row r="197" spans="5:32" ht="39.75" customHeight="1">
      <c r="E197" s="84"/>
      <c r="F197" s="84"/>
      <c r="AE197" s="84"/>
      <c r="AF197" s="84"/>
    </row>
    <row r="198" spans="5:32" ht="39.75" customHeight="1">
      <c r="E198" s="84"/>
      <c r="F198" s="84"/>
      <c r="AE198" s="84"/>
      <c r="AF198" s="84"/>
    </row>
    <row r="199" spans="5:32" ht="39.75" customHeight="1">
      <c r="E199" s="84"/>
      <c r="F199" s="84"/>
      <c r="AE199" s="84"/>
      <c r="AF199" s="84"/>
    </row>
    <row r="200" spans="5:32" ht="39.75" customHeight="1">
      <c r="E200" s="84"/>
      <c r="F200" s="84"/>
      <c r="AE200" s="84"/>
      <c r="AF200" s="84"/>
    </row>
    <row r="201" spans="5:32" ht="39.75" customHeight="1">
      <c r="E201" s="84"/>
      <c r="F201" s="84"/>
      <c r="AE201" s="84"/>
      <c r="AF201" s="84"/>
    </row>
    <row r="202" spans="5:32" ht="39.75" customHeight="1">
      <c r="E202" s="84"/>
      <c r="F202" s="84"/>
      <c r="AE202" s="84"/>
      <c r="AF202" s="84"/>
    </row>
    <row r="203" spans="5:32" ht="39.75" customHeight="1">
      <c r="E203" s="84"/>
      <c r="F203" s="84"/>
      <c r="AE203" s="84"/>
      <c r="AF203" s="84"/>
    </row>
    <row r="204" spans="5:32" ht="39.75" customHeight="1">
      <c r="E204" s="84"/>
      <c r="F204" s="84"/>
      <c r="AE204" s="84"/>
      <c r="AF204" s="84"/>
    </row>
    <row r="205" spans="5:32" ht="39.75" customHeight="1">
      <c r="E205" s="84"/>
      <c r="F205" s="84"/>
      <c r="AE205" s="84"/>
      <c r="AF205" s="84"/>
    </row>
    <row r="206" spans="5:32" ht="39.75" customHeight="1">
      <c r="E206" s="84"/>
      <c r="F206" s="84"/>
      <c r="AE206" s="84"/>
      <c r="AF206" s="84"/>
    </row>
    <row r="207" spans="5:32" ht="39.75" customHeight="1">
      <c r="E207" s="84"/>
      <c r="F207" s="84"/>
      <c r="AE207" s="84"/>
      <c r="AF207" s="84"/>
    </row>
    <row r="208" spans="5:32" ht="39.75" customHeight="1">
      <c r="E208" s="84"/>
      <c r="F208" s="84"/>
      <c r="AE208" s="84"/>
      <c r="AF208" s="84"/>
    </row>
    <row r="209" spans="5:32" ht="39.75" customHeight="1">
      <c r="E209" s="84"/>
      <c r="F209" s="84"/>
      <c r="AE209" s="84"/>
      <c r="AF209" s="84"/>
    </row>
    <row r="210" spans="5:32" ht="39.75" customHeight="1">
      <c r="E210" s="84"/>
      <c r="F210" s="84"/>
      <c r="AE210" s="84"/>
      <c r="AF210" s="84"/>
    </row>
    <row r="211" spans="5:32" ht="39.75" customHeight="1">
      <c r="E211" s="84"/>
      <c r="F211" s="84"/>
      <c r="AE211" s="84"/>
      <c r="AF211" s="84"/>
    </row>
    <row r="212" spans="5:32" ht="39.75" customHeight="1">
      <c r="E212" s="84"/>
      <c r="F212" s="84"/>
      <c r="AE212" s="84"/>
      <c r="AF212" s="84"/>
    </row>
    <row r="213" spans="5:32" ht="39.75" customHeight="1">
      <c r="E213" s="84"/>
      <c r="F213" s="84"/>
      <c r="AE213" s="84"/>
      <c r="AF213" s="84"/>
    </row>
    <row r="214" spans="5:32" ht="39.75" customHeight="1">
      <c r="E214" s="84"/>
      <c r="F214" s="84"/>
      <c r="AE214" s="84"/>
      <c r="AF214" s="84"/>
    </row>
    <row r="215" spans="5:32" ht="39.75" customHeight="1">
      <c r="E215" s="84"/>
      <c r="F215" s="84"/>
      <c r="AE215" s="84"/>
      <c r="AF215" s="84"/>
    </row>
    <row r="216" spans="5:32" ht="39.75" customHeight="1">
      <c r="E216" s="84"/>
      <c r="F216" s="84"/>
      <c r="AE216" s="84"/>
      <c r="AF216" s="84"/>
    </row>
    <row r="217" spans="5:32" ht="39.75" customHeight="1">
      <c r="E217" s="84"/>
      <c r="F217" s="84"/>
      <c r="AE217" s="84"/>
      <c r="AF217" s="84"/>
    </row>
    <row r="218" spans="5:32" ht="39.75" customHeight="1">
      <c r="E218" s="84"/>
      <c r="F218" s="84"/>
      <c r="AE218" s="84"/>
      <c r="AF218" s="84"/>
    </row>
    <row r="219" spans="5:32" ht="39.75" customHeight="1">
      <c r="E219" s="84"/>
      <c r="F219" s="84"/>
      <c r="AE219" s="84"/>
      <c r="AF219" s="84"/>
    </row>
    <row r="220" spans="5:32" ht="39.75" customHeight="1">
      <c r="E220" s="84"/>
      <c r="F220" s="84"/>
      <c r="AE220" s="84"/>
      <c r="AF220" s="84"/>
    </row>
    <row r="221" spans="5:32" ht="39.75" customHeight="1">
      <c r="E221" s="84"/>
      <c r="F221" s="84"/>
      <c r="AE221" s="84"/>
      <c r="AF221" s="84"/>
    </row>
    <row r="222" spans="5:32" ht="39.75" customHeight="1">
      <c r="E222" s="84"/>
      <c r="F222" s="84"/>
      <c r="AE222" s="84"/>
      <c r="AF222" s="84"/>
    </row>
    <row r="223" spans="5:32" ht="39.75" customHeight="1">
      <c r="E223" s="84"/>
      <c r="F223" s="84"/>
      <c r="AE223" s="84"/>
      <c r="AF223" s="84"/>
    </row>
    <row r="224" spans="5:32" ht="39.75" customHeight="1">
      <c r="E224" s="84"/>
      <c r="F224" s="84"/>
      <c r="AE224" s="84"/>
      <c r="AF224" s="84"/>
    </row>
    <row r="225" spans="5:32" ht="39.75" customHeight="1">
      <c r="E225" s="84"/>
      <c r="F225" s="84"/>
      <c r="AE225" s="84"/>
      <c r="AF225" s="84"/>
    </row>
    <row r="226" spans="5:32" ht="39.75" customHeight="1">
      <c r="E226" s="84"/>
      <c r="F226" s="84"/>
      <c r="AE226" s="84"/>
      <c r="AF226" s="84"/>
    </row>
    <row r="227" spans="5:32" ht="39.75" customHeight="1">
      <c r="E227" s="84"/>
      <c r="F227" s="84"/>
      <c r="AE227" s="84"/>
      <c r="AF227" s="84"/>
    </row>
    <row r="228" spans="5:32" ht="39.75" customHeight="1">
      <c r="E228" s="84"/>
      <c r="F228" s="84"/>
      <c r="AE228" s="84"/>
      <c r="AF228" s="84"/>
    </row>
    <row r="229" spans="5:32" ht="39.75" customHeight="1">
      <c r="E229" s="84"/>
      <c r="F229" s="84"/>
      <c r="AE229" s="84"/>
      <c r="AF229" s="84"/>
    </row>
    <row r="230" spans="5:32" ht="39.75" customHeight="1">
      <c r="E230" s="84"/>
      <c r="F230" s="84"/>
      <c r="AE230" s="84"/>
      <c r="AF230" s="84"/>
    </row>
    <row r="231" spans="5:32" ht="39.75" customHeight="1">
      <c r="E231" s="84"/>
      <c r="F231" s="84"/>
      <c r="AE231" s="84"/>
      <c r="AF231" s="84"/>
    </row>
    <row r="232" spans="5:32" ht="39.75" customHeight="1">
      <c r="E232" s="84"/>
      <c r="F232" s="84"/>
      <c r="AE232" s="84"/>
      <c r="AF232" s="84"/>
    </row>
    <row r="233" spans="5:32" ht="39.75" customHeight="1">
      <c r="E233" s="84"/>
      <c r="F233" s="84"/>
      <c r="AE233" s="84"/>
      <c r="AF233" s="84"/>
    </row>
    <row r="234" spans="5:32" ht="39.75" customHeight="1">
      <c r="E234" s="84"/>
      <c r="F234" s="84"/>
      <c r="AE234" s="84"/>
      <c r="AF234" s="84"/>
    </row>
    <row r="235" spans="5:32" ht="39.75" customHeight="1">
      <c r="E235" s="84"/>
      <c r="F235" s="84"/>
      <c r="AE235" s="84"/>
      <c r="AF235" s="84"/>
    </row>
    <row r="236" spans="5:32" ht="39.75" customHeight="1">
      <c r="E236" s="84"/>
      <c r="F236" s="84"/>
      <c r="AE236" s="84"/>
      <c r="AF236" s="84"/>
    </row>
    <row r="237" spans="5:32" ht="39.75" customHeight="1">
      <c r="E237" s="84"/>
      <c r="F237" s="84"/>
      <c r="AE237" s="84"/>
      <c r="AF237" s="84"/>
    </row>
    <row r="238" spans="5:32" ht="39.75" customHeight="1">
      <c r="E238" s="84"/>
      <c r="F238" s="84"/>
      <c r="AE238" s="84"/>
      <c r="AF238" s="84"/>
    </row>
    <row r="239" spans="5:32" ht="39.75" customHeight="1">
      <c r="E239" s="84"/>
      <c r="F239" s="84"/>
      <c r="AE239" s="84"/>
      <c r="AF239" s="84"/>
    </row>
    <row r="240" spans="5:32" ht="39.75" customHeight="1">
      <c r="E240" s="84"/>
      <c r="F240" s="84"/>
      <c r="AE240" s="84"/>
      <c r="AF240" s="84"/>
    </row>
    <row r="241" spans="5:32" ht="39.75" customHeight="1">
      <c r="E241" s="84"/>
      <c r="F241" s="84"/>
      <c r="AE241" s="84"/>
      <c r="AF241" s="84"/>
    </row>
    <row r="242" spans="5:32" ht="39.75" customHeight="1">
      <c r="E242" s="84"/>
      <c r="F242" s="84"/>
      <c r="AE242" s="84"/>
      <c r="AF242" s="84"/>
    </row>
    <row r="243" spans="5:32" ht="39.75" customHeight="1">
      <c r="E243" s="84"/>
      <c r="F243" s="84"/>
      <c r="AE243" s="84"/>
      <c r="AF243" s="84"/>
    </row>
    <row r="244" spans="5:32" ht="39.75" customHeight="1">
      <c r="E244" s="84"/>
      <c r="F244" s="84"/>
      <c r="AE244" s="84"/>
      <c r="AF244" s="84"/>
    </row>
    <row r="245" spans="5:32" ht="39.75" customHeight="1">
      <c r="E245" s="84"/>
      <c r="F245" s="84"/>
      <c r="AE245" s="84"/>
      <c r="AF245" s="84"/>
    </row>
    <row r="246" spans="5:32" ht="39.75" customHeight="1">
      <c r="E246" s="84"/>
      <c r="F246" s="84"/>
      <c r="AE246" s="84"/>
      <c r="AF246" s="84"/>
    </row>
    <row r="247" spans="5:32" ht="39.75" customHeight="1">
      <c r="E247" s="84"/>
      <c r="F247" s="84"/>
      <c r="AE247" s="84"/>
      <c r="AF247" s="84"/>
    </row>
    <row r="248" spans="5:32" ht="39.75" customHeight="1">
      <c r="E248" s="84"/>
      <c r="F248" s="84"/>
      <c r="AE248" s="84"/>
      <c r="AF248" s="84"/>
    </row>
    <row r="249" spans="5:32" ht="39.75" customHeight="1">
      <c r="E249" s="84"/>
      <c r="F249" s="84"/>
      <c r="AE249" s="84"/>
      <c r="AF249" s="84"/>
    </row>
    <row r="250" spans="5:32" ht="39.75" customHeight="1">
      <c r="E250" s="84"/>
      <c r="F250" s="84"/>
      <c r="AE250" s="84"/>
      <c r="AF250" s="84"/>
    </row>
    <row r="251" spans="5:32" ht="39.75" customHeight="1">
      <c r="E251" s="84"/>
      <c r="F251" s="84"/>
      <c r="AE251" s="84"/>
      <c r="AF251" s="84"/>
    </row>
    <row r="252" spans="5:32" ht="39.75" customHeight="1">
      <c r="E252" s="84"/>
      <c r="F252" s="84"/>
      <c r="AE252" s="84"/>
      <c r="AF252" s="84"/>
    </row>
    <row r="253" spans="5:32" ht="39.75" customHeight="1">
      <c r="E253" s="84"/>
      <c r="F253" s="84"/>
      <c r="AE253" s="84"/>
      <c r="AF253" s="84"/>
    </row>
    <row r="254" spans="5:32" ht="39.75" customHeight="1">
      <c r="E254" s="84"/>
      <c r="F254" s="84"/>
      <c r="AE254" s="84"/>
      <c r="AF254" s="84"/>
    </row>
    <row r="255" spans="5:32" ht="39.75" customHeight="1">
      <c r="E255" s="84"/>
      <c r="F255" s="84"/>
      <c r="AE255" s="84"/>
      <c r="AF255" s="84"/>
    </row>
    <row r="256" spans="5:32" ht="39.75" customHeight="1">
      <c r="E256" s="84"/>
      <c r="F256" s="84"/>
      <c r="AE256" s="84"/>
      <c r="AF256" s="84"/>
    </row>
    <row r="257" spans="5:32" ht="39.75" customHeight="1">
      <c r="E257" s="84"/>
      <c r="F257" s="84"/>
      <c r="AE257" s="84"/>
      <c r="AF257" s="84"/>
    </row>
    <row r="258" spans="5:32" ht="39.75" customHeight="1">
      <c r="E258" s="84"/>
      <c r="F258" s="84"/>
      <c r="AE258" s="84"/>
      <c r="AF258" s="84"/>
    </row>
    <row r="259" spans="5:32" ht="39.75" customHeight="1">
      <c r="E259" s="84"/>
      <c r="F259" s="84"/>
      <c r="AE259" s="84"/>
      <c r="AF259" s="84"/>
    </row>
    <row r="260" spans="5:32" ht="39.75" customHeight="1">
      <c r="E260" s="84"/>
      <c r="F260" s="84"/>
      <c r="AE260" s="84"/>
      <c r="AF260" s="84"/>
    </row>
    <row r="261" spans="5:32" ht="39.75" customHeight="1">
      <c r="E261" s="84"/>
      <c r="F261" s="84"/>
      <c r="AE261" s="84"/>
      <c r="AF261" s="84"/>
    </row>
    <row r="262" spans="5:32" ht="39.75" customHeight="1">
      <c r="E262" s="84"/>
      <c r="F262" s="84"/>
      <c r="AE262" s="84"/>
      <c r="AF262" s="84"/>
    </row>
    <row r="263" spans="5:32" ht="39.75" customHeight="1">
      <c r="E263" s="84"/>
      <c r="F263" s="84"/>
      <c r="AE263" s="84"/>
      <c r="AF263" s="84"/>
    </row>
    <row r="264" spans="5:32" ht="39.75" customHeight="1">
      <c r="E264" s="84"/>
      <c r="F264" s="84"/>
      <c r="AE264" s="84"/>
      <c r="AF264" s="84"/>
    </row>
    <row r="265" spans="5:32" ht="39.75" customHeight="1">
      <c r="E265" s="84"/>
      <c r="F265" s="84"/>
      <c r="AE265" s="84"/>
      <c r="AF265" s="84"/>
    </row>
    <row r="266" spans="5:32" ht="39.75" customHeight="1">
      <c r="E266" s="84"/>
      <c r="F266" s="84"/>
      <c r="AE266" s="84"/>
      <c r="AF266" s="84"/>
    </row>
    <row r="267" spans="5:32" ht="39.75" customHeight="1">
      <c r="E267" s="84"/>
      <c r="F267" s="84"/>
      <c r="AE267" s="84"/>
      <c r="AF267" s="84"/>
    </row>
    <row r="268" spans="5:32" ht="39.75" customHeight="1">
      <c r="E268" s="84"/>
      <c r="F268" s="84"/>
      <c r="AE268" s="84"/>
      <c r="AF268" s="84"/>
    </row>
    <row r="269" spans="5:32" ht="39.75" customHeight="1">
      <c r="E269" s="84"/>
      <c r="F269" s="84"/>
      <c r="AE269" s="84"/>
      <c r="AF269" s="84"/>
    </row>
    <row r="270" spans="5:32" ht="39.75" customHeight="1">
      <c r="E270" s="84"/>
      <c r="F270" s="84"/>
      <c r="AE270" s="84"/>
      <c r="AF270" s="84"/>
    </row>
    <row r="271" spans="5:32" ht="39.75" customHeight="1">
      <c r="E271" s="84"/>
      <c r="F271" s="84"/>
      <c r="AE271" s="84"/>
      <c r="AF271" s="84"/>
    </row>
    <row r="272" spans="5:32" ht="39.75" customHeight="1">
      <c r="E272" s="84"/>
      <c r="F272" s="84"/>
      <c r="AE272" s="84"/>
      <c r="AF272" s="84"/>
    </row>
    <row r="273" spans="5:32" ht="39.75" customHeight="1">
      <c r="E273" s="84"/>
      <c r="F273" s="84"/>
      <c r="AE273" s="84"/>
      <c r="AF273" s="84"/>
    </row>
    <row r="274" spans="5:32" ht="39.75" customHeight="1">
      <c r="E274" s="84"/>
      <c r="F274" s="84"/>
      <c r="AE274" s="84"/>
      <c r="AF274" s="84"/>
    </row>
    <row r="275" spans="5:32" ht="39.75" customHeight="1">
      <c r="E275" s="84"/>
      <c r="F275" s="84"/>
      <c r="AE275" s="84"/>
      <c r="AF275" s="84"/>
    </row>
    <row r="276" spans="5:32" ht="39.75" customHeight="1">
      <c r="E276" s="84"/>
      <c r="F276" s="84"/>
      <c r="AE276" s="84"/>
      <c r="AF276" s="84"/>
    </row>
    <row r="277" spans="5:32" ht="39.75" customHeight="1">
      <c r="E277" s="84"/>
      <c r="F277" s="84"/>
      <c r="AE277" s="84"/>
      <c r="AF277" s="84"/>
    </row>
    <row r="278" spans="5:32" ht="39.75" customHeight="1">
      <c r="E278" s="84"/>
      <c r="F278" s="84"/>
      <c r="AE278" s="84"/>
      <c r="AF278" s="84"/>
    </row>
    <row r="279" spans="5:32" ht="39.75" customHeight="1">
      <c r="E279" s="84"/>
      <c r="F279" s="84"/>
      <c r="AE279" s="84"/>
      <c r="AF279" s="84"/>
    </row>
    <row r="280" spans="5:32" ht="39.75" customHeight="1">
      <c r="E280" s="84"/>
      <c r="F280" s="84"/>
      <c r="AE280" s="84"/>
      <c r="AF280" s="84"/>
    </row>
    <row r="281" spans="5:32" ht="39.75" customHeight="1">
      <c r="E281" s="84"/>
      <c r="F281" s="84"/>
      <c r="AE281" s="84"/>
      <c r="AF281" s="84"/>
    </row>
    <row r="282" spans="5:32" ht="39.75" customHeight="1">
      <c r="E282" s="84"/>
      <c r="F282" s="84"/>
      <c r="AE282" s="84"/>
      <c r="AF282" s="84"/>
    </row>
    <row r="283" spans="5:32" ht="39.75" customHeight="1">
      <c r="E283" s="84"/>
      <c r="F283" s="84"/>
      <c r="AE283" s="84"/>
      <c r="AF283" s="84"/>
    </row>
    <row r="284" spans="5:32" ht="39.75" customHeight="1">
      <c r="E284" s="84"/>
      <c r="F284" s="84"/>
      <c r="AE284" s="84"/>
      <c r="AF284" s="84"/>
    </row>
    <row r="285" spans="5:32" ht="39.75" customHeight="1">
      <c r="E285" s="84"/>
      <c r="F285" s="84"/>
      <c r="AE285" s="84"/>
      <c r="AF285" s="84"/>
    </row>
    <row r="286" spans="5:32" ht="39.75" customHeight="1">
      <c r="E286" s="84"/>
      <c r="F286" s="84"/>
      <c r="AE286" s="84"/>
      <c r="AF286" s="84"/>
    </row>
    <row r="287" spans="5:32" ht="39.75" customHeight="1">
      <c r="E287" s="84"/>
      <c r="F287" s="84"/>
      <c r="AE287" s="84"/>
      <c r="AF287" s="84"/>
    </row>
    <row r="288" spans="5:32" ht="39.75" customHeight="1">
      <c r="E288" s="84"/>
      <c r="F288" s="84"/>
      <c r="AE288" s="84"/>
      <c r="AF288" s="84"/>
    </row>
    <row r="289" spans="5:32" ht="39.75" customHeight="1">
      <c r="E289" s="84"/>
      <c r="F289" s="84"/>
      <c r="AE289" s="84"/>
      <c r="AF289" s="84"/>
    </row>
    <row r="290" spans="5:32" ht="39.75" customHeight="1">
      <c r="E290" s="84"/>
      <c r="F290" s="84"/>
      <c r="AE290" s="84"/>
      <c r="AF290" s="84"/>
    </row>
    <row r="291" spans="5:32" ht="39.75" customHeight="1">
      <c r="E291" s="84"/>
      <c r="F291" s="84"/>
      <c r="AE291" s="84"/>
      <c r="AF291" s="84"/>
    </row>
    <row r="292" spans="5:32" ht="39.75" customHeight="1">
      <c r="E292" s="84"/>
      <c r="F292" s="84"/>
      <c r="AE292" s="84"/>
      <c r="AF292" s="84"/>
    </row>
    <row r="293" spans="5:32" ht="39.75" customHeight="1">
      <c r="E293" s="84"/>
      <c r="F293" s="84"/>
      <c r="AE293" s="84"/>
      <c r="AF293" s="84"/>
    </row>
    <row r="294" spans="5:32" ht="39.75" customHeight="1">
      <c r="E294" s="84"/>
      <c r="F294" s="84"/>
      <c r="AE294" s="84"/>
      <c r="AF294" s="84"/>
    </row>
    <row r="295" spans="5:32" ht="39.75" customHeight="1">
      <c r="E295" s="84"/>
      <c r="F295" s="84"/>
      <c r="AE295" s="84"/>
      <c r="AF295" s="84"/>
    </row>
    <row r="296" spans="5:32" ht="39.75" customHeight="1">
      <c r="E296" s="84"/>
      <c r="F296" s="84"/>
      <c r="AE296" s="84"/>
      <c r="AF296" s="84"/>
    </row>
    <row r="297" spans="5:32" ht="39.75" customHeight="1">
      <c r="E297" s="84"/>
      <c r="F297" s="84"/>
      <c r="AE297" s="84"/>
      <c r="AF297" s="84"/>
    </row>
    <row r="298" spans="5:32" ht="39.75" customHeight="1">
      <c r="E298" s="84"/>
      <c r="F298" s="84"/>
      <c r="AE298" s="84"/>
      <c r="AF298" s="84"/>
    </row>
    <row r="299" spans="5:32" ht="39.75" customHeight="1">
      <c r="E299" s="84"/>
      <c r="F299" s="84"/>
      <c r="AE299" s="84"/>
      <c r="AF299" s="84"/>
    </row>
    <row r="300" spans="5:32" ht="39.75" customHeight="1">
      <c r="E300" s="84"/>
      <c r="F300" s="84"/>
      <c r="AE300" s="84"/>
      <c r="AF300" s="84"/>
    </row>
    <row r="301" spans="5:32" ht="39.75" customHeight="1">
      <c r="E301" s="84"/>
      <c r="F301" s="84"/>
      <c r="AE301" s="84"/>
      <c r="AF301" s="84"/>
    </row>
    <row r="302" spans="5:32" ht="39.75" customHeight="1">
      <c r="E302" s="84"/>
      <c r="F302" s="84"/>
      <c r="AE302" s="84"/>
      <c r="AF302" s="84"/>
    </row>
    <row r="303" spans="5:32" ht="39.75" customHeight="1">
      <c r="E303" s="84"/>
      <c r="F303" s="84"/>
      <c r="AE303" s="84"/>
      <c r="AF303" s="84"/>
    </row>
    <row r="304" spans="5:32" ht="39.75" customHeight="1">
      <c r="E304" s="84"/>
      <c r="F304" s="84"/>
      <c r="AE304" s="84"/>
      <c r="AF304" s="84"/>
    </row>
    <row r="305" spans="5:32" ht="39.75" customHeight="1">
      <c r="E305" s="84"/>
      <c r="F305" s="84"/>
      <c r="AE305" s="84"/>
      <c r="AF305" s="84"/>
    </row>
    <row r="306" spans="5:32" ht="39.75" customHeight="1">
      <c r="E306" s="84"/>
      <c r="F306" s="84"/>
      <c r="AE306" s="84"/>
      <c r="AF306" s="84"/>
    </row>
    <row r="307" spans="5:32" ht="39.75" customHeight="1">
      <c r="E307" s="84"/>
      <c r="F307" s="84"/>
      <c r="AE307" s="84"/>
      <c r="AF307" s="84"/>
    </row>
    <row r="308" spans="5:32" ht="39.75" customHeight="1">
      <c r="E308" s="84"/>
      <c r="F308" s="84"/>
      <c r="AE308" s="84"/>
      <c r="AF308" s="84"/>
    </row>
    <row r="309" spans="5:32" ht="39.75" customHeight="1">
      <c r="E309" s="84"/>
      <c r="F309" s="84"/>
      <c r="AE309" s="84"/>
      <c r="AF309" s="84"/>
    </row>
    <row r="310" spans="5:32" ht="39.75" customHeight="1">
      <c r="E310" s="84"/>
      <c r="F310" s="84"/>
      <c r="AE310" s="84"/>
      <c r="AF310" s="84"/>
    </row>
    <row r="311" spans="5:32" ht="39.75" customHeight="1">
      <c r="E311" s="84"/>
      <c r="F311" s="84"/>
      <c r="AE311" s="84"/>
      <c r="AF311" s="84"/>
    </row>
    <row r="312" spans="5:32" ht="39.75" customHeight="1">
      <c r="E312" s="84"/>
      <c r="F312" s="84"/>
      <c r="AE312" s="84"/>
      <c r="AF312" s="84"/>
    </row>
    <row r="313" spans="5:32" ht="39.75" customHeight="1">
      <c r="E313" s="84"/>
      <c r="F313" s="84"/>
      <c r="AE313" s="84"/>
      <c r="AF313" s="84"/>
    </row>
    <row r="314" spans="5:32" ht="39.75" customHeight="1">
      <c r="E314" s="84"/>
      <c r="F314" s="84"/>
      <c r="AE314" s="84"/>
      <c r="AF314" s="84"/>
    </row>
    <row r="315" spans="5:32" ht="39.75" customHeight="1">
      <c r="E315" s="84"/>
      <c r="F315" s="84"/>
      <c r="AE315" s="84"/>
      <c r="AF315" s="84"/>
    </row>
    <row r="316" spans="5:32" ht="39.75" customHeight="1">
      <c r="E316" s="84"/>
      <c r="F316" s="84"/>
      <c r="AE316" s="84"/>
      <c r="AF316" s="84"/>
    </row>
    <row r="317" spans="5:32" ht="39.75" customHeight="1">
      <c r="E317" s="84"/>
      <c r="F317" s="84"/>
      <c r="AE317" s="84"/>
      <c r="AF317" s="84"/>
    </row>
    <row r="318" spans="5:32" ht="39.75" customHeight="1">
      <c r="E318" s="84"/>
      <c r="F318" s="84"/>
      <c r="AE318" s="84"/>
      <c r="AF318" s="84"/>
    </row>
    <row r="319" spans="5:32" ht="39.75" customHeight="1">
      <c r="E319" s="84"/>
      <c r="F319" s="84"/>
      <c r="AE319" s="84"/>
      <c r="AF319" s="84"/>
    </row>
    <row r="320" spans="5:32" ht="39.75" customHeight="1">
      <c r="E320" s="84"/>
      <c r="F320" s="84"/>
      <c r="AE320" s="84"/>
      <c r="AF320" s="84"/>
    </row>
    <row r="321" spans="5:32" ht="39.75" customHeight="1">
      <c r="E321" s="84"/>
      <c r="F321" s="84"/>
      <c r="AE321" s="84"/>
      <c r="AF321" s="84"/>
    </row>
    <row r="322" spans="5:32" ht="39.75" customHeight="1">
      <c r="E322" s="84"/>
      <c r="F322" s="84"/>
      <c r="AE322" s="84"/>
      <c r="AF322" s="84"/>
    </row>
    <row r="323" spans="5:32" ht="39.75" customHeight="1">
      <c r="E323" s="84"/>
      <c r="F323" s="84"/>
      <c r="AE323" s="84"/>
      <c r="AF323" s="84"/>
    </row>
    <row r="324" spans="5:32" ht="39.75" customHeight="1">
      <c r="E324" s="84"/>
      <c r="F324" s="84"/>
      <c r="AE324" s="84"/>
      <c r="AF324" s="84"/>
    </row>
    <row r="325" spans="5:32" ht="39.75" customHeight="1">
      <c r="E325" s="84"/>
      <c r="F325" s="84"/>
      <c r="AE325" s="84"/>
      <c r="AF325" s="84"/>
    </row>
    <row r="326" spans="5:32" ht="39.75" customHeight="1">
      <c r="E326" s="84"/>
      <c r="F326" s="84"/>
      <c r="AE326" s="84"/>
      <c r="AF326" s="84"/>
    </row>
    <row r="327" spans="5:32" ht="39.75" customHeight="1">
      <c r="E327" s="84"/>
      <c r="F327" s="84"/>
      <c r="AE327" s="84"/>
      <c r="AF327" s="84"/>
    </row>
    <row r="328" spans="5:32" ht="39.75" customHeight="1">
      <c r="E328" s="84"/>
      <c r="F328" s="84"/>
      <c r="AE328" s="84"/>
      <c r="AF328" s="84"/>
    </row>
    <row r="329" spans="5:32" ht="39.75" customHeight="1">
      <c r="E329" s="84"/>
      <c r="F329" s="84"/>
      <c r="AE329" s="84"/>
      <c r="AF329" s="84"/>
    </row>
    <row r="330" spans="5:32" ht="39.75" customHeight="1">
      <c r="E330" s="84"/>
      <c r="F330" s="84"/>
      <c r="AE330" s="84"/>
      <c r="AF330" s="84"/>
    </row>
    <row r="331" spans="5:32" ht="39.75" customHeight="1">
      <c r="E331" s="84"/>
      <c r="F331" s="84"/>
      <c r="AE331" s="84"/>
      <c r="AF331" s="84"/>
    </row>
    <row r="332" spans="5:32" ht="39.75" customHeight="1">
      <c r="E332" s="84"/>
      <c r="F332" s="84"/>
      <c r="AE332" s="84"/>
      <c r="AF332" s="84"/>
    </row>
    <row r="333" spans="5:32" ht="39.75" customHeight="1">
      <c r="E333" s="84"/>
      <c r="F333" s="84"/>
      <c r="AE333" s="84"/>
      <c r="AF333" s="84"/>
    </row>
    <row r="334" spans="5:32" ht="39.75" customHeight="1">
      <c r="E334" s="84"/>
      <c r="F334" s="84"/>
      <c r="AE334" s="84"/>
      <c r="AF334" s="84"/>
    </row>
    <row r="335" spans="5:32" ht="39.75" customHeight="1">
      <c r="E335" s="84"/>
      <c r="F335" s="84"/>
      <c r="AE335" s="84"/>
      <c r="AF335" s="84"/>
    </row>
    <row r="336" spans="5:32" ht="39.75" customHeight="1">
      <c r="E336" s="84"/>
      <c r="F336" s="84"/>
      <c r="AE336" s="84"/>
      <c r="AF336" s="84"/>
    </row>
    <row r="337" spans="5:32" ht="39.75" customHeight="1">
      <c r="E337" s="84"/>
      <c r="F337" s="84"/>
      <c r="AE337" s="84"/>
      <c r="AF337" s="84"/>
    </row>
    <row r="338" spans="5:32" ht="39.75" customHeight="1">
      <c r="E338" s="84"/>
      <c r="F338" s="84"/>
      <c r="AE338" s="84"/>
      <c r="AF338" s="84"/>
    </row>
    <row r="339" spans="5:32" ht="39.75" customHeight="1">
      <c r="E339" s="84"/>
      <c r="F339" s="84"/>
      <c r="AE339" s="84"/>
      <c r="AF339" s="84"/>
    </row>
    <row r="340" spans="5:32" ht="39.75" customHeight="1">
      <c r="E340" s="84"/>
      <c r="F340" s="84"/>
      <c r="AE340" s="84"/>
      <c r="AF340" s="84"/>
    </row>
    <row r="341" spans="5:32" ht="39.75" customHeight="1">
      <c r="E341" s="84"/>
      <c r="F341" s="84"/>
      <c r="AE341" s="84"/>
      <c r="AF341" s="84"/>
    </row>
    <row r="342" spans="5:32" ht="39.75" customHeight="1">
      <c r="E342" s="84"/>
      <c r="F342" s="84"/>
      <c r="AE342" s="84"/>
      <c r="AF342" s="84"/>
    </row>
    <row r="343" spans="5:32" ht="39.75" customHeight="1">
      <c r="E343" s="84"/>
      <c r="F343" s="84"/>
      <c r="AE343" s="84"/>
      <c r="AF343" s="84"/>
    </row>
    <row r="344" spans="5:32" ht="39.75" customHeight="1">
      <c r="E344" s="84"/>
      <c r="F344" s="84"/>
      <c r="AE344" s="84"/>
      <c r="AF344" s="84"/>
    </row>
    <row r="345" spans="5:32" ht="39.75" customHeight="1">
      <c r="E345" s="84"/>
      <c r="F345" s="84"/>
      <c r="AE345" s="84"/>
      <c r="AF345" s="84"/>
    </row>
    <row r="346" spans="5:32" ht="39.75" customHeight="1">
      <c r="E346" s="84"/>
      <c r="F346" s="84"/>
      <c r="AE346" s="84"/>
      <c r="AF346" s="84"/>
    </row>
    <row r="347" spans="5:32" ht="39.75" customHeight="1">
      <c r="E347" s="84"/>
      <c r="F347" s="84"/>
      <c r="AE347" s="84"/>
      <c r="AF347" s="84"/>
    </row>
    <row r="348" spans="5:32" ht="39.75" customHeight="1">
      <c r="E348" s="84"/>
      <c r="F348" s="84"/>
      <c r="AE348" s="84"/>
      <c r="AF348" s="84"/>
    </row>
    <row r="349" spans="5:32" ht="39.75" customHeight="1">
      <c r="E349" s="84"/>
      <c r="F349" s="84"/>
      <c r="AE349" s="84"/>
      <c r="AF349" s="84"/>
    </row>
    <row r="350" spans="5:32" ht="39.75" customHeight="1">
      <c r="E350" s="84"/>
      <c r="F350" s="84"/>
      <c r="AE350" s="84"/>
      <c r="AF350" s="84"/>
    </row>
    <row r="351" spans="5:32" ht="39.75" customHeight="1">
      <c r="E351" s="84"/>
      <c r="F351" s="84"/>
      <c r="AE351" s="84"/>
      <c r="AF351" s="84"/>
    </row>
    <row r="352" spans="5:32" ht="39.75" customHeight="1">
      <c r="E352" s="84"/>
      <c r="F352" s="84"/>
      <c r="AE352" s="84"/>
      <c r="AF352" s="84"/>
    </row>
    <row r="353" spans="5:32" ht="39.75" customHeight="1">
      <c r="E353" s="84"/>
      <c r="F353" s="84"/>
      <c r="AE353" s="84"/>
      <c r="AF353" s="84"/>
    </row>
    <row r="354" spans="5:32" ht="39.75" customHeight="1">
      <c r="E354" s="84"/>
      <c r="F354" s="84"/>
      <c r="AE354" s="84"/>
      <c r="AF354" s="84"/>
    </row>
    <row r="355" spans="5:32" ht="39.75" customHeight="1">
      <c r="E355" s="84"/>
      <c r="F355" s="84"/>
      <c r="AE355" s="84"/>
      <c r="AF355" s="84"/>
    </row>
    <row r="356" spans="5:32" ht="39.75" customHeight="1">
      <c r="E356" s="84"/>
      <c r="F356" s="84"/>
      <c r="AE356" s="84"/>
      <c r="AF356" s="84"/>
    </row>
    <row r="357" spans="5:32" ht="39.75" customHeight="1">
      <c r="E357" s="84"/>
      <c r="F357" s="84"/>
      <c r="AE357" s="84"/>
      <c r="AF357" s="84"/>
    </row>
    <row r="358" spans="5:32" ht="39.75" customHeight="1">
      <c r="E358" s="84"/>
      <c r="F358" s="84"/>
      <c r="AE358" s="84"/>
      <c r="AF358" s="84"/>
    </row>
    <row r="359" spans="5:32" ht="39.75" customHeight="1">
      <c r="E359" s="84"/>
      <c r="F359" s="84"/>
      <c r="AE359" s="84"/>
      <c r="AF359" s="84"/>
    </row>
    <row r="360" spans="5:32" ht="39.75" customHeight="1">
      <c r="E360" s="84"/>
      <c r="F360" s="84"/>
      <c r="AE360" s="84"/>
      <c r="AF360" s="84"/>
    </row>
    <row r="361" spans="5:32" ht="39.75" customHeight="1">
      <c r="E361" s="84"/>
      <c r="F361" s="84"/>
      <c r="AE361" s="84"/>
      <c r="AF361" s="84"/>
    </row>
    <row r="362" spans="5:32" ht="39.75" customHeight="1">
      <c r="E362" s="84"/>
      <c r="F362" s="84"/>
      <c r="AE362" s="84"/>
      <c r="AF362" s="84"/>
    </row>
    <row r="363" spans="5:32" ht="39.75" customHeight="1">
      <c r="E363" s="84"/>
      <c r="F363" s="84"/>
      <c r="AE363" s="84"/>
      <c r="AF363" s="84"/>
    </row>
    <row r="364" spans="5:32" ht="39.75" customHeight="1">
      <c r="E364" s="84"/>
      <c r="F364" s="84"/>
      <c r="AE364" s="84"/>
      <c r="AF364" s="84"/>
    </row>
    <row r="365" spans="5:32" ht="39.75" customHeight="1">
      <c r="E365" s="84"/>
      <c r="F365" s="84"/>
      <c r="AE365" s="84"/>
      <c r="AF365" s="84"/>
    </row>
    <row r="366" spans="5:32" ht="39.75" customHeight="1">
      <c r="E366" s="84"/>
      <c r="F366" s="84"/>
      <c r="AE366" s="84"/>
      <c r="AF366" s="84"/>
    </row>
    <row r="367" spans="5:32" ht="39.75" customHeight="1">
      <c r="E367" s="84"/>
      <c r="F367" s="84"/>
      <c r="AE367" s="84"/>
      <c r="AF367" s="84"/>
    </row>
    <row r="368" spans="5:32" ht="39.75" customHeight="1">
      <c r="E368" s="84"/>
      <c r="F368" s="84"/>
      <c r="AE368" s="84"/>
      <c r="AF368" s="84"/>
    </row>
    <row r="369" spans="5:32" ht="39.75" customHeight="1">
      <c r="E369" s="84"/>
      <c r="F369" s="84"/>
      <c r="AE369" s="84"/>
      <c r="AF369" s="84"/>
    </row>
    <row r="370" spans="5:32" ht="39.75" customHeight="1">
      <c r="E370" s="84"/>
      <c r="F370" s="84"/>
      <c r="AE370" s="84"/>
      <c r="AF370" s="84"/>
    </row>
    <row r="371" spans="5:32" ht="39.75" customHeight="1">
      <c r="E371" s="84"/>
      <c r="F371" s="84"/>
      <c r="AE371" s="84"/>
      <c r="AF371" s="84"/>
    </row>
    <row r="372" spans="5:32" ht="39.75" customHeight="1">
      <c r="E372" s="84"/>
      <c r="F372" s="84"/>
      <c r="AE372" s="84"/>
      <c r="AF372" s="84"/>
    </row>
    <row r="373" spans="5:32" ht="39.75" customHeight="1">
      <c r="E373" s="84"/>
      <c r="F373" s="84"/>
      <c r="AE373" s="84"/>
      <c r="AF373" s="84"/>
    </row>
    <row r="374" spans="5:32" ht="39.75" customHeight="1">
      <c r="E374" s="84"/>
      <c r="F374" s="84"/>
      <c r="AE374" s="84"/>
      <c r="AF374" s="84"/>
    </row>
    <row r="375" spans="5:32" ht="39.75" customHeight="1">
      <c r="E375" s="84"/>
      <c r="F375" s="84"/>
      <c r="AE375" s="84"/>
      <c r="AF375" s="84"/>
    </row>
    <row r="376" spans="5:32" ht="39.75" customHeight="1">
      <c r="E376" s="84"/>
      <c r="F376" s="84"/>
      <c r="AE376" s="84"/>
      <c r="AF376" s="84"/>
    </row>
    <row r="377" spans="5:32" ht="39.75" customHeight="1">
      <c r="E377" s="84"/>
      <c r="F377" s="84"/>
      <c r="AE377" s="84"/>
      <c r="AF377" s="84"/>
    </row>
    <row r="378" spans="5:32" ht="39.75" customHeight="1">
      <c r="E378" s="84"/>
      <c r="F378" s="84"/>
      <c r="AE378" s="84"/>
      <c r="AF378" s="84"/>
    </row>
    <row r="379" spans="5:32" ht="39.75" customHeight="1">
      <c r="E379" s="84"/>
      <c r="F379" s="84"/>
      <c r="AE379" s="84"/>
      <c r="AF379" s="84"/>
    </row>
    <row r="380" spans="5:32" ht="39.75" customHeight="1">
      <c r="E380" s="84"/>
      <c r="F380" s="84"/>
      <c r="AE380" s="84"/>
      <c r="AF380" s="84"/>
    </row>
    <row r="381" spans="5:32" ht="39.75" customHeight="1">
      <c r="E381" s="84"/>
      <c r="F381" s="84"/>
      <c r="AE381" s="84"/>
      <c r="AF381" s="84"/>
    </row>
    <row r="382" spans="5:32" ht="39.75" customHeight="1">
      <c r="E382" s="84"/>
      <c r="F382" s="84"/>
      <c r="AE382" s="84"/>
      <c r="AF382" s="84"/>
    </row>
    <row r="383" spans="5:32" ht="39.75" customHeight="1">
      <c r="E383" s="84"/>
      <c r="F383" s="84"/>
      <c r="AE383" s="84"/>
      <c r="AF383" s="84"/>
    </row>
    <row r="384" spans="5:32" ht="39.75" customHeight="1">
      <c r="E384" s="84"/>
      <c r="F384" s="84"/>
      <c r="AE384" s="84"/>
      <c r="AF384" s="84"/>
    </row>
    <row r="385" spans="5:32" ht="39.75" customHeight="1">
      <c r="E385" s="84"/>
      <c r="F385" s="84"/>
      <c r="AE385" s="84"/>
      <c r="AF385" s="84"/>
    </row>
    <row r="386" spans="5:32" ht="39.75" customHeight="1">
      <c r="E386" s="84"/>
      <c r="F386" s="84"/>
      <c r="AE386" s="84"/>
      <c r="AF386" s="84"/>
    </row>
    <row r="387" spans="5:32" ht="39.75" customHeight="1">
      <c r="E387" s="84"/>
      <c r="F387" s="84"/>
      <c r="AE387" s="84"/>
      <c r="AF387" s="84"/>
    </row>
    <row r="388" spans="5:32" ht="39.75" customHeight="1">
      <c r="E388" s="84"/>
      <c r="F388" s="84"/>
      <c r="AE388" s="84"/>
      <c r="AF388" s="84"/>
    </row>
    <row r="389" spans="5:32" ht="39.75" customHeight="1">
      <c r="E389" s="84"/>
      <c r="F389" s="84"/>
      <c r="AE389" s="84"/>
      <c r="AF389" s="84"/>
    </row>
    <row r="390" spans="5:32" ht="39.75" customHeight="1">
      <c r="E390" s="84"/>
      <c r="F390" s="84"/>
      <c r="AE390" s="84"/>
      <c r="AF390" s="84"/>
    </row>
    <row r="391" spans="5:32" ht="39.75" customHeight="1">
      <c r="E391" s="84"/>
      <c r="F391" s="84"/>
      <c r="AE391" s="84"/>
      <c r="AF391" s="84"/>
    </row>
    <row r="392" spans="5:32" ht="39.75" customHeight="1">
      <c r="E392" s="84"/>
      <c r="F392" s="84"/>
      <c r="AE392" s="84"/>
      <c r="AF392" s="84"/>
    </row>
    <row r="393" spans="5:32" ht="39.75" customHeight="1">
      <c r="E393" s="84"/>
      <c r="F393" s="84"/>
      <c r="AE393" s="84"/>
      <c r="AF393" s="84"/>
    </row>
    <row r="394" spans="5:32" ht="39.75" customHeight="1">
      <c r="E394" s="84"/>
      <c r="F394" s="84"/>
      <c r="AE394" s="84"/>
      <c r="AF394" s="84"/>
    </row>
    <row r="395" spans="5:32" ht="39.75" customHeight="1">
      <c r="E395" s="84"/>
      <c r="F395" s="84"/>
      <c r="AE395" s="84"/>
      <c r="AF395" s="84"/>
    </row>
    <row r="396" spans="5:32" ht="39.75" customHeight="1">
      <c r="E396" s="84"/>
      <c r="F396" s="84"/>
      <c r="AE396" s="84"/>
      <c r="AF396" s="84"/>
    </row>
    <row r="397" spans="5:32" ht="39.75" customHeight="1">
      <c r="E397" s="84"/>
      <c r="F397" s="84"/>
      <c r="AE397" s="84"/>
      <c r="AF397" s="84"/>
    </row>
    <row r="398" spans="5:32" ht="39.75" customHeight="1">
      <c r="E398" s="84"/>
      <c r="F398" s="84"/>
      <c r="AE398" s="84"/>
      <c r="AF398" s="84"/>
    </row>
    <row r="399" spans="5:32" ht="39.75" customHeight="1">
      <c r="E399" s="84"/>
      <c r="F399" s="84"/>
      <c r="AE399" s="84"/>
      <c r="AF399" s="84"/>
    </row>
    <row r="400" spans="5:32" ht="39.75" customHeight="1">
      <c r="E400" s="84"/>
      <c r="F400" s="84"/>
      <c r="AE400" s="84"/>
      <c r="AF400" s="84"/>
    </row>
    <row r="401" spans="5:32" ht="39.75" customHeight="1">
      <c r="E401" s="84"/>
      <c r="F401" s="84"/>
      <c r="AE401" s="84"/>
      <c r="AF401" s="84"/>
    </row>
    <row r="402" spans="5:32" ht="39.75" customHeight="1">
      <c r="E402" s="84"/>
      <c r="F402" s="84"/>
      <c r="AE402" s="84"/>
      <c r="AF402" s="84"/>
    </row>
    <row r="403" spans="5:32" ht="39.75" customHeight="1">
      <c r="E403" s="84"/>
      <c r="F403" s="84"/>
      <c r="AE403" s="84"/>
      <c r="AF403" s="84"/>
    </row>
    <row r="404" spans="5:32" ht="39.75" customHeight="1">
      <c r="E404" s="84"/>
      <c r="F404" s="84"/>
      <c r="AE404" s="84"/>
      <c r="AF404" s="84"/>
    </row>
    <row r="405" spans="5:32" ht="39.75" customHeight="1">
      <c r="E405" s="84"/>
      <c r="F405" s="84"/>
      <c r="AE405" s="84"/>
      <c r="AF405" s="84"/>
    </row>
    <row r="406" spans="5:32" ht="39.75" customHeight="1">
      <c r="E406" s="84"/>
      <c r="F406" s="84"/>
      <c r="AE406" s="84"/>
      <c r="AF406" s="84"/>
    </row>
    <row r="407" spans="5:32" ht="39.75" customHeight="1">
      <c r="E407" s="84"/>
      <c r="F407" s="84"/>
      <c r="AE407" s="84"/>
      <c r="AF407" s="84"/>
    </row>
    <row r="408" spans="5:32" ht="39.75" customHeight="1">
      <c r="E408" s="84"/>
      <c r="F408" s="84"/>
      <c r="AE408" s="84"/>
      <c r="AF408" s="84"/>
    </row>
    <row r="409" spans="5:32" ht="39.75" customHeight="1">
      <c r="E409" s="84"/>
      <c r="F409" s="84"/>
      <c r="AE409" s="84"/>
      <c r="AF409" s="84"/>
    </row>
    <row r="410" spans="5:32" ht="39.75" customHeight="1">
      <c r="E410" s="84"/>
      <c r="F410" s="84"/>
      <c r="AE410" s="84"/>
      <c r="AF410" s="84"/>
    </row>
    <row r="411" spans="5:32" ht="39.75" customHeight="1">
      <c r="E411" s="84"/>
      <c r="F411" s="84"/>
      <c r="AE411" s="84"/>
      <c r="AF411" s="84"/>
    </row>
    <row r="412" spans="5:32" ht="39.75" customHeight="1">
      <c r="E412" s="84"/>
      <c r="F412" s="84"/>
      <c r="AE412" s="84"/>
      <c r="AF412" s="84"/>
    </row>
    <row r="413" spans="5:32" ht="39.75" customHeight="1">
      <c r="E413" s="84"/>
      <c r="F413" s="84"/>
      <c r="AE413" s="84"/>
      <c r="AF413" s="84"/>
    </row>
    <row r="414" spans="5:32" ht="39.75" customHeight="1">
      <c r="E414" s="84"/>
      <c r="F414" s="84"/>
      <c r="AE414" s="84"/>
      <c r="AF414" s="84"/>
    </row>
    <row r="415" spans="5:32" ht="39.75" customHeight="1">
      <c r="E415" s="84"/>
      <c r="F415" s="84"/>
      <c r="AE415" s="84"/>
      <c r="AF415" s="84"/>
    </row>
    <row r="416" spans="5:32" ht="39.75" customHeight="1">
      <c r="E416" s="84"/>
      <c r="F416" s="84"/>
      <c r="AE416" s="84"/>
      <c r="AF416" s="84"/>
    </row>
    <row r="417" spans="5:32" ht="39.75" customHeight="1">
      <c r="E417" s="84"/>
      <c r="F417" s="84"/>
      <c r="AE417" s="84"/>
      <c r="AF417" s="84"/>
    </row>
    <row r="418" spans="5:32" ht="39.75" customHeight="1">
      <c r="E418" s="84"/>
      <c r="F418" s="84"/>
      <c r="AE418" s="84"/>
      <c r="AF418" s="84"/>
    </row>
    <row r="419" spans="5:32" ht="39.75" customHeight="1">
      <c r="E419" s="84"/>
      <c r="F419" s="84"/>
      <c r="AE419" s="84"/>
      <c r="AF419" s="84"/>
    </row>
    <row r="420" spans="5:32" ht="39.75" customHeight="1">
      <c r="E420" s="84"/>
      <c r="F420" s="84"/>
      <c r="AE420" s="84"/>
      <c r="AF420" s="84"/>
    </row>
    <row r="421" spans="5:32" ht="39.75" customHeight="1">
      <c r="E421" s="84"/>
      <c r="F421" s="84"/>
      <c r="AE421" s="84"/>
      <c r="AF421" s="84"/>
    </row>
    <row r="422" spans="5:32" ht="39.75" customHeight="1">
      <c r="E422" s="84"/>
      <c r="F422" s="84"/>
      <c r="AE422" s="84"/>
      <c r="AF422" s="84"/>
    </row>
    <row r="423" spans="5:32" ht="39.75" customHeight="1">
      <c r="E423" s="84"/>
      <c r="F423" s="84"/>
      <c r="AE423" s="84"/>
      <c r="AF423" s="84"/>
    </row>
    <row r="424" spans="5:32" ht="39.75" customHeight="1">
      <c r="E424" s="84"/>
      <c r="F424" s="84"/>
      <c r="AE424" s="84"/>
      <c r="AF424" s="84"/>
    </row>
    <row r="425" spans="5:32" ht="39.75" customHeight="1">
      <c r="E425" s="84"/>
      <c r="F425" s="84"/>
      <c r="AE425" s="84"/>
      <c r="AF425" s="84"/>
    </row>
    <row r="426" spans="5:32" ht="39.75" customHeight="1">
      <c r="E426" s="84"/>
      <c r="F426" s="84"/>
      <c r="AE426" s="84"/>
      <c r="AF426" s="84"/>
    </row>
    <row r="427" spans="5:32" ht="39.75" customHeight="1">
      <c r="E427" s="84"/>
      <c r="F427" s="84"/>
      <c r="AE427" s="84"/>
      <c r="AF427" s="84"/>
    </row>
    <row r="428" spans="5:32" ht="39.75" customHeight="1">
      <c r="E428" s="84"/>
      <c r="F428" s="84"/>
      <c r="AE428" s="84"/>
      <c r="AF428" s="84"/>
    </row>
    <row r="429" spans="5:32" ht="39.75" customHeight="1">
      <c r="E429" s="84"/>
      <c r="F429" s="84"/>
      <c r="AE429" s="84"/>
      <c r="AF429" s="84"/>
    </row>
    <row r="430" spans="5:32" ht="39.75" customHeight="1">
      <c r="E430" s="84"/>
      <c r="F430" s="84"/>
      <c r="AE430" s="84"/>
      <c r="AF430" s="84"/>
    </row>
    <row r="431" spans="5:32" ht="39.75" customHeight="1">
      <c r="E431" s="84"/>
      <c r="F431" s="84"/>
      <c r="AE431" s="84"/>
      <c r="AF431" s="84"/>
    </row>
    <row r="432" spans="5:32" ht="39.75" customHeight="1">
      <c r="E432" s="84"/>
      <c r="F432" s="84"/>
      <c r="AE432" s="84"/>
      <c r="AF432" s="84"/>
    </row>
    <row r="433" spans="5:32" ht="39.75" customHeight="1">
      <c r="E433" s="84"/>
      <c r="F433" s="84"/>
      <c r="AE433" s="84"/>
      <c r="AF433" s="84"/>
    </row>
    <row r="434" spans="5:32" ht="39.75" customHeight="1">
      <c r="E434" s="84"/>
      <c r="F434" s="84"/>
      <c r="AE434" s="84"/>
      <c r="AF434" s="84"/>
    </row>
    <row r="435" spans="5:32" ht="39.75" customHeight="1">
      <c r="E435" s="84"/>
      <c r="F435" s="84"/>
      <c r="AE435" s="84"/>
      <c r="AF435" s="84"/>
    </row>
    <row r="436" spans="5:32" ht="39.75" customHeight="1">
      <c r="E436" s="84"/>
      <c r="F436" s="84"/>
      <c r="AE436" s="84"/>
      <c r="AF436" s="84"/>
    </row>
    <row r="437" spans="5:32" ht="39.75" customHeight="1">
      <c r="E437" s="84"/>
      <c r="F437" s="84"/>
      <c r="AE437" s="84"/>
      <c r="AF437" s="84"/>
    </row>
    <row r="438" spans="5:32" ht="39.75" customHeight="1">
      <c r="E438" s="84"/>
      <c r="F438" s="84"/>
      <c r="AE438" s="84"/>
      <c r="AF438" s="84"/>
    </row>
    <row r="439" spans="5:32" ht="39.75" customHeight="1">
      <c r="E439" s="84"/>
      <c r="F439" s="84"/>
      <c r="AE439" s="84"/>
      <c r="AF439" s="84"/>
    </row>
    <row r="440" spans="5:32" ht="39.75" customHeight="1">
      <c r="E440" s="84"/>
      <c r="F440" s="84"/>
      <c r="AE440" s="84"/>
      <c r="AF440" s="84"/>
    </row>
    <row r="441" spans="5:32" ht="39.75" customHeight="1">
      <c r="E441" s="84"/>
      <c r="F441" s="84"/>
      <c r="AE441" s="84"/>
      <c r="AF441" s="84"/>
    </row>
    <row r="442" spans="5:32" ht="39.75" customHeight="1">
      <c r="E442" s="84"/>
      <c r="F442" s="84"/>
      <c r="AE442" s="84"/>
      <c r="AF442" s="84"/>
    </row>
    <row r="443" spans="5:32" ht="39.75" customHeight="1">
      <c r="E443" s="84"/>
      <c r="F443" s="84"/>
      <c r="AE443" s="84"/>
      <c r="AF443" s="84"/>
    </row>
    <row r="444" spans="5:32" ht="39.75" customHeight="1">
      <c r="E444" s="84"/>
      <c r="F444" s="84"/>
      <c r="AE444" s="84"/>
      <c r="AF444" s="84"/>
    </row>
    <row r="445" spans="5:32" ht="39.75" customHeight="1">
      <c r="E445" s="84"/>
      <c r="F445" s="84"/>
      <c r="AE445" s="84"/>
      <c r="AF445" s="84"/>
    </row>
    <row r="446" spans="5:32" ht="39.75" customHeight="1">
      <c r="E446" s="84"/>
      <c r="F446" s="84"/>
      <c r="AE446" s="84"/>
      <c r="AF446" s="84"/>
    </row>
    <row r="447" spans="5:32" ht="39.75" customHeight="1">
      <c r="E447" s="84"/>
      <c r="F447" s="84"/>
      <c r="AE447" s="84"/>
      <c r="AF447" s="84"/>
    </row>
    <row r="448" spans="5:32" ht="39.75" customHeight="1">
      <c r="E448" s="84"/>
      <c r="F448" s="84"/>
      <c r="AE448" s="84"/>
      <c r="AF448" s="84"/>
    </row>
    <row r="449" spans="5:32" ht="39.75" customHeight="1">
      <c r="E449" s="84"/>
      <c r="F449" s="84"/>
      <c r="AE449" s="84"/>
      <c r="AF449" s="84"/>
    </row>
    <row r="450" spans="5:32" ht="39.75" customHeight="1">
      <c r="E450" s="84"/>
      <c r="F450" s="84"/>
      <c r="AE450" s="84"/>
      <c r="AF450" s="84"/>
    </row>
    <row r="451" spans="5:32" ht="39.75" customHeight="1">
      <c r="E451" s="84"/>
      <c r="F451" s="84"/>
      <c r="AE451" s="84"/>
      <c r="AF451" s="84"/>
    </row>
    <row r="452" spans="5:32" ht="39.75" customHeight="1">
      <c r="E452" s="84"/>
      <c r="F452" s="84"/>
      <c r="AE452" s="84"/>
      <c r="AF452" s="84"/>
    </row>
    <row r="453" spans="5:32" ht="39.75" customHeight="1">
      <c r="E453" s="84"/>
      <c r="F453" s="84"/>
      <c r="AE453" s="84"/>
      <c r="AF453" s="84"/>
    </row>
    <row r="454" spans="5:32" ht="39.75" customHeight="1">
      <c r="E454" s="84"/>
      <c r="F454" s="84"/>
      <c r="AE454" s="84"/>
      <c r="AF454" s="84"/>
    </row>
    <row r="455" spans="5:32" ht="39.75" customHeight="1">
      <c r="E455" s="84"/>
      <c r="F455" s="84"/>
      <c r="AE455" s="84"/>
      <c r="AF455" s="84"/>
    </row>
    <row r="456" spans="5:32" ht="39.75" customHeight="1">
      <c r="E456" s="84"/>
      <c r="F456" s="84"/>
      <c r="AE456" s="84"/>
      <c r="AF456" s="84"/>
    </row>
    <row r="457" spans="5:32" ht="39.75" customHeight="1">
      <c r="E457" s="84"/>
      <c r="F457" s="84"/>
      <c r="AE457" s="84"/>
      <c r="AF457" s="84"/>
    </row>
    <row r="458" spans="5:32" ht="39.75" customHeight="1">
      <c r="E458" s="84"/>
      <c r="F458" s="84"/>
      <c r="AE458" s="84"/>
      <c r="AF458" s="84"/>
    </row>
    <row r="459" spans="5:32" ht="39.75" customHeight="1">
      <c r="E459" s="84"/>
      <c r="F459" s="84"/>
      <c r="AE459" s="84"/>
      <c r="AF459" s="84"/>
    </row>
    <row r="460" spans="5:32" ht="39.75" customHeight="1">
      <c r="E460" s="84"/>
      <c r="F460" s="84"/>
      <c r="AE460" s="84"/>
      <c r="AF460" s="84"/>
    </row>
    <row r="461" spans="5:32" ht="39.75" customHeight="1">
      <c r="E461" s="84"/>
      <c r="F461" s="84"/>
      <c r="AE461" s="84"/>
      <c r="AF461" s="84"/>
    </row>
    <row r="462" spans="5:32" ht="39.75" customHeight="1">
      <c r="E462" s="84"/>
      <c r="F462" s="84"/>
      <c r="AE462" s="84"/>
      <c r="AF462" s="84"/>
    </row>
    <row r="463" spans="5:32" ht="39.75" customHeight="1">
      <c r="E463" s="84"/>
      <c r="F463" s="84"/>
      <c r="AE463" s="84"/>
      <c r="AF463" s="84"/>
    </row>
    <row r="464" spans="5:32" ht="39.75" customHeight="1">
      <c r="E464" s="84"/>
      <c r="F464" s="84"/>
      <c r="AE464" s="84"/>
      <c r="AF464" s="84"/>
    </row>
    <row r="465" spans="5:32" ht="39.75" customHeight="1">
      <c r="E465" s="84"/>
      <c r="F465" s="84"/>
      <c r="AE465" s="84"/>
      <c r="AF465" s="84"/>
    </row>
    <row r="466" spans="5:32" ht="39.75" customHeight="1">
      <c r="E466" s="84"/>
      <c r="F466" s="84"/>
      <c r="AE466" s="84"/>
      <c r="AF466" s="84"/>
    </row>
    <row r="467" spans="5:32" ht="39.75" customHeight="1">
      <c r="E467" s="84"/>
      <c r="F467" s="84"/>
      <c r="AE467" s="84"/>
      <c r="AF467" s="84"/>
    </row>
    <row r="468" spans="5:32" ht="39.75" customHeight="1">
      <c r="E468" s="84"/>
      <c r="F468" s="84"/>
      <c r="AE468" s="84"/>
      <c r="AF468" s="84"/>
    </row>
    <row r="469" spans="5:32" ht="39.75" customHeight="1">
      <c r="E469" s="84"/>
      <c r="F469" s="84"/>
      <c r="AE469" s="84"/>
      <c r="AF469" s="84"/>
    </row>
    <row r="470" spans="5:32" ht="39.75" customHeight="1">
      <c r="E470" s="84"/>
      <c r="F470" s="84"/>
      <c r="AE470" s="84"/>
      <c r="AF470" s="84"/>
    </row>
    <row r="471" spans="5:32" ht="39.75" customHeight="1">
      <c r="E471" s="84"/>
      <c r="F471" s="84"/>
      <c r="AE471" s="84"/>
      <c r="AF471" s="84"/>
    </row>
    <row r="472" spans="5:32" ht="39.75" customHeight="1">
      <c r="E472" s="84"/>
      <c r="F472" s="84"/>
      <c r="AE472" s="84"/>
      <c r="AF472" s="84"/>
    </row>
    <row r="473" spans="5:32" ht="39.75" customHeight="1">
      <c r="E473" s="84"/>
      <c r="F473" s="84"/>
      <c r="AE473" s="84"/>
      <c r="AF473" s="84"/>
    </row>
    <row r="474" spans="5:32" ht="39.75" customHeight="1">
      <c r="E474" s="84"/>
      <c r="F474" s="84"/>
      <c r="AE474" s="84"/>
      <c r="AF474" s="84"/>
    </row>
    <row r="475" spans="5:32" ht="39.75" customHeight="1">
      <c r="E475" s="84"/>
      <c r="F475" s="84"/>
      <c r="AE475" s="84"/>
      <c r="AF475" s="84"/>
    </row>
    <row r="476" spans="5:32" ht="39.75" customHeight="1">
      <c r="E476" s="84"/>
      <c r="F476" s="84"/>
      <c r="AE476" s="84"/>
      <c r="AF476" s="84"/>
    </row>
    <row r="477" spans="5:32" ht="39.75" customHeight="1">
      <c r="E477" s="84"/>
      <c r="F477" s="84"/>
      <c r="AE477" s="84"/>
      <c r="AF477" s="84"/>
    </row>
    <row r="478" spans="5:32" ht="39.75" customHeight="1">
      <c r="E478" s="84"/>
      <c r="F478" s="84"/>
      <c r="AE478" s="84"/>
      <c r="AF478" s="84"/>
    </row>
    <row r="479" spans="5:32" ht="39.75" customHeight="1">
      <c r="E479" s="84"/>
      <c r="F479" s="84"/>
      <c r="AE479" s="84"/>
      <c r="AF479" s="84"/>
    </row>
    <row r="480" spans="5:32" ht="39.75" customHeight="1">
      <c r="E480" s="84"/>
      <c r="F480" s="84"/>
      <c r="AE480" s="84"/>
      <c r="AF480" s="84"/>
    </row>
    <row r="481" spans="5:32" ht="39.75" customHeight="1">
      <c r="E481" s="84"/>
      <c r="F481" s="84"/>
      <c r="AE481" s="84"/>
      <c r="AF481" s="84"/>
    </row>
    <row r="482" spans="5:32" ht="39.75" customHeight="1">
      <c r="E482" s="84"/>
      <c r="F482" s="84"/>
      <c r="AE482" s="84"/>
      <c r="AF482" s="84"/>
    </row>
    <row r="483" spans="5:32" ht="39.75" customHeight="1">
      <c r="E483" s="84"/>
      <c r="F483" s="84"/>
      <c r="AE483" s="84"/>
      <c r="AF483" s="84"/>
    </row>
    <row r="484" spans="5:32" ht="39.75" customHeight="1">
      <c r="E484" s="84"/>
      <c r="F484" s="84"/>
      <c r="AE484" s="84"/>
      <c r="AF484" s="84"/>
    </row>
    <row r="485" spans="5:32" ht="39.75" customHeight="1">
      <c r="E485" s="84"/>
      <c r="F485" s="84"/>
      <c r="AE485" s="84"/>
      <c r="AF485" s="84"/>
    </row>
    <row r="486" spans="5:32" ht="39.75" customHeight="1">
      <c r="E486" s="84"/>
      <c r="F486" s="84"/>
      <c r="AE486" s="84"/>
      <c r="AF486" s="84"/>
    </row>
    <row r="487" spans="5:32" ht="39.75" customHeight="1">
      <c r="E487" s="84"/>
      <c r="F487" s="84"/>
      <c r="AE487" s="84"/>
      <c r="AF487" s="84"/>
    </row>
    <row r="488" spans="5:32" ht="39.75" customHeight="1">
      <c r="E488" s="84"/>
      <c r="F488" s="84"/>
      <c r="AE488" s="84"/>
      <c r="AF488" s="84"/>
    </row>
    <row r="489" spans="5:32" ht="39.75" customHeight="1">
      <c r="E489" s="84"/>
      <c r="F489" s="84"/>
      <c r="AE489" s="84"/>
      <c r="AF489" s="84"/>
    </row>
    <row r="490" spans="5:32" ht="39.75" customHeight="1">
      <c r="E490" s="84"/>
      <c r="F490" s="84"/>
      <c r="AE490" s="84"/>
      <c r="AF490" s="84"/>
    </row>
    <row r="491" spans="5:32" ht="39.75" customHeight="1">
      <c r="E491" s="84"/>
      <c r="F491" s="84"/>
      <c r="AE491" s="84"/>
      <c r="AF491" s="84"/>
    </row>
    <row r="492" spans="5:32" ht="39.75" customHeight="1">
      <c r="E492" s="84"/>
      <c r="F492" s="84"/>
      <c r="AE492" s="84"/>
      <c r="AF492" s="84"/>
    </row>
    <row r="493" spans="5:32" ht="39.75" customHeight="1">
      <c r="E493" s="84"/>
      <c r="F493" s="84"/>
      <c r="AE493" s="84"/>
      <c r="AF493" s="84"/>
    </row>
    <row r="494" spans="5:32" ht="39.75" customHeight="1">
      <c r="E494" s="84"/>
      <c r="F494" s="84"/>
      <c r="AE494" s="84"/>
      <c r="AF494" s="84"/>
    </row>
    <row r="495" spans="5:32" ht="39.75" customHeight="1">
      <c r="E495" s="84"/>
      <c r="F495" s="84"/>
      <c r="AE495" s="84"/>
      <c r="AF495" s="84"/>
    </row>
    <row r="496" spans="5:32" ht="39.75" customHeight="1">
      <c r="E496" s="84"/>
      <c r="F496" s="84"/>
      <c r="AE496" s="84"/>
      <c r="AF496" s="84"/>
    </row>
    <row r="497" spans="5:32" ht="39.75" customHeight="1">
      <c r="E497" s="84"/>
      <c r="F497" s="84"/>
      <c r="AE497" s="84"/>
      <c r="AF497" s="84"/>
    </row>
    <row r="498" spans="5:32" ht="39.75" customHeight="1">
      <c r="E498" s="84"/>
      <c r="F498" s="84"/>
      <c r="AE498" s="84"/>
      <c r="AF498" s="84"/>
    </row>
    <row r="499" spans="5:32" ht="39.75" customHeight="1">
      <c r="E499" s="84"/>
      <c r="F499" s="84"/>
      <c r="AE499" s="84"/>
      <c r="AF499" s="84"/>
    </row>
    <row r="500" spans="5:32" ht="39.75" customHeight="1">
      <c r="E500" s="84"/>
      <c r="F500" s="84"/>
      <c r="AE500" s="84"/>
      <c r="AF500" s="84"/>
    </row>
    <row r="501" spans="5:32" ht="39.75" customHeight="1">
      <c r="E501" s="84"/>
      <c r="F501" s="84"/>
      <c r="AE501" s="84"/>
      <c r="AF501" s="84"/>
    </row>
    <row r="502" spans="5:32" ht="39.75" customHeight="1">
      <c r="E502" s="84"/>
      <c r="F502" s="84"/>
      <c r="AE502" s="84"/>
      <c r="AF502" s="84"/>
    </row>
    <row r="503" spans="5:32" ht="39.75" customHeight="1">
      <c r="E503" s="84"/>
      <c r="F503" s="84"/>
      <c r="AE503" s="84"/>
      <c r="AF503" s="84"/>
    </row>
    <row r="504" spans="5:32" ht="39.75" customHeight="1">
      <c r="E504" s="84"/>
      <c r="F504" s="84"/>
      <c r="AE504" s="84"/>
      <c r="AF504" s="84"/>
    </row>
    <row r="505" spans="5:32" ht="39.75" customHeight="1">
      <c r="E505" s="84"/>
      <c r="F505" s="84"/>
      <c r="AE505" s="84"/>
      <c r="AF505" s="84"/>
    </row>
    <row r="506" spans="5:32" ht="39.75" customHeight="1">
      <c r="E506" s="84"/>
      <c r="F506" s="84"/>
      <c r="AE506" s="84"/>
      <c r="AF506" s="84"/>
    </row>
    <row r="507" spans="5:32" ht="39.75" customHeight="1">
      <c r="E507" s="84"/>
      <c r="F507" s="84"/>
      <c r="AE507" s="84"/>
      <c r="AF507" s="84"/>
    </row>
    <row r="508" spans="5:32" ht="39.75" customHeight="1">
      <c r="E508" s="84"/>
      <c r="F508" s="84"/>
      <c r="AE508" s="84"/>
      <c r="AF508" s="84"/>
    </row>
    <row r="509" spans="5:32" ht="39.75" customHeight="1">
      <c r="E509" s="84"/>
      <c r="F509" s="84"/>
      <c r="AE509" s="84"/>
      <c r="AF509" s="84"/>
    </row>
    <row r="510" spans="5:32" ht="39.75" customHeight="1">
      <c r="E510" s="84"/>
      <c r="F510" s="84"/>
      <c r="AE510" s="84"/>
      <c r="AF510" s="84"/>
    </row>
    <row r="511" spans="5:32" ht="39.75" customHeight="1">
      <c r="E511" s="84"/>
      <c r="F511" s="84"/>
      <c r="AE511" s="84"/>
      <c r="AF511" s="84"/>
    </row>
    <row r="512" spans="5:32" ht="39.75" customHeight="1">
      <c r="E512" s="84"/>
      <c r="F512" s="84"/>
      <c r="AE512" s="84"/>
      <c r="AF512" s="84"/>
    </row>
    <row r="513" spans="5:32" ht="39.75" customHeight="1">
      <c r="E513" s="84"/>
      <c r="F513" s="84"/>
      <c r="AE513" s="84"/>
      <c r="AF513" s="84"/>
    </row>
    <row r="514" spans="5:32" ht="39.75" customHeight="1">
      <c r="E514" s="84"/>
      <c r="F514" s="84"/>
      <c r="AE514" s="84"/>
      <c r="AF514" s="84"/>
    </row>
    <row r="515" spans="5:32" ht="39.75" customHeight="1">
      <c r="E515" s="84"/>
      <c r="F515" s="84"/>
      <c r="AE515" s="84"/>
      <c r="AF515" s="84"/>
    </row>
    <row r="516" spans="5:32" ht="39.75" customHeight="1">
      <c r="E516" s="84"/>
      <c r="F516" s="84"/>
      <c r="AE516" s="84"/>
      <c r="AF516" s="84"/>
    </row>
    <row r="517" spans="5:32" ht="39.75" customHeight="1">
      <c r="E517" s="84"/>
      <c r="F517" s="84"/>
      <c r="AE517" s="84"/>
      <c r="AF517" s="84"/>
    </row>
    <row r="518" spans="5:32" ht="39.75" customHeight="1">
      <c r="E518" s="84"/>
      <c r="F518" s="84"/>
      <c r="AE518" s="84"/>
      <c r="AF518" s="84"/>
    </row>
    <row r="519" spans="5:32" ht="39.75" customHeight="1">
      <c r="E519" s="84"/>
      <c r="F519" s="84"/>
      <c r="AE519" s="84"/>
      <c r="AF519" s="84"/>
    </row>
    <row r="520" spans="5:32" ht="39.75" customHeight="1">
      <c r="E520" s="84"/>
      <c r="F520" s="84"/>
      <c r="AE520" s="84"/>
      <c r="AF520" s="84"/>
    </row>
    <row r="521" spans="5:32" ht="39.75" customHeight="1">
      <c r="E521" s="84"/>
      <c r="F521" s="84"/>
      <c r="AE521" s="84"/>
      <c r="AF521" s="84"/>
    </row>
    <row r="522" spans="5:32" ht="39.75" customHeight="1">
      <c r="E522" s="84"/>
      <c r="F522" s="84"/>
      <c r="AE522" s="84"/>
      <c r="AF522" s="84"/>
    </row>
    <row r="523" spans="5:32" ht="39.75" customHeight="1">
      <c r="E523" s="84"/>
      <c r="F523" s="84"/>
      <c r="AE523" s="84"/>
      <c r="AF523" s="84"/>
    </row>
    <row r="524" spans="5:32" ht="39.75" customHeight="1">
      <c r="E524" s="84"/>
      <c r="F524" s="84"/>
      <c r="AE524" s="84"/>
      <c r="AF524" s="84"/>
    </row>
    <row r="525" spans="5:32" ht="39.75" customHeight="1">
      <c r="E525" s="84"/>
      <c r="F525" s="84"/>
      <c r="AE525" s="84"/>
      <c r="AF525" s="84"/>
    </row>
    <row r="526" spans="5:32" ht="39.75" customHeight="1">
      <c r="E526" s="84"/>
      <c r="F526" s="84"/>
      <c r="AE526" s="84"/>
      <c r="AF526" s="84"/>
    </row>
    <row r="527" spans="5:32" ht="39.75" customHeight="1">
      <c r="E527" s="84"/>
      <c r="F527" s="84"/>
      <c r="AE527" s="84"/>
      <c r="AF527" s="84"/>
    </row>
    <row r="528" spans="5:32" ht="39.75" customHeight="1">
      <c r="E528" s="84"/>
      <c r="F528" s="84"/>
      <c r="AE528" s="84"/>
      <c r="AF528" s="84"/>
    </row>
    <row r="529" spans="5:32" ht="39.75" customHeight="1">
      <c r="E529" s="84"/>
      <c r="F529" s="84"/>
      <c r="AE529" s="84"/>
      <c r="AF529" s="84"/>
    </row>
    <row r="530" spans="5:32" ht="39.75" customHeight="1">
      <c r="E530" s="84"/>
      <c r="F530" s="84"/>
      <c r="AE530" s="84"/>
      <c r="AF530" s="84"/>
    </row>
    <row r="531" spans="5:32" ht="39.75" customHeight="1">
      <c r="E531" s="84"/>
      <c r="F531" s="84"/>
      <c r="AE531" s="84"/>
      <c r="AF531" s="84"/>
    </row>
    <row r="532" spans="5:32" ht="39.75" customHeight="1">
      <c r="E532" s="84"/>
      <c r="F532" s="84"/>
      <c r="AE532" s="84"/>
      <c r="AF532" s="84"/>
    </row>
    <row r="533" spans="5:32" ht="39.75" customHeight="1">
      <c r="E533" s="84"/>
      <c r="F533" s="84"/>
      <c r="AE533" s="84"/>
      <c r="AF533" s="84"/>
    </row>
    <row r="534" spans="5:32" ht="39.75" customHeight="1">
      <c r="E534" s="84"/>
      <c r="F534" s="84"/>
      <c r="AE534" s="84"/>
      <c r="AF534" s="84"/>
    </row>
    <row r="535" spans="5:32" ht="39.75" customHeight="1">
      <c r="E535" s="84"/>
      <c r="F535" s="84"/>
      <c r="AE535" s="84"/>
      <c r="AF535" s="84"/>
    </row>
    <row r="536" spans="5:32" ht="39.75" customHeight="1">
      <c r="E536" s="84"/>
      <c r="F536" s="84"/>
      <c r="AE536" s="84"/>
      <c r="AF536" s="84"/>
    </row>
    <row r="537" spans="5:32" ht="39.75" customHeight="1">
      <c r="E537" s="84"/>
      <c r="F537" s="84"/>
      <c r="AE537" s="84"/>
      <c r="AF537" s="84"/>
    </row>
    <row r="538" spans="5:32" ht="39.75" customHeight="1">
      <c r="E538" s="84"/>
      <c r="F538" s="84"/>
      <c r="AE538" s="84"/>
      <c r="AF538" s="84"/>
    </row>
    <row r="539" spans="5:32" ht="39.75" customHeight="1">
      <c r="E539" s="84"/>
      <c r="F539" s="84"/>
      <c r="AE539" s="84"/>
      <c r="AF539" s="84"/>
    </row>
    <row r="540" spans="5:32" ht="39.75" customHeight="1">
      <c r="E540" s="84"/>
      <c r="F540" s="84"/>
      <c r="AE540" s="84"/>
      <c r="AF540" s="84"/>
    </row>
    <row r="541" spans="5:32" ht="39.75" customHeight="1">
      <c r="E541" s="84"/>
      <c r="F541" s="84"/>
      <c r="AE541" s="84"/>
      <c r="AF541" s="84"/>
    </row>
    <row r="542" spans="5:32" ht="39.75" customHeight="1">
      <c r="E542" s="84"/>
      <c r="F542" s="84"/>
      <c r="AE542" s="84"/>
      <c r="AF542" s="84"/>
    </row>
    <row r="543" spans="5:32" ht="39.75" customHeight="1">
      <c r="E543" s="84"/>
      <c r="F543" s="84"/>
      <c r="AE543" s="84"/>
      <c r="AF543" s="84"/>
    </row>
    <row r="544" spans="5:32" ht="39.75" customHeight="1">
      <c r="E544" s="84"/>
      <c r="F544" s="84"/>
      <c r="AE544" s="84"/>
      <c r="AF544" s="84"/>
    </row>
    <row r="545" spans="5:32" ht="39.75" customHeight="1">
      <c r="E545" s="84"/>
      <c r="F545" s="84"/>
      <c r="AE545" s="84"/>
      <c r="AF545" s="84"/>
    </row>
    <row r="546" spans="5:32" ht="39.75" customHeight="1">
      <c r="E546" s="84"/>
      <c r="F546" s="84"/>
      <c r="AE546" s="84"/>
      <c r="AF546" s="84"/>
    </row>
    <row r="547" spans="5:32" ht="39.75" customHeight="1">
      <c r="E547" s="84"/>
      <c r="F547" s="84"/>
      <c r="AE547" s="84"/>
      <c r="AF547" s="84"/>
    </row>
    <row r="548" spans="5:32" ht="39.75" customHeight="1">
      <c r="E548" s="84"/>
      <c r="F548" s="84"/>
      <c r="AE548" s="84"/>
      <c r="AF548" s="84"/>
    </row>
    <row r="549" spans="5:32" ht="39.75" customHeight="1">
      <c r="E549" s="84"/>
      <c r="F549" s="84"/>
      <c r="AE549" s="84"/>
      <c r="AF549" s="84"/>
    </row>
    <row r="550" spans="5:32" ht="39.75" customHeight="1">
      <c r="E550" s="84"/>
      <c r="F550" s="84"/>
      <c r="AE550" s="84"/>
      <c r="AF550" s="84"/>
    </row>
    <row r="551" spans="5:32" ht="39.75" customHeight="1">
      <c r="E551" s="84"/>
      <c r="F551" s="84"/>
      <c r="AE551" s="84"/>
      <c r="AF551" s="84"/>
    </row>
    <row r="552" spans="5:32" ht="39.75" customHeight="1">
      <c r="E552" s="84"/>
      <c r="F552" s="84"/>
      <c r="AE552" s="84"/>
      <c r="AF552" s="84"/>
    </row>
    <row r="553" spans="5:32" ht="39.75" customHeight="1">
      <c r="E553" s="84"/>
      <c r="F553" s="84"/>
      <c r="AE553" s="84"/>
      <c r="AF553" s="84"/>
    </row>
    <row r="554" spans="5:32" ht="39.75" customHeight="1">
      <c r="E554" s="84"/>
      <c r="F554" s="84"/>
      <c r="AE554" s="84"/>
      <c r="AF554" s="84"/>
    </row>
    <row r="555" spans="5:32" ht="39.75" customHeight="1">
      <c r="E555" s="84"/>
      <c r="F555" s="84"/>
      <c r="AE555" s="84"/>
      <c r="AF555" s="84"/>
    </row>
    <row r="556" spans="5:32" ht="39.75" customHeight="1">
      <c r="E556" s="84"/>
      <c r="F556" s="84"/>
      <c r="AE556" s="84"/>
      <c r="AF556" s="84"/>
    </row>
    <row r="557" spans="5:32" ht="39.75" customHeight="1">
      <c r="E557" s="84"/>
      <c r="F557" s="84"/>
      <c r="AE557" s="84"/>
      <c r="AF557" s="84"/>
    </row>
    <row r="558" spans="5:32" ht="39.75" customHeight="1">
      <c r="E558" s="84"/>
      <c r="F558" s="84"/>
      <c r="AE558" s="84"/>
      <c r="AF558" s="84"/>
    </row>
    <row r="559" spans="5:32" ht="39.75" customHeight="1">
      <c r="E559" s="84"/>
      <c r="F559" s="84"/>
      <c r="AE559" s="84"/>
      <c r="AF559" s="84"/>
    </row>
    <row r="560" spans="5:32" ht="39.75" customHeight="1">
      <c r="E560" s="84"/>
      <c r="F560" s="84"/>
      <c r="AE560" s="84"/>
      <c r="AF560" s="84"/>
    </row>
    <row r="561" spans="5:32" ht="39.75" customHeight="1">
      <c r="E561" s="84"/>
      <c r="F561" s="84"/>
      <c r="AE561" s="84"/>
      <c r="AF561" s="84"/>
    </row>
    <row r="562" spans="5:32" ht="39.75" customHeight="1">
      <c r="E562" s="84"/>
      <c r="F562" s="84"/>
      <c r="AE562" s="84"/>
      <c r="AF562" s="84"/>
    </row>
    <row r="563" spans="5:32" ht="39.75" customHeight="1">
      <c r="E563" s="84"/>
      <c r="F563" s="84"/>
      <c r="AE563" s="84"/>
      <c r="AF563" s="84"/>
    </row>
    <row r="564" spans="5:32" ht="39.75" customHeight="1">
      <c r="E564" s="84"/>
      <c r="F564" s="84"/>
      <c r="AE564" s="84"/>
      <c r="AF564" s="84"/>
    </row>
    <row r="565" spans="5:32" ht="39.75" customHeight="1">
      <c r="E565" s="84"/>
      <c r="F565" s="84"/>
      <c r="AE565" s="84"/>
      <c r="AF565" s="84"/>
    </row>
    <row r="566" spans="5:32" ht="39.75" customHeight="1">
      <c r="E566" s="84"/>
      <c r="F566" s="84"/>
      <c r="AE566" s="84"/>
      <c r="AF566" s="84"/>
    </row>
    <row r="567" spans="5:32" ht="39.75" customHeight="1">
      <c r="E567" s="84"/>
      <c r="F567" s="84"/>
      <c r="AE567" s="84"/>
      <c r="AF567" s="84"/>
    </row>
    <row r="568" spans="5:32" ht="39.75" customHeight="1">
      <c r="E568" s="84"/>
      <c r="F568" s="84"/>
      <c r="AE568" s="84"/>
      <c r="AF568" s="84"/>
    </row>
    <row r="569" spans="5:32" ht="39.75" customHeight="1">
      <c r="E569" s="84"/>
      <c r="F569" s="84"/>
      <c r="AE569" s="84"/>
      <c r="AF569" s="84"/>
    </row>
    <row r="570" spans="5:32" ht="39.75" customHeight="1">
      <c r="E570" s="84"/>
      <c r="F570" s="84"/>
      <c r="AE570" s="84"/>
      <c r="AF570" s="84"/>
    </row>
    <row r="571" spans="5:32" ht="39.75" customHeight="1">
      <c r="E571" s="84"/>
      <c r="F571" s="84"/>
      <c r="AE571" s="84"/>
      <c r="AF571" s="84"/>
    </row>
    <row r="572" spans="5:32" ht="39.75" customHeight="1">
      <c r="E572" s="84"/>
      <c r="F572" s="84"/>
      <c r="AE572" s="84"/>
      <c r="AF572" s="84"/>
    </row>
    <row r="573" spans="5:32" ht="39.75" customHeight="1">
      <c r="E573" s="84"/>
      <c r="F573" s="84"/>
      <c r="AE573" s="84"/>
      <c r="AF573" s="84"/>
    </row>
    <row r="574" spans="5:32" ht="39.75" customHeight="1">
      <c r="E574" s="84"/>
      <c r="F574" s="84"/>
      <c r="AE574" s="84"/>
      <c r="AF574" s="84"/>
    </row>
    <row r="575" spans="5:32" ht="39.75" customHeight="1">
      <c r="E575" s="84"/>
      <c r="F575" s="84"/>
      <c r="AE575" s="84"/>
      <c r="AF575" s="84"/>
    </row>
    <row r="576" spans="5:32" ht="39.75" customHeight="1">
      <c r="E576" s="84"/>
      <c r="F576" s="84"/>
      <c r="AE576" s="84"/>
      <c r="AF576" s="84"/>
    </row>
    <row r="577" spans="5:32" ht="39.75" customHeight="1">
      <c r="E577" s="84"/>
      <c r="F577" s="84"/>
      <c r="AE577" s="84"/>
      <c r="AF577" s="84"/>
    </row>
    <row r="578" spans="5:32" ht="39.75" customHeight="1">
      <c r="E578" s="84"/>
      <c r="F578" s="84"/>
      <c r="AE578" s="84"/>
      <c r="AF578" s="84"/>
    </row>
    <row r="579" spans="5:32" ht="39.75" customHeight="1">
      <c r="E579" s="84"/>
      <c r="F579" s="84"/>
      <c r="AE579" s="84"/>
      <c r="AF579" s="84"/>
    </row>
    <row r="580" spans="5:32" ht="39.75" customHeight="1">
      <c r="E580" s="84"/>
      <c r="F580" s="84"/>
      <c r="AE580" s="84"/>
      <c r="AF580" s="84"/>
    </row>
    <row r="581" spans="5:32" ht="39.75" customHeight="1">
      <c r="E581" s="84"/>
      <c r="F581" s="84"/>
      <c r="AE581" s="84"/>
      <c r="AF581" s="84"/>
    </row>
    <row r="582" spans="5:32" ht="39.75" customHeight="1">
      <c r="E582" s="84"/>
      <c r="F582" s="84"/>
      <c r="AE582" s="84"/>
      <c r="AF582" s="84"/>
    </row>
    <row r="583" spans="5:32" ht="39.75" customHeight="1">
      <c r="E583" s="84"/>
      <c r="F583" s="84"/>
      <c r="AE583" s="84"/>
      <c r="AF583" s="84"/>
    </row>
    <row r="584" spans="5:32" ht="39.75" customHeight="1">
      <c r="E584" s="84"/>
      <c r="F584" s="84"/>
      <c r="AE584" s="84"/>
      <c r="AF584" s="84"/>
    </row>
    <row r="585" spans="5:32" ht="39.75" customHeight="1">
      <c r="E585" s="84"/>
      <c r="F585" s="84"/>
      <c r="AE585" s="84"/>
      <c r="AF585" s="84"/>
    </row>
    <row r="586" spans="5:32" ht="39.75" customHeight="1">
      <c r="E586" s="84"/>
      <c r="F586" s="84"/>
      <c r="AE586" s="84"/>
      <c r="AF586" s="84"/>
    </row>
    <row r="587" spans="5:32" ht="39.75" customHeight="1">
      <c r="E587" s="84"/>
      <c r="F587" s="84"/>
      <c r="AE587" s="84"/>
      <c r="AF587" s="84"/>
    </row>
    <row r="588" spans="5:32" ht="39.75" customHeight="1">
      <c r="E588" s="84"/>
      <c r="F588" s="84"/>
      <c r="AE588" s="84"/>
      <c r="AF588" s="84"/>
    </row>
    <row r="589" spans="5:32" ht="39.75" customHeight="1">
      <c r="E589" s="84"/>
      <c r="F589" s="84"/>
      <c r="AE589" s="84"/>
      <c r="AF589" s="84"/>
    </row>
    <row r="590" spans="5:32" ht="39.75" customHeight="1">
      <c r="E590" s="84"/>
      <c r="F590" s="84"/>
      <c r="AE590" s="84"/>
      <c r="AF590" s="84"/>
    </row>
    <row r="591" spans="5:32" ht="39.75" customHeight="1">
      <c r="E591" s="84"/>
      <c r="F591" s="84"/>
      <c r="AE591" s="84"/>
      <c r="AF591" s="84"/>
    </row>
    <row r="592" spans="5:32" ht="39.75" customHeight="1">
      <c r="E592" s="84"/>
      <c r="F592" s="84"/>
      <c r="AE592" s="84"/>
      <c r="AF592" s="84"/>
    </row>
    <row r="593" spans="5:32" ht="39.75" customHeight="1">
      <c r="E593" s="84"/>
      <c r="F593" s="84"/>
      <c r="AE593" s="84"/>
      <c r="AF593" s="84"/>
    </row>
    <row r="594" spans="5:32" ht="39.75" customHeight="1">
      <c r="E594" s="84"/>
      <c r="F594" s="84"/>
      <c r="AE594" s="84"/>
      <c r="AF594" s="84"/>
    </row>
    <row r="595" spans="5:32" ht="39.75" customHeight="1">
      <c r="E595" s="84"/>
      <c r="F595" s="84"/>
      <c r="AE595" s="84"/>
      <c r="AF595" s="84"/>
    </row>
    <row r="596" spans="5:32" ht="39.75" customHeight="1">
      <c r="E596" s="84"/>
      <c r="F596" s="84"/>
      <c r="AE596" s="84"/>
      <c r="AF596" s="84"/>
    </row>
    <row r="597" spans="5:32" ht="39.75" customHeight="1">
      <c r="E597" s="84"/>
      <c r="F597" s="84"/>
      <c r="AE597" s="84"/>
      <c r="AF597" s="84"/>
    </row>
    <row r="598" spans="5:32" ht="39.75" customHeight="1">
      <c r="E598" s="84"/>
      <c r="F598" s="84"/>
      <c r="AE598" s="84"/>
      <c r="AF598" s="84"/>
    </row>
    <row r="599" spans="5:32" ht="39.75" customHeight="1">
      <c r="E599" s="84"/>
      <c r="F599" s="84"/>
      <c r="AE599" s="84"/>
      <c r="AF599" s="84"/>
    </row>
    <row r="600" spans="5:32" ht="39.75" customHeight="1">
      <c r="E600" s="84"/>
      <c r="F600" s="84"/>
      <c r="AE600" s="84"/>
      <c r="AF600" s="84"/>
    </row>
    <row r="601" spans="5:32" ht="39.75" customHeight="1">
      <c r="E601" s="84"/>
      <c r="F601" s="84"/>
      <c r="AE601" s="84"/>
      <c r="AF601" s="84"/>
    </row>
    <row r="602" spans="5:32" ht="39.75" customHeight="1">
      <c r="E602" s="84"/>
      <c r="F602" s="84"/>
      <c r="AE602" s="84"/>
      <c r="AF602" s="84"/>
    </row>
    <row r="603" spans="5:32" ht="39.75" customHeight="1">
      <c r="E603" s="84"/>
      <c r="F603" s="84"/>
      <c r="AE603" s="84"/>
      <c r="AF603" s="84"/>
    </row>
    <row r="604" spans="5:32" ht="39.75" customHeight="1">
      <c r="E604" s="84"/>
      <c r="F604" s="84"/>
      <c r="AE604" s="84"/>
      <c r="AF604" s="84"/>
    </row>
    <row r="605" spans="5:32" ht="39.75" customHeight="1">
      <c r="E605" s="84"/>
      <c r="F605" s="84"/>
      <c r="AE605" s="84"/>
      <c r="AF605" s="84"/>
    </row>
    <row r="606" spans="5:32" ht="39.75" customHeight="1">
      <c r="E606" s="84"/>
      <c r="F606" s="84"/>
      <c r="AE606" s="84"/>
      <c r="AF606" s="84"/>
    </row>
    <row r="607" spans="5:32" ht="39.75" customHeight="1">
      <c r="E607" s="84"/>
      <c r="F607" s="84"/>
      <c r="AE607" s="84"/>
      <c r="AF607" s="84"/>
    </row>
    <row r="608" spans="5:32" ht="39.75" customHeight="1">
      <c r="E608" s="84"/>
      <c r="F608" s="84"/>
      <c r="AE608" s="84"/>
      <c r="AF608" s="84"/>
    </row>
    <row r="609" spans="5:32" ht="39.75" customHeight="1">
      <c r="E609" s="84"/>
      <c r="F609" s="84"/>
      <c r="AE609" s="84"/>
      <c r="AF609" s="84"/>
    </row>
    <row r="610" spans="5:32" ht="39.75" customHeight="1">
      <c r="E610" s="84"/>
      <c r="F610" s="84"/>
      <c r="AE610" s="84"/>
      <c r="AF610" s="84"/>
    </row>
    <row r="611" spans="5:32" ht="39.75" customHeight="1">
      <c r="E611" s="84"/>
      <c r="F611" s="84"/>
      <c r="AE611" s="84"/>
      <c r="AF611" s="84"/>
    </row>
    <row r="612" spans="5:32" ht="39.75" customHeight="1">
      <c r="E612" s="84"/>
      <c r="F612" s="84"/>
      <c r="AE612" s="84"/>
      <c r="AF612" s="84"/>
    </row>
    <row r="613" spans="5:32" ht="39.75" customHeight="1">
      <c r="E613" s="84"/>
      <c r="F613" s="84"/>
      <c r="AE613" s="84"/>
      <c r="AF613" s="84"/>
    </row>
    <row r="614" spans="5:32" ht="39.75" customHeight="1">
      <c r="E614" s="84"/>
      <c r="F614" s="84"/>
      <c r="AE614" s="84"/>
      <c r="AF614" s="84"/>
    </row>
    <row r="615" spans="5:32" ht="39.75" customHeight="1">
      <c r="E615" s="84"/>
      <c r="F615" s="84"/>
      <c r="AE615" s="84"/>
      <c r="AF615" s="84"/>
    </row>
    <row r="616" spans="5:32" ht="39.75" customHeight="1">
      <c r="E616" s="84"/>
      <c r="F616" s="84"/>
      <c r="AE616" s="84"/>
      <c r="AF616" s="84"/>
    </row>
    <row r="617" spans="5:32" ht="39.75" customHeight="1">
      <c r="E617" s="84"/>
      <c r="F617" s="84"/>
      <c r="AE617" s="84"/>
      <c r="AF617" s="84"/>
    </row>
    <row r="618" spans="5:32" ht="39.75" customHeight="1">
      <c r="E618" s="84"/>
      <c r="F618" s="84"/>
      <c r="AE618" s="84"/>
      <c r="AF618" s="84"/>
    </row>
    <row r="619" spans="5:32" ht="39.75" customHeight="1">
      <c r="E619" s="84"/>
      <c r="F619" s="84"/>
      <c r="AE619" s="84"/>
      <c r="AF619" s="84"/>
    </row>
    <row r="620" spans="5:32" ht="39.75" customHeight="1">
      <c r="E620" s="84"/>
      <c r="F620" s="84"/>
      <c r="AE620" s="84"/>
      <c r="AF620" s="84"/>
    </row>
    <row r="621" spans="5:32" ht="39.75" customHeight="1">
      <c r="E621" s="84"/>
      <c r="F621" s="84"/>
      <c r="AE621" s="84"/>
      <c r="AF621" s="84"/>
    </row>
    <row r="622" spans="5:32" ht="39.75" customHeight="1">
      <c r="E622" s="84"/>
      <c r="F622" s="84"/>
      <c r="AE622" s="84"/>
      <c r="AF622" s="84"/>
    </row>
    <row r="623" spans="5:32" ht="39.75" customHeight="1">
      <c r="E623" s="84"/>
      <c r="F623" s="84"/>
      <c r="AE623" s="84"/>
      <c r="AF623" s="84"/>
    </row>
    <row r="624" spans="5:32" ht="39.75" customHeight="1">
      <c r="E624" s="84"/>
      <c r="F624" s="84"/>
      <c r="AE624" s="84"/>
      <c r="AF624" s="84"/>
    </row>
    <row r="625" spans="5:32" ht="39.75" customHeight="1">
      <c r="E625" s="84"/>
      <c r="F625" s="84"/>
      <c r="AE625" s="84"/>
      <c r="AF625" s="84"/>
    </row>
    <row r="626" spans="5:32" ht="39.75" customHeight="1">
      <c r="E626" s="84"/>
      <c r="F626" s="84"/>
      <c r="AE626" s="84"/>
      <c r="AF626" s="84"/>
    </row>
    <row r="627" spans="5:32" ht="39.75" customHeight="1">
      <c r="E627" s="84"/>
      <c r="F627" s="84"/>
      <c r="AE627" s="84"/>
      <c r="AF627" s="84"/>
    </row>
    <row r="628" spans="5:32" ht="39.75" customHeight="1">
      <c r="E628" s="84"/>
      <c r="F628" s="84"/>
      <c r="AE628" s="84"/>
      <c r="AF628" s="84"/>
    </row>
    <row r="629" spans="5:32" ht="39.75" customHeight="1">
      <c r="E629" s="84"/>
      <c r="F629" s="84"/>
      <c r="AE629" s="84"/>
      <c r="AF629" s="84"/>
    </row>
    <row r="630" spans="5:32" ht="39.75" customHeight="1">
      <c r="E630" s="84"/>
      <c r="F630" s="84"/>
      <c r="AE630" s="84"/>
      <c r="AF630" s="84"/>
    </row>
    <row r="631" spans="5:32" ht="39.75" customHeight="1">
      <c r="E631" s="84"/>
      <c r="F631" s="84"/>
      <c r="AE631" s="84"/>
      <c r="AF631" s="84"/>
    </row>
    <row r="632" spans="5:32" ht="39.75" customHeight="1">
      <c r="E632" s="84"/>
      <c r="F632" s="84"/>
      <c r="AE632" s="84"/>
      <c r="AF632" s="84"/>
    </row>
    <row r="633" spans="5:32" ht="39.75" customHeight="1">
      <c r="E633" s="84"/>
      <c r="F633" s="84"/>
      <c r="AE633" s="84"/>
      <c r="AF633" s="84"/>
    </row>
    <row r="634" spans="5:32" ht="39.75" customHeight="1">
      <c r="E634" s="84"/>
      <c r="F634" s="84"/>
      <c r="AE634" s="84"/>
      <c r="AF634" s="84"/>
    </row>
    <row r="635" spans="5:32" ht="39.75" customHeight="1">
      <c r="E635" s="84"/>
      <c r="F635" s="84"/>
      <c r="AE635" s="84"/>
      <c r="AF635" s="84"/>
    </row>
    <row r="636" spans="5:32" ht="39.75" customHeight="1">
      <c r="E636" s="84"/>
      <c r="F636" s="84"/>
      <c r="AE636" s="84"/>
      <c r="AF636" s="84"/>
    </row>
    <row r="637" spans="5:32" ht="39.75" customHeight="1">
      <c r="E637" s="84"/>
      <c r="F637" s="84"/>
      <c r="AE637" s="84"/>
      <c r="AF637" s="84"/>
    </row>
    <row r="638" spans="5:32" ht="39.75" customHeight="1">
      <c r="E638" s="84"/>
      <c r="F638" s="84"/>
      <c r="AE638" s="84"/>
      <c r="AF638" s="84"/>
    </row>
    <row r="639" spans="5:32" ht="39.75" customHeight="1">
      <c r="E639" s="84"/>
      <c r="F639" s="84"/>
      <c r="AE639" s="84"/>
      <c r="AF639" s="84"/>
    </row>
    <row r="640" spans="5:32" ht="39.75" customHeight="1">
      <c r="E640" s="84"/>
      <c r="F640" s="84"/>
      <c r="AE640" s="84"/>
      <c r="AF640" s="84"/>
    </row>
    <row r="641" spans="5:32" ht="39.75" customHeight="1">
      <c r="E641" s="84"/>
      <c r="F641" s="84"/>
      <c r="AE641" s="84"/>
      <c r="AF641" s="84"/>
    </row>
    <row r="642" spans="5:32" ht="39.75" customHeight="1">
      <c r="E642" s="84"/>
      <c r="F642" s="84"/>
      <c r="AE642" s="84"/>
      <c r="AF642" s="84"/>
    </row>
    <row r="643" spans="5:32" ht="39.75" customHeight="1">
      <c r="E643" s="84"/>
      <c r="F643" s="84"/>
      <c r="AE643" s="84"/>
      <c r="AF643" s="84"/>
    </row>
    <row r="644" spans="5:32" ht="39.75" customHeight="1">
      <c r="E644" s="84"/>
      <c r="F644" s="84"/>
      <c r="AE644" s="84"/>
      <c r="AF644" s="84"/>
    </row>
    <row r="645" spans="5:32" ht="39.75" customHeight="1">
      <c r="E645" s="84"/>
      <c r="F645" s="84"/>
      <c r="AE645" s="84"/>
      <c r="AF645" s="84"/>
    </row>
    <row r="646" spans="5:32" ht="39.75" customHeight="1">
      <c r="E646" s="84"/>
      <c r="F646" s="84"/>
      <c r="AE646" s="84"/>
      <c r="AF646" s="84"/>
    </row>
    <row r="647" spans="5:32" ht="39.75" customHeight="1">
      <c r="E647" s="84"/>
      <c r="F647" s="84"/>
      <c r="AE647" s="84"/>
      <c r="AF647" s="84"/>
    </row>
    <row r="648" spans="5:32" ht="39.75" customHeight="1">
      <c r="E648" s="84"/>
      <c r="F648" s="84"/>
      <c r="AE648" s="84"/>
      <c r="AF648" s="84"/>
    </row>
    <row r="649" spans="5:32" ht="39.75" customHeight="1">
      <c r="E649" s="84"/>
      <c r="F649" s="84"/>
      <c r="AE649" s="84"/>
      <c r="AF649" s="84"/>
    </row>
    <row r="650" spans="5:32" ht="39.75" customHeight="1">
      <c r="E650" s="84"/>
      <c r="F650" s="84"/>
      <c r="AE650" s="84"/>
      <c r="AF650" s="84"/>
    </row>
    <row r="651" spans="5:32" ht="39.75" customHeight="1">
      <c r="E651" s="84"/>
      <c r="F651" s="84"/>
      <c r="AE651" s="84"/>
      <c r="AF651" s="84"/>
    </row>
    <row r="652" spans="5:32" ht="39.75" customHeight="1">
      <c r="E652" s="84"/>
      <c r="F652" s="84"/>
      <c r="AE652" s="84"/>
      <c r="AF652" s="84"/>
    </row>
    <row r="653" spans="5:32" ht="39.75" customHeight="1">
      <c r="E653" s="84"/>
      <c r="F653" s="84"/>
      <c r="AE653" s="84"/>
      <c r="AF653" s="84"/>
    </row>
    <row r="654" spans="5:32" ht="39.75" customHeight="1">
      <c r="E654" s="84"/>
      <c r="F654" s="84"/>
      <c r="AE654" s="84"/>
      <c r="AF654" s="84"/>
    </row>
    <row r="655" spans="5:32" ht="39.75" customHeight="1">
      <c r="E655" s="84"/>
      <c r="F655" s="84"/>
      <c r="AE655" s="84"/>
      <c r="AF655" s="84"/>
    </row>
    <row r="656" spans="5:32" ht="39.75" customHeight="1">
      <c r="E656" s="84"/>
      <c r="F656" s="84"/>
      <c r="AE656" s="84"/>
      <c r="AF656" s="84"/>
    </row>
    <row r="657" spans="5:32" ht="39.75" customHeight="1">
      <c r="E657" s="84"/>
      <c r="F657" s="84"/>
      <c r="AE657" s="84"/>
      <c r="AF657" s="84"/>
    </row>
    <row r="658" spans="5:32" ht="39.75" customHeight="1">
      <c r="E658" s="84"/>
      <c r="F658" s="84"/>
      <c r="AE658" s="84"/>
      <c r="AF658" s="84"/>
    </row>
    <row r="659" spans="5:32" ht="39.75" customHeight="1">
      <c r="E659" s="84"/>
      <c r="F659" s="84"/>
      <c r="AE659" s="84"/>
      <c r="AF659" s="84"/>
    </row>
    <row r="660" spans="5:32" ht="39.75" customHeight="1">
      <c r="E660" s="84"/>
      <c r="F660" s="84"/>
      <c r="AE660" s="84"/>
      <c r="AF660" s="84"/>
    </row>
    <row r="661" spans="5:32" ht="39.75" customHeight="1">
      <c r="E661" s="84"/>
      <c r="F661" s="84"/>
      <c r="AE661" s="84"/>
      <c r="AF661" s="84"/>
    </row>
    <row r="662" spans="5:32" ht="39.75" customHeight="1">
      <c r="E662" s="84"/>
      <c r="F662" s="84"/>
      <c r="AE662" s="84"/>
      <c r="AF662" s="84"/>
    </row>
    <row r="663" spans="5:32" ht="39.75" customHeight="1">
      <c r="E663" s="84"/>
      <c r="F663" s="84"/>
      <c r="AE663" s="84"/>
      <c r="AF663" s="84"/>
    </row>
    <row r="664" spans="5:32" ht="39.75" customHeight="1">
      <c r="E664" s="84"/>
      <c r="F664" s="84"/>
      <c r="AE664" s="84"/>
      <c r="AF664" s="84"/>
    </row>
    <row r="665" spans="5:32" ht="39.75" customHeight="1">
      <c r="E665" s="84"/>
      <c r="F665" s="84"/>
      <c r="AE665" s="84"/>
      <c r="AF665" s="84"/>
    </row>
    <row r="666" spans="5:32" ht="39.75" customHeight="1">
      <c r="E666" s="84"/>
      <c r="F666" s="84"/>
      <c r="AE666" s="84"/>
      <c r="AF666" s="84"/>
    </row>
    <row r="667" spans="5:32" ht="39.75" customHeight="1">
      <c r="E667" s="84"/>
      <c r="F667" s="84"/>
      <c r="AE667" s="84"/>
      <c r="AF667" s="84"/>
    </row>
    <row r="668" spans="5:32" ht="39.75" customHeight="1">
      <c r="E668" s="84"/>
      <c r="F668" s="84"/>
      <c r="AE668" s="84"/>
      <c r="AF668" s="84"/>
    </row>
    <row r="669" spans="5:32" ht="39.75" customHeight="1">
      <c r="E669" s="84"/>
      <c r="F669" s="84"/>
      <c r="AE669" s="84"/>
      <c r="AF669" s="84"/>
    </row>
    <row r="670" spans="5:32" ht="39.75" customHeight="1">
      <c r="E670" s="84"/>
      <c r="F670" s="84"/>
      <c r="AE670" s="84"/>
      <c r="AF670" s="84"/>
    </row>
    <row r="671" spans="5:32" ht="39.75" customHeight="1">
      <c r="E671" s="84"/>
      <c r="F671" s="84"/>
      <c r="AE671" s="84"/>
      <c r="AF671" s="84"/>
    </row>
    <row r="672" spans="5:32" ht="39.75" customHeight="1">
      <c r="E672" s="84"/>
      <c r="F672" s="84"/>
      <c r="AE672" s="84"/>
      <c r="AF672" s="84"/>
    </row>
    <row r="673" spans="5:32" ht="39.75" customHeight="1">
      <c r="E673" s="84"/>
      <c r="F673" s="84"/>
      <c r="AE673" s="84"/>
      <c r="AF673" s="84"/>
    </row>
    <row r="674" spans="5:32" ht="39.75" customHeight="1">
      <c r="E674" s="84"/>
      <c r="F674" s="84"/>
      <c r="AE674" s="84"/>
      <c r="AF674" s="84"/>
    </row>
    <row r="675" spans="5:32" ht="39.75" customHeight="1">
      <c r="E675" s="84"/>
      <c r="F675" s="84"/>
      <c r="AE675" s="84"/>
      <c r="AF675" s="84"/>
    </row>
    <row r="676" spans="5:32" ht="39.75" customHeight="1">
      <c r="E676" s="84"/>
      <c r="F676" s="84"/>
      <c r="AE676" s="84"/>
      <c r="AF676" s="84"/>
    </row>
    <row r="677" spans="5:32" ht="39.75" customHeight="1">
      <c r="E677" s="84"/>
      <c r="F677" s="84"/>
      <c r="AE677" s="84"/>
      <c r="AF677" s="84"/>
    </row>
    <row r="678" spans="5:32" ht="39.75" customHeight="1">
      <c r="E678" s="84"/>
      <c r="F678" s="84"/>
      <c r="AE678" s="84"/>
      <c r="AF678" s="84"/>
    </row>
    <row r="679" spans="5:32" ht="39.75" customHeight="1">
      <c r="E679" s="84"/>
      <c r="F679" s="84"/>
      <c r="AE679" s="84"/>
      <c r="AF679" s="84"/>
    </row>
    <row r="680" spans="5:32" ht="39.75" customHeight="1">
      <c r="E680" s="84"/>
      <c r="F680" s="84"/>
      <c r="AE680" s="84"/>
      <c r="AF680" s="84"/>
    </row>
    <row r="681" spans="5:32" ht="39.75" customHeight="1">
      <c r="E681" s="84"/>
      <c r="F681" s="84"/>
      <c r="AE681" s="84"/>
      <c r="AF681" s="84"/>
    </row>
    <row r="682" spans="5:32" ht="39.75" customHeight="1">
      <c r="E682" s="84"/>
      <c r="F682" s="84"/>
      <c r="AE682" s="84"/>
      <c r="AF682" s="84"/>
    </row>
    <row r="683" spans="5:32" ht="39.75" customHeight="1">
      <c r="E683" s="84"/>
      <c r="F683" s="84"/>
      <c r="AE683" s="84"/>
      <c r="AF683" s="84"/>
    </row>
    <row r="684" spans="5:32" ht="39.75" customHeight="1">
      <c r="E684" s="84"/>
      <c r="F684" s="84"/>
      <c r="AE684" s="84"/>
      <c r="AF684" s="84"/>
    </row>
    <row r="685" spans="5:32" ht="39.75" customHeight="1">
      <c r="E685" s="84"/>
      <c r="F685" s="84"/>
      <c r="AE685" s="84"/>
      <c r="AF685" s="84"/>
    </row>
    <row r="686" spans="5:32" ht="39.75" customHeight="1">
      <c r="E686" s="84"/>
      <c r="F686" s="84"/>
      <c r="AE686" s="84"/>
      <c r="AF686" s="84"/>
    </row>
    <row r="687" spans="5:32" ht="39.75" customHeight="1">
      <c r="E687" s="84"/>
      <c r="F687" s="84"/>
      <c r="AE687" s="84"/>
      <c r="AF687" s="84"/>
    </row>
    <row r="688" spans="5:32" ht="39.75" customHeight="1">
      <c r="E688" s="84"/>
      <c r="F688" s="84"/>
      <c r="AE688" s="84"/>
      <c r="AF688" s="84"/>
    </row>
    <row r="689" spans="5:32" ht="39.75" customHeight="1">
      <c r="E689" s="84"/>
      <c r="F689" s="84"/>
      <c r="AE689" s="84"/>
      <c r="AF689" s="84"/>
    </row>
    <row r="690" spans="5:32" ht="39.75" customHeight="1">
      <c r="E690" s="84"/>
      <c r="F690" s="84"/>
      <c r="AE690" s="84"/>
      <c r="AF690" s="84"/>
    </row>
    <row r="691" spans="5:32" ht="39.75" customHeight="1">
      <c r="E691" s="84"/>
      <c r="F691" s="84"/>
      <c r="AE691" s="84"/>
      <c r="AF691" s="84"/>
    </row>
    <row r="692" spans="5:32" ht="39.75" customHeight="1">
      <c r="E692" s="84"/>
      <c r="F692" s="84"/>
      <c r="AE692" s="84"/>
      <c r="AF692" s="84"/>
    </row>
    <row r="693" spans="5:32" ht="39.75" customHeight="1">
      <c r="E693" s="84"/>
      <c r="F693" s="84"/>
      <c r="AE693" s="84"/>
      <c r="AF693" s="84"/>
    </row>
    <row r="694" spans="5:32" ht="39.75" customHeight="1">
      <c r="E694" s="84"/>
      <c r="F694" s="84"/>
      <c r="AE694" s="84"/>
      <c r="AF694" s="84"/>
    </row>
    <row r="695" spans="5:32" ht="39.75" customHeight="1">
      <c r="E695" s="84"/>
      <c r="F695" s="84"/>
      <c r="AE695" s="84"/>
      <c r="AF695" s="84"/>
    </row>
    <row r="696" spans="5:32" ht="39.75" customHeight="1">
      <c r="E696" s="84"/>
      <c r="F696" s="84"/>
      <c r="AE696" s="84"/>
      <c r="AF696" s="84"/>
    </row>
    <row r="697" spans="5:32" ht="39.75" customHeight="1">
      <c r="E697" s="84"/>
      <c r="F697" s="84"/>
      <c r="AE697" s="84"/>
      <c r="AF697" s="84"/>
    </row>
    <row r="698" spans="5:32" ht="39.75" customHeight="1">
      <c r="E698" s="84"/>
      <c r="F698" s="84"/>
      <c r="AE698" s="84"/>
      <c r="AF698" s="84"/>
    </row>
    <row r="699" spans="5:32" ht="39.75" customHeight="1">
      <c r="E699" s="84"/>
      <c r="F699" s="84"/>
      <c r="AE699" s="84"/>
      <c r="AF699" s="84"/>
    </row>
    <row r="700" spans="5:32" ht="39.75" customHeight="1">
      <c r="E700" s="84"/>
      <c r="F700" s="84"/>
      <c r="AE700" s="84"/>
      <c r="AF700" s="84"/>
    </row>
    <row r="701" spans="5:32" ht="39.75" customHeight="1">
      <c r="E701" s="84"/>
      <c r="F701" s="84"/>
      <c r="AE701" s="84"/>
      <c r="AF701" s="84"/>
    </row>
    <row r="702" spans="5:32" ht="39.75" customHeight="1">
      <c r="E702" s="84"/>
      <c r="F702" s="84"/>
      <c r="AE702" s="84"/>
      <c r="AF702" s="84"/>
    </row>
    <row r="703" spans="5:32" ht="39.75" customHeight="1">
      <c r="E703" s="84"/>
      <c r="F703" s="84"/>
      <c r="AE703" s="84"/>
      <c r="AF703" s="84"/>
    </row>
    <row r="704" spans="5:32" ht="39.75" customHeight="1">
      <c r="E704" s="84"/>
      <c r="F704" s="84"/>
      <c r="AE704" s="84"/>
      <c r="AF704" s="84"/>
    </row>
    <row r="705" spans="5:32" ht="39.75" customHeight="1">
      <c r="E705" s="84"/>
      <c r="F705" s="84"/>
      <c r="AE705" s="84"/>
      <c r="AF705" s="84"/>
    </row>
    <row r="706" spans="5:32" ht="39.75" customHeight="1">
      <c r="E706" s="84"/>
      <c r="F706" s="84"/>
      <c r="AE706" s="84"/>
      <c r="AF706" s="84"/>
    </row>
    <row r="707" spans="5:32" ht="39.75" customHeight="1">
      <c r="E707" s="84"/>
      <c r="F707" s="84"/>
      <c r="AE707" s="84"/>
      <c r="AF707" s="84"/>
    </row>
    <row r="708" spans="5:32" ht="39.75" customHeight="1">
      <c r="E708" s="84"/>
      <c r="F708" s="84"/>
      <c r="AE708" s="84"/>
      <c r="AF708" s="84"/>
    </row>
    <row r="709" spans="5:32" ht="39.75" customHeight="1">
      <c r="E709" s="84"/>
      <c r="F709" s="84"/>
      <c r="AE709" s="84"/>
      <c r="AF709" s="84"/>
    </row>
    <row r="710" spans="5:32" ht="39.75" customHeight="1">
      <c r="E710" s="84"/>
      <c r="F710" s="84"/>
      <c r="AE710" s="84"/>
      <c r="AF710" s="84"/>
    </row>
    <row r="711" spans="5:32" ht="39.75" customHeight="1">
      <c r="E711" s="84"/>
      <c r="F711" s="84"/>
      <c r="AE711" s="84"/>
      <c r="AF711" s="84"/>
    </row>
    <row r="712" spans="5:32" ht="39.75" customHeight="1">
      <c r="E712" s="84"/>
      <c r="F712" s="84"/>
      <c r="AE712" s="84"/>
      <c r="AF712" s="84"/>
    </row>
    <row r="713" spans="5:32" ht="39.75" customHeight="1">
      <c r="E713" s="84"/>
      <c r="F713" s="84"/>
      <c r="AE713" s="84"/>
      <c r="AF713" s="84"/>
    </row>
    <row r="714" spans="5:32" ht="39.75" customHeight="1">
      <c r="E714" s="84"/>
      <c r="F714" s="84"/>
      <c r="AE714" s="84"/>
      <c r="AF714" s="84"/>
    </row>
    <row r="715" spans="5:32" ht="39.75" customHeight="1">
      <c r="E715" s="84"/>
      <c r="F715" s="84"/>
      <c r="AE715" s="84"/>
      <c r="AF715" s="84"/>
    </row>
    <row r="716" spans="5:32" ht="39.75" customHeight="1">
      <c r="E716" s="84"/>
      <c r="F716" s="84"/>
      <c r="AE716" s="84"/>
      <c r="AF716" s="84"/>
    </row>
    <row r="717" spans="5:32" ht="39.75" customHeight="1">
      <c r="E717" s="84"/>
      <c r="F717" s="84"/>
      <c r="AE717" s="84"/>
      <c r="AF717" s="84"/>
    </row>
    <row r="718" spans="5:32" ht="39.75" customHeight="1">
      <c r="E718" s="84"/>
      <c r="F718" s="84"/>
      <c r="AE718" s="84"/>
      <c r="AF718" s="84"/>
    </row>
    <row r="719" spans="5:32" ht="39.75" customHeight="1">
      <c r="E719" s="84"/>
      <c r="F719" s="84"/>
      <c r="AE719" s="84"/>
      <c r="AF719" s="84"/>
    </row>
    <row r="720" spans="5:32" ht="39.75" customHeight="1">
      <c r="E720" s="84"/>
      <c r="F720" s="84"/>
      <c r="AE720" s="84"/>
      <c r="AF720" s="84"/>
    </row>
    <row r="721" spans="5:32" ht="39.75" customHeight="1">
      <c r="E721" s="84"/>
      <c r="F721" s="84"/>
      <c r="AE721" s="84"/>
      <c r="AF721" s="84"/>
    </row>
    <row r="722" spans="5:32" ht="39.75" customHeight="1">
      <c r="E722" s="84"/>
      <c r="F722" s="84"/>
      <c r="AE722" s="84"/>
      <c r="AF722" s="84"/>
    </row>
    <row r="723" spans="5:32" ht="39.75" customHeight="1">
      <c r="E723" s="84"/>
      <c r="F723" s="84"/>
      <c r="AE723" s="84"/>
      <c r="AF723" s="84"/>
    </row>
    <row r="724" spans="5:32" ht="39.75" customHeight="1">
      <c r="E724" s="84"/>
      <c r="F724" s="84"/>
      <c r="AE724" s="84"/>
      <c r="AF724" s="84"/>
    </row>
    <row r="725" spans="5:32" ht="39.75" customHeight="1">
      <c r="E725" s="84"/>
      <c r="F725" s="84"/>
      <c r="AE725" s="84"/>
      <c r="AF725" s="84"/>
    </row>
    <row r="726" spans="5:32" ht="39.75" customHeight="1">
      <c r="E726" s="84"/>
      <c r="F726" s="84"/>
      <c r="AE726" s="84"/>
      <c r="AF726" s="84"/>
    </row>
    <row r="727" spans="5:32" ht="39.75" customHeight="1">
      <c r="E727" s="84"/>
      <c r="F727" s="84"/>
      <c r="AE727" s="84"/>
      <c r="AF727" s="84"/>
    </row>
    <row r="728" spans="5:32" ht="39.75" customHeight="1">
      <c r="E728" s="84"/>
      <c r="F728" s="84"/>
      <c r="AE728" s="84"/>
      <c r="AF728" s="84"/>
    </row>
    <row r="729" spans="5:32" ht="39.75" customHeight="1">
      <c r="E729" s="84"/>
      <c r="F729" s="84"/>
      <c r="AE729" s="84"/>
      <c r="AF729" s="84"/>
    </row>
    <row r="730" spans="5:32" ht="39.75" customHeight="1">
      <c r="E730" s="84"/>
      <c r="F730" s="84"/>
      <c r="AE730" s="84"/>
      <c r="AF730" s="84"/>
    </row>
    <row r="731" spans="5:32" ht="39.75" customHeight="1">
      <c r="E731" s="84"/>
      <c r="F731" s="84"/>
      <c r="AE731" s="84"/>
      <c r="AF731" s="84"/>
    </row>
    <row r="732" spans="5:32" ht="39.75" customHeight="1">
      <c r="E732" s="84"/>
      <c r="F732" s="84"/>
      <c r="AE732" s="84"/>
      <c r="AF732" s="84"/>
    </row>
    <row r="733" spans="5:32" ht="39.75" customHeight="1">
      <c r="E733" s="84"/>
      <c r="F733" s="84"/>
      <c r="AE733" s="84"/>
      <c r="AF733" s="84"/>
    </row>
    <row r="734" spans="5:32" ht="39.75" customHeight="1">
      <c r="E734" s="84"/>
      <c r="F734" s="84"/>
      <c r="AE734" s="84"/>
      <c r="AF734" s="84"/>
    </row>
    <row r="735" spans="5:32" ht="39.75" customHeight="1">
      <c r="E735" s="84"/>
      <c r="F735" s="84"/>
      <c r="AE735" s="84"/>
      <c r="AF735" s="84"/>
    </row>
    <row r="736" spans="5:32" ht="39.75" customHeight="1">
      <c r="E736" s="84"/>
      <c r="F736" s="84"/>
      <c r="AE736" s="84"/>
      <c r="AF736" s="84"/>
    </row>
    <row r="737" spans="5:32" ht="39.75" customHeight="1">
      <c r="E737" s="84"/>
      <c r="F737" s="84"/>
      <c r="AE737" s="84"/>
      <c r="AF737" s="84"/>
    </row>
    <row r="738" spans="5:32" ht="39.75" customHeight="1">
      <c r="E738" s="84"/>
      <c r="F738" s="84"/>
      <c r="AE738" s="84"/>
      <c r="AF738" s="84"/>
    </row>
    <row r="739" spans="5:32" ht="39.75" customHeight="1">
      <c r="E739" s="84"/>
      <c r="F739" s="84"/>
      <c r="AE739" s="84"/>
      <c r="AF739" s="84"/>
    </row>
    <row r="740" spans="5:32" ht="39.75" customHeight="1">
      <c r="E740" s="84"/>
      <c r="F740" s="84"/>
      <c r="AE740" s="84"/>
      <c r="AF740" s="84"/>
    </row>
    <row r="741" spans="5:32" ht="39.75" customHeight="1">
      <c r="E741" s="84"/>
      <c r="F741" s="84"/>
      <c r="AE741" s="84"/>
      <c r="AF741" s="84"/>
    </row>
    <row r="742" spans="5:32" ht="39.75" customHeight="1">
      <c r="E742" s="84"/>
      <c r="F742" s="84"/>
      <c r="AE742" s="84"/>
      <c r="AF742" s="84"/>
    </row>
    <row r="743" spans="5:32" ht="39.75" customHeight="1">
      <c r="E743" s="84"/>
      <c r="F743" s="84"/>
      <c r="AE743" s="84"/>
      <c r="AF743" s="84"/>
    </row>
    <row r="744" spans="5:32" ht="39.75" customHeight="1">
      <c r="E744" s="84"/>
      <c r="F744" s="84"/>
      <c r="AE744" s="84"/>
      <c r="AF744" s="84"/>
    </row>
    <row r="745" spans="5:32" ht="39.75" customHeight="1">
      <c r="E745" s="84"/>
      <c r="F745" s="84"/>
      <c r="AE745" s="84"/>
      <c r="AF745" s="84"/>
    </row>
    <row r="746" spans="5:32" ht="39.75" customHeight="1">
      <c r="E746" s="84"/>
      <c r="F746" s="84"/>
      <c r="AE746" s="84"/>
      <c r="AF746" s="84"/>
    </row>
    <row r="747" spans="5:32" ht="39.75" customHeight="1">
      <c r="E747" s="84"/>
      <c r="F747" s="84"/>
      <c r="AE747" s="84"/>
      <c r="AF747" s="84"/>
    </row>
    <row r="748" spans="5:32" ht="39.75" customHeight="1">
      <c r="E748" s="84"/>
      <c r="F748" s="84"/>
      <c r="AE748" s="84"/>
      <c r="AF748" s="84"/>
    </row>
    <row r="749" spans="5:32" ht="39.75" customHeight="1">
      <c r="E749" s="84"/>
      <c r="F749" s="84"/>
      <c r="AE749" s="84"/>
      <c r="AF749" s="84"/>
    </row>
    <row r="750" spans="5:32" ht="39.75" customHeight="1">
      <c r="E750" s="84"/>
      <c r="F750" s="84"/>
      <c r="AE750" s="84"/>
      <c r="AF750" s="84"/>
    </row>
    <row r="751" spans="5:32" ht="39.75" customHeight="1">
      <c r="E751" s="84"/>
      <c r="F751" s="84"/>
      <c r="AE751" s="84"/>
      <c r="AF751" s="84"/>
    </row>
    <row r="752" spans="5:32" ht="39.75" customHeight="1">
      <c r="E752" s="84"/>
      <c r="F752" s="84"/>
      <c r="AE752" s="84"/>
      <c r="AF752" s="84"/>
    </row>
    <row r="753" spans="5:32" ht="39.75" customHeight="1">
      <c r="E753" s="84"/>
      <c r="F753" s="84"/>
      <c r="AE753" s="84"/>
      <c r="AF753" s="84"/>
    </row>
    <row r="754" spans="5:32" ht="39.75" customHeight="1">
      <c r="E754" s="84"/>
      <c r="F754" s="84"/>
      <c r="AE754" s="84"/>
      <c r="AF754" s="84"/>
    </row>
    <row r="755" spans="5:32" ht="39.75" customHeight="1">
      <c r="E755" s="84"/>
      <c r="F755" s="84"/>
      <c r="AE755" s="84"/>
      <c r="AF755" s="84"/>
    </row>
    <row r="756" spans="5:32" ht="39.75" customHeight="1">
      <c r="E756" s="84"/>
      <c r="F756" s="84"/>
      <c r="AE756" s="84"/>
      <c r="AF756" s="84"/>
    </row>
    <row r="757" spans="5:32" ht="39.75" customHeight="1">
      <c r="E757" s="84"/>
      <c r="F757" s="84"/>
      <c r="AE757" s="84"/>
      <c r="AF757" s="84"/>
    </row>
    <row r="758" spans="5:32" ht="39.75" customHeight="1">
      <c r="E758" s="84"/>
      <c r="F758" s="84"/>
      <c r="AE758" s="84"/>
      <c r="AF758" s="84"/>
    </row>
    <row r="759" spans="5:32" ht="39.75" customHeight="1">
      <c r="E759" s="84"/>
      <c r="F759" s="84"/>
      <c r="AE759" s="84"/>
      <c r="AF759" s="84"/>
    </row>
    <row r="760" spans="5:32" ht="39.75" customHeight="1">
      <c r="E760" s="84"/>
      <c r="F760" s="84"/>
      <c r="AE760" s="84"/>
      <c r="AF760" s="84"/>
    </row>
    <row r="761" spans="5:32" ht="39.75" customHeight="1">
      <c r="E761" s="84"/>
      <c r="F761" s="84"/>
      <c r="AE761" s="84"/>
      <c r="AF761" s="84"/>
    </row>
    <row r="762" spans="5:32" ht="39.75" customHeight="1">
      <c r="E762" s="84"/>
      <c r="F762" s="84"/>
      <c r="AE762" s="84"/>
      <c r="AF762" s="84"/>
    </row>
    <row r="763" spans="5:32" ht="39.75" customHeight="1">
      <c r="E763" s="84"/>
      <c r="F763" s="84"/>
      <c r="AE763" s="84"/>
      <c r="AF763" s="84"/>
    </row>
    <row r="764" spans="5:32" ht="39.75" customHeight="1">
      <c r="E764" s="84"/>
      <c r="F764" s="84"/>
      <c r="AE764" s="84"/>
      <c r="AF764" s="84"/>
    </row>
    <row r="765" spans="5:32" ht="39.75" customHeight="1">
      <c r="E765" s="84"/>
      <c r="F765" s="84"/>
      <c r="AE765" s="84"/>
      <c r="AF765" s="84"/>
    </row>
    <row r="766" spans="5:32" ht="39.75" customHeight="1">
      <c r="E766" s="84"/>
      <c r="F766" s="84"/>
      <c r="AE766" s="84"/>
      <c r="AF766" s="84"/>
    </row>
    <row r="767" spans="5:32" ht="39.75" customHeight="1">
      <c r="E767" s="84"/>
      <c r="F767" s="84"/>
      <c r="AE767" s="84"/>
      <c r="AF767" s="84"/>
    </row>
    <row r="768" spans="5:32" ht="39.75" customHeight="1">
      <c r="E768" s="84"/>
      <c r="F768" s="84"/>
      <c r="AE768" s="84"/>
      <c r="AF768" s="84"/>
    </row>
    <row r="769" spans="5:32" ht="39.75" customHeight="1">
      <c r="E769" s="84"/>
      <c r="F769" s="84"/>
      <c r="AE769" s="84"/>
      <c r="AF769" s="84"/>
    </row>
    <row r="770" spans="5:32" ht="39.75" customHeight="1">
      <c r="E770" s="84"/>
      <c r="F770" s="84"/>
      <c r="AE770" s="84"/>
      <c r="AF770" s="84"/>
    </row>
    <row r="771" spans="5:32" ht="39.75" customHeight="1">
      <c r="E771" s="84"/>
      <c r="F771" s="84"/>
      <c r="AE771" s="84"/>
      <c r="AF771" s="84"/>
    </row>
    <row r="772" spans="5:32" ht="39.75" customHeight="1">
      <c r="E772" s="84"/>
      <c r="F772" s="84"/>
      <c r="AE772" s="84"/>
      <c r="AF772" s="84"/>
    </row>
    <row r="773" spans="5:32" ht="39.75" customHeight="1">
      <c r="E773" s="84"/>
      <c r="F773" s="84"/>
      <c r="AE773" s="84"/>
      <c r="AF773" s="84"/>
    </row>
    <row r="774" spans="5:32" ht="39.75" customHeight="1">
      <c r="E774" s="84"/>
      <c r="F774" s="84"/>
      <c r="AE774" s="84"/>
      <c r="AF774" s="84"/>
    </row>
    <row r="775" spans="5:32" ht="39.75" customHeight="1">
      <c r="E775" s="84"/>
      <c r="F775" s="84"/>
      <c r="AE775" s="84"/>
      <c r="AF775" s="84"/>
    </row>
    <row r="776" spans="5:32" ht="39.75" customHeight="1">
      <c r="E776" s="84"/>
      <c r="F776" s="84"/>
      <c r="AE776" s="84"/>
      <c r="AF776" s="84"/>
    </row>
    <row r="777" spans="5:32" ht="39.75" customHeight="1">
      <c r="E777" s="84"/>
      <c r="F777" s="84"/>
      <c r="AE777" s="84"/>
      <c r="AF777" s="84"/>
    </row>
    <row r="778" spans="5:32" ht="39.75" customHeight="1">
      <c r="E778" s="84"/>
      <c r="F778" s="84"/>
      <c r="AE778" s="84"/>
      <c r="AF778" s="84"/>
    </row>
    <row r="779" spans="5:32" ht="39.75" customHeight="1">
      <c r="E779" s="84"/>
      <c r="F779" s="84"/>
      <c r="AE779" s="84"/>
      <c r="AF779" s="84"/>
    </row>
    <row r="780" spans="5:32" ht="39.75" customHeight="1">
      <c r="E780" s="84"/>
      <c r="F780" s="84"/>
      <c r="AE780" s="84"/>
      <c r="AF780" s="84"/>
    </row>
    <row r="781" spans="5:32" ht="39.75" customHeight="1">
      <c r="E781" s="84"/>
      <c r="F781" s="84"/>
      <c r="AE781" s="84"/>
      <c r="AF781" s="84"/>
    </row>
    <row r="782" spans="5:32" ht="39.75" customHeight="1">
      <c r="E782" s="84"/>
      <c r="F782" s="84"/>
      <c r="AE782" s="84"/>
      <c r="AF782" s="84"/>
    </row>
    <row r="783" spans="5:32" ht="39.75" customHeight="1">
      <c r="E783" s="84"/>
      <c r="F783" s="84"/>
      <c r="AE783" s="84"/>
      <c r="AF783" s="84"/>
    </row>
    <row r="784" spans="5:32" ht="39.75" customHeight="1">
      <c r="E784" s="84"/>
      <c r="F784" s="84"/>
      <c r="AE784" s="84"/>
      <c r="AF784" s="84"/>
    </row>
    <row r="785" spans="5:32" ht="39.75" customHeight="1">
      <c r="E785" s="84"/>
      <c r="F785" s="84"/>
      <c r="AE785" s="84"/>
      <c r="AF785" s="84"/>
    </row>
    <row r="786" spans="5:32" ht="39.75" customHeight="1">
      <c r="E786" s="84"/>
      <c r="F786" s="84"/>
      <c r="AE786" s="84"/>
      <c r="AF786" s="84"/>
    </row>
    <row r="787" spans="5:32" ht="39.75" customHeight="1">
      <c r="E787" s="84"/>
      <c r="F787" s="84"/>
      <c r="AE787" s="84"/>
      <c r="AF787" s="84"/>
    </row>
    <row r="788" spans="5:32" ht="39.75" customHeight="1">
      <c r="E788" s="84"/>
      <c r="F788" s="84"/>
      <c r="AE788" s="84"/>
      <c r="AF788" s="84"/>
    </row>
    <row r="789" spans="5:32" ht="39.75" customHeight="1">
      <c r="E789" s="84"/>
      <c r="F789" s="84"/>
      <c r="AE789" s="84"/>
      <c r="AF789" s="84"/>
    </row>
    <row r="790" spans="5:32" ht="39.75" customHeight="1">
      <c r="E790" s="84"/>
      <c r="F790" s="84"/>
      <c r="AE790" s="84"/>
      <c r="AF790" s="84"/>
    </row>
    <row r="791" spans="5:32" ht="39.75" customHeight="1">
      <c r="E791" s="84"/>
      <c r="F791" s="84"/>
      <c r="AE791" s="84"/>
      <c r="AF791" s="84"/>
    </row>
    <row r="792" spans="5:32" ht="39.75" customHeight="1">
      <c r="E792" s="84"/>
      <c r="F792" s="84"/>
      <c r="AE792" s="84"/>
      <c r="AF792" s="84"/>
    </row>
    <row r="793" spans="5:32" ht="39.75" customHeight="1">
      <c r="E793" s="84"/>
      <c r="F793" s="84"/>
      <c r="AE793" s="84"/>
      <c r="AF793" s="84"/>
    </row>
    <row r="794" spans="5:32" ht="39.75" customHeight="1">
      <c r="E794" s="84"/>
      <c r="F794" s="84"/>
      <c r="AE794" s="84"/>
      <c r="AF794" s="84"/>
    </row>
    <row r="795" spans="5:32" ht="39.75" customHeight="1">
      <c r="E795" s="84"/>
      <c r="F795" s="84"/>
      <c r="AE795" s="84"/>
      <c r="AF795" s="84"/>
    </row>
    <row r="796" spans="5:32" ht="39.75" customHeight="1">
      <c r="E796" s="84"/>
      <c r="F796" s="84"/>
      <c r="AE796" s="84"/>
      <c r="AF796" s="84"/>
    </row>
    <row r="797" spans="5:32" ht="39.75" customHeight="1">
      <c r="E797" s="84"/>
      <c r="F797" s="84"/>
      <c r="AE797" s="84"/>
      <c r="AF797" s="84"/>
    </row>
    <row r="798" spans="5:32" ht="39.75" customHeight="1">
      <c r="E798" s="84"/>
      <c r="F798" s="84"/>
      <c r="AE798" s="84"/>
      <c r="AF798" s="84"/>
    </row>
    <row r="799" spans="5:32" ht="39.75" customHeight="1">
      <c r="E799" s="84"/>
      <c r="F799" s="84"/>
      <c r="AE799" s="84"/>
      <c r="AF799" s="84"/>
    </row>
    <row r="800" spans="5:32" ht="39.75" customHeight="1">
      <c r="E800" s="84"/>
      <c r="F800" s="84"/>
      <c r="AE800" s="84"/>
      <c r="AF800" s="84"/>
    </row>
    <row r="801" spans="5:32" ht="39.75" customHeight="1">
      <c r="E801" s="84"/>
      <c r="F801" s="84"/>
      <c r="AE801" s="84"/>
      <c r="AF801" s="84"/>
    </row>
    <row r="802" spans="5:32" ht="39.75" customHeight="1">
      <c r="E802" s="84"/>
      <c r="F802" s="84"/>
      <c r="AE802" s="84"/>
      <c r="AF802" s="84"/>
    </row>
    <row r="803" spans="5:32" ht="39.75" customHeight="1">
      <c r="E803" s="84"/>
      <c r="F803" s="84"/>
      <c r="AE803" s="84"/>
      <c r="AF803" s="84"/>
    </row>
    <row r="804" spans="5:32" ht="39.75" customHeight="1">
      <c r="E804" s="84"/>
      <c r="F804" s="84"/>
      <c r="AE804" s="84"/>
      <c r="AF804" s="84"/>
    </row>
    <row r="805" spans="5:32" ht="39.75" customHeight="1">
      <c r="E805" s="84"/>
      <c r="F805" s="84"/>
      <c r="AE805" s="84"/>
      <c r="AF805" s="84"/>
    </row>
    <row r="806" spans="5:32" ht="39.75" customHeight="1">
      <c r="E806" s="84"/>
      <c r="F806" s="84"/>
      <c r="AE806" s="84"/>
      <c r="AF806" s="84"/>
    </row>
    <row r="807" spans="5:32" ht="39.75" customHeight="1">
      <c r="E807" s="84"/>
      <c r="F807" s="84"/>
      <c r="AE807" s="84"/>
      <c r="AF807" s="84"/>
    </row>
    <row r="808" spans="5:32" ht="39.75" customHeight="1">
      <c r="E808" s="84"/>
      <c r="F808" s="84"/>
      <c r="AE808" s="84"/>
      <c r="AF808" s="84"/>
    </row>
    <row r="809" spans="5:32" ht="39.75" customHeight="1">
      <c r="E809" s="84"/>
      <c r="F809" s="84"/>
      <c r="AE809" s="84"/>
      <c r="AF809" s="84"/>
    </row>
    <row r="810" spans="5:32" ht="39.75" customHeight="1">
      <c r="E810" s="84"/>
      <c r="F810" s="84"/>
      <c r="AE810" s="84"/>
      <c r="AF810" s="84"/>
    </row>
    <row r="811" spans="5:32" ht="39.75" customHeight="1">
      <c r="E811" s="84"/>
      <c r="F811" s="84"/>
      <c r="AE811" s="84"/>
      <c r="AF811" s="84"/>
    </row>
    <row r="812" spans="5:32" ht="39.75" customHeight="1">
      <c r="E812" s="84"/>
      <c r="F812" s="84"/>
      <c r="AE812" s="84"/>
      <c r="AF812" s="84"/>
    </row>
    <row r="813" spans="5:32" ht="39.75" customHeight="1">
      <c r="E813" s="84"/>
      <c r="F813" s="84"/>
      <c r="AE813" s="84"/>
      <c r="AF813" s="84"/>
    </row>
    <row r="814" spans="5:32" ht="39.75" customHeight="1">
      <c r="E814" s="84"/>
      <c r="F814" s="84"/>
      <c r="AE814" s="84"/>
      <c r="AF814" s="84"/>
    </row>
    <row r="815" spans="5:32" ht="39.75" customHeight="1">
      <c r="E815" s="84"/>
      <c r="F815" s="84"/>
      <c r="AE815" s="84"/>
      <c r="AF815" s="84"/>
    </row>
    <row r="816" spans="5:32" ht="39.75" customHeight="1">
      <c r="E816" s="84"/>
      <c r="F816" s="84"/>
      <c r="AE816" s="84"/>
      <c r="AF816" s="84"/>
    </row>
    <row r="817" spans="5:32" ht="39.75" customHeight="1">
      <c r="E817" s="84"/>
      <c r="F817" s="84"/>
      <c r="AE817" s="84"/>
      <c r="AF817" s="84"/>
    </row>
    <row r="818" spans="5:32" ht="39.75" customHeight="1">
      <c r="E818" s="84"/>
      <c r="F818" s="84"/>
      <c r="AE818" s="84"/>
      <c r="AF818" s="84"/>
    </row>
    <row r="819" spans="5:32" ht="39.75" customHeight="1">
      <c r="E819" s="84"/>
      <c r="F819" s="84"/>
      <c r="AE819" s="84"/>
      <c r="AF819" s="84"/>
    </row>
    <row r="820" spans="5:32" ht="39.75" customHeight="1">
      <c r="E820" s="84"/>
      <c r="F820" s="84"/>
      <c r="AE820" s="84"/>
      <c r="AF820" s="84"/>
    </row>
    <row r="821" spans="5:32" ht="39.75" customHeight="1">
      <c r="E821" s="84"/>
      <c r="F821" s="84"/>
      <c r="AE821" s="84"/>
      <c r="AF821" s="84"/>
    </row>
    <row r="822" spans="5:32" ht="39.75" customHeight="1">
      <c r="E822" s="84"/>
      <c r="F822" s="84"/>
      <c r="AE822" s="84"/>
      <c r="AF822" s="84"/>
    </row>
    <row r="823" spans="5:32" ht="39.75" customHeight="1">
      <c r="E823" s="84"/>
      <c r="F823" s="84"/>
      <c r="AE823" s="84"/>
      <c r="AF823" s="84"/>
    </row>
    <row r="824" spans="5:32" ht="39.75" customHeight="1">
      <c r="E824" s="84"/>
      <c r="F824" s="84"/>
      <c r="AE824" s="84"/>
      <c r="AF824" s="84"/>
    </row>
    <row r="825" spans="5:32" ht="39.75" customHeight="1">
      <c r="E825" s="84"/>
      <c r="F825" s="84"/>
      <c r="AE825" s="84"/>
      <c r="AF825" s="84"/>
    </row>
    <row r="826" spans="5:32" ht="39.75" customHeight="1">
      <c r="E826" s="84"/>
      <c r="F826" s="84"/>
      <c r="AE826" s="84"/>
      <c r="AF826" s="84"/>
    </row>
    <row r="827" spans="5:32" ht="39.75" customHeight="1">
      <c r="E827" s="84"/>
      <c r="F827" s="84"/>
      <c r="AE827" s="84"/>
      <c r="AF827" s="84"/>
    </row>
    <row r="828" spans="5:32" ht="39.75" customHeight="1">
      <c r="E828" s="84"/>
      <c r="F828" s="84"/>
      <c r="AE828" s="84"/>
      <c r="AF828" s="84"/>
    </row>
    <row r="829" spans="5:32" ht="39.75" customHeight="1">
      <c r="E829" s="84"/>
      <c r="F829" s="84"/>
      <c r="AE829" s="84"/>
      <c r="AF829" s="84"/>
    </row>
    <row r="830" spans="5:32" ht="39.75" customHeight="1">
      <c r="E830" s="84"/>
      <c r="F830" s="84"/>
      <c r="AE830" s="84"/>
      <c r="AF830" s="84"/>
    </row>
    <row r="831" spans="5:32" ht="39.75" customHeight="1">
      <c r="E831" s="84"/>
      <c r="F831" s="84"/>
      <c r="AE831" s="84"/>
      <c r="AF831" s="84"/>
    </row>
    <row r="832" spans="5:32" ht="39.75" customHeight="1">
      <c r="E832" s="84"/>
      <c r="F832" s="84"/>
      <c r="AE832" s="84"/>
      <c r="AF832" s="84"/>
    </row>
    <row r="833" spans="5:32" ht="39.75" customHeight="1">
      <c r="E833" s="84"/>
      <c r="F833" s="84"/>
      <c r="AE833" s="84"/>
      <c r="AF833" s="84"/>
    </row>
    <row r="834" spans="5:32" ht="39.75" customHeight="1">
      <c r="E834" s="84"/>
      <c r="F834" s="84"/>
      <c r="AE834" s="84"/>
      <c r="AF834" s="84"/>
    </row>
    <row r="835" spans="5:32" ht="39.75" customHeight="1">
      <c r="E835" s="84"/>
      <c r="F835" s="84"/>
      <c r="AE835" s="84"/>
      <c r="AF835" s="84"/>
    </row>
    <row r="836" spans="5:32" ht="39.75" customHeight="1">
      <c r="E836" s="84"/>
      <c r="F836" s="84"/>
      <c r="AE836" s="84"/>
      <c r="AF836" s="84"/>
    </row>
    <row r="837" spans="5:32" ht="39.75" customHeight="1">
      <c r="E837" s="84"/>
      <c r="F837" s="84"/>
      <c r="AE837" s="84"/>
      <c r="AF837" s="84"/>
    </row>
    <row r="838" spans="5:32" ht="39.75" customHeight="1">
      <c r="E838" s="84"/>
      <c r="F838" s="84"/>
      <c r="AE838" s="84"/>
      <c r="AF838" s="84"/>
    </row>
    <row r="839" spans="5:32" ht="39.75" customHeight="1">
      <c r="E839" s="84"/>
      <c r="F839" s="84"/>
      <c r="AE839" s="84"/>
      <c r="AF839" s="84"/>
    </row>
    <row r="840" spans="5:32" ht="39.75" customHeight="1">
      <c r="E840" s="84"/>
      <c r="F840" s="84"/>
      <c r="AE840" s="84"/>
      <c r="AF840" s="84"/>
    </row>
    <row r="841" spans="5:32" ht="39.75" customHeight="1">
      <c r="E841" s="84"/>
      <c r="F841" s="84"/>
      <c r="AE841" s="84"/>
      <c r="AF841" s="84"/>
    </row>
    <row r="842" spans="5:32" ht="39.75" customHeight="1">
      <c r="E842" s="84"/>
      <c r="F842" s="84"/>
      <c r="AE842" s="84"/>
      <c r="AF842" s="84"/>
    </row>
    <row r="843" spans="5:32" ht="39.75" customHeight="1">
      <c r="E843" s="84"/>
      <c r="F843" s="84"/>
      <c r="AE843" s="84"/>
      <c r="AF843" s="84"/>
    </row>
    <row r="844" spans="5:32" ht="39.75" customHeight="1">
      <c r="E844" s="84"/>
      <c r="F844" s="84"/>
      <c r="AE844" s="84"/>
      <c r="AF844" s="84"/>
    </row>
    <row r="845" spans="5:32" ht="39.75" customHeight="1">
      <c r="E845" s="84"/>
      <c r="F845" s="84"/>
      <c r="AE845" s="84"/>
      <c r="AF845" s="84"/>
    </row>
    <row r="846" spans="5:32" ht="39.75" customHeight="1">
      <c r="E846" s="84"/>
      <c r="F846" s="84"/>
      <c r="AE846" s="84"/>
      <c r="AF846" s="84"/>
    </row>
    <row r="847" spans="5:32" ht="39.75" customHeight="1">
      <c r="E847" s="84"/>
      <c r="F847" s="84"/>
      <c r="AE847" s="84"/>
      <c r="AF847" s="84"/>
    </row>
    <row r="848" spans="5:32" ht="39.75" customHeight="1">
      <c r="E848" s="84"/>
      <c r="F848" s="84"/>
      <c r="AE848" s="84"/>
      <c r="AF848" s="84"/>
    </row>
    <row r="849" spans="5:32" ht="39.75" customHeight="1">
      <c r="E849" s="84"/>
      <c r="F849" s="84"/>
      <c r="AE849" s="84"/>
      <c r="AF849" s="84"/>
    </row>
    <row r="850" spans="5:32" ht="39.75" customHeight="1">
      <c r="E850" s="84"/>
      <c r="F850" s="84"/>
      <c r="AE850" s="84"/>
      <c r="AF850" s="84"/>
    </row>
    <row r="851" spans="5:32" ht="39.75" customHeight="1">
      <c r="E851" s="84"/>
      <c r="F851" s="84"/>
      <c r="AE851" s="84"/>
      <c r="AF851" s="84"/>
    </row>
    <row r="852" spans="5:32" ht="39.75" customHeight="1">
      <c r="E852" s="84"/>
      <c r="F852" s="84"/>
      <c r="AE852" s="84"/>
      <c r="AF852" s="84"/>
    </row>
    <row r="853" spans="5:32" ht="39.75" customHeight="1">
      <c r="E853" s="84"/>
      <c r="F853" s="84"/>
      <c r="AE853" s="84"/>
      <c r="AF853" s="84"/>
    </row>
    <row r="854" spans="5:32" ht="39.75" customHeight="1">
      <c r="E854" s="84"/>
      <c r="F854" s="84"/>
      <c r="AE854" s="84"/>
      <c r="AF854" s="84"/>
    </row>
    <row r="855" spans="5:32" ht="39.75" customHeight="1">
      <c r="E855" s="84"/>
      <c r="F855" s="84"/>
      <c r="AE855" s="84"/>
      <c r="AF855" s="84"/>
    </row>
    <row r="856" spans="5:32" ht="39.75" customHeight="1">
      <c r="E856" s="84"/>
      <c r="F856" s="84"/>
      <c r="AE856" s="84"/>
      <c r="AF856" s="84"/>
    </row>
    <row r="857" spans="5:32" ht="39.75" customHeight="1">
      <c r="E857" s="84"/>
      <c r="F857" s="84"/>
      <c r="AE857" s="84"/>
      <c r="AF857" s="84"/>
    </row>
    <row r="858" spans="5:32" ht="39.75" customHeight="1">
      <c r="E858" s="84"/>
      <c r="F858" s="84"/>
      <c r="AE858" s="84"/>
      <c r="AF858" s="84"/>
    </row>
    <row r="859" spans="5:32" ht="39.75" customHeight="1">
      <c r="E859" s="84"/>
      <c r="F859" s="84"/>
      <c r="AE859" s="84"/>
      <c r="AF859" s="84"/>
    </row>
    <row r="860" spans="5:32" ht="39.75" customHeight="1">
      <c r="E860" s="84"/>
      <c r="F860" s="84"/>
      <c r="AE860" s="84"/>
      <c r="AF860" s="84"/>
    </row>
    <row r="861" spans="5:32" ht="39.75" customHeight="1">
      <c r="E861" s="84"/>
      <c r="F861" s="84"/>
      <c r="AE861" s="84"/>
      <c r="AF861" s="84"/>
    </row>
    <row r="862" spans="5:32" ht="39.75" customHeight="1">
      <c r="E862" s="84"/>
      <c r="F862" s="84"/>
      <c r="AE862" s="84"/>
      <c r="AF862" s="84"/>
    </row>
    <row r="863" spans="5:32" ht="39.75" customHeight="1">
      <c r="E863" s="84"/>
      <c r="F863" s="84"/>
      <c r="AE863" s="84"/>
      <c r="AF863" s="84"/>
    </row>
    <row r="864" spans="5:32" ht="39.75" customHeight="1">
      <c r="E864" s="84"/>
      <c r="F864" s="84"/>
      <c r="AE864" s="84"/>
      <c r="AF864" s="84"/>
    </row>
    <row r="865" spans="5:32" ht="39.75" customHeight="1">
      <c r="E865" s="84"/>
      <c r="F865" s="84"/>
      <c r="AE865" s="84"/>
      <c r="AF865" s="84"/>
    </row>
    <row r="866" spans="5:32" ht="39.75" customHeight="1">
      <c r="E866" s="84"/>
      <c r="F866" s="84"/>
      <c r="AE866" s="84"/>
      <c r="AF866" s="84"/>
    </row>
    <row r="867" spans="5:32" ht="39.75" customHeight="1">
      <c r="E867" s="84"/>
      <c r="F867" s="84"/>
      <c r="AE867" s="84"/>
      <c r="AF867" s="84"/>
    </row>
    <row r="868" spans="5:32" ht="39.75" customHeight="1">
      <c r="E868" s="84"/>
      <c r="F868" s="84"/>
      <c r="AE868" s="84"/>
      <c r="AF868" s="84"/>
    </row>
    <row r="869" spans="5:32" ht="39.75" customHeight="1">
      <c r="E869" s="84"/>
      <c r="F869" s="84"/>
      <c r="AE869" s="84"/>
      <c r="AF869" s="84"/>
    </row>
    <row r="870" spans="5:32" ht="39.75" customHeight="1">
      <c r="E870" s="84"/>
      <c r="F870" s="84"/>
      <c r="AE870" s="84"/>
      <c r="AF870" s="84"/>
    </row>
    <row r="871" spans="5:32" ht="39.75" customHeight="1">
      <c r="E871" s="84"/>
      <c r="F871" s="84"/>
      <c r="AE871" s="84"/>
      <c r="AF871" s="84"/>
    </row>
    <row r="872" spans="5:32" ht="39.75" customHeight="1">
      <c r="E872" s="84"/>
      <c r="F872" s="84"/>
      <c r="AE872" s="84"/>
      <c r="AF872" s="84"/>
    </row>
    <row r="873" spans="5:32" ht="39.75" customHeight="1">
      <c r="E873" s="84"/>
      <c r="F873" s="84"/>
      <c r="AE873" s="84"/>
      <c r="AF873" s="84"/>
    </row>
    <row r="874" spans="5:32" ht="39.75" customHeight="1">
      <c r="E874" s="84"/>
      <c r="F874" s="84"/>
      <c r="AE874" s="84"/>
      <c r="AF874" s="84"/>
    </row>
    <row r="875" spans="5:32" ht="39.75" customHeight="1">
      <c r="E875" s="84"/>
      <c r="F875" s="84"/>
      <c r="AE875" s="84"/>
      <c r="AF875" s="84"/>
    </row>
    <row r="876" spans="5:32" ht="39.75" customHeight="1">
      <c r="E876" s="84"/>
      <c r="F876" s="84"/>
      <c r="AE876" s="84"/>
      <c r="AF876" s="84"/>
    </row>
    <row r="877" spans="5:32" ht="39.75" customHeight="1">
      <c r="E877" s="84"/>
      <c r="F877" s="84"/>
      <c r="AE877" s="84"/>
      <c r="AF877" s="84"/>
    </row>
    <row r="878" spans="5:32" ht="39.75" customHeight="1">
      <c r="E878" s="84"/>
      <c r="F878" s="84"/>
      <c r="AE878" s="84"/>
      <c r="AF878" s="84"/>
    </row>
    <row r="879" spans="5:32" ht="39.75" customHeight="1">
      <c r="E879" s="84"/>
      <c r="F879" s="84"/>
      <c r="AE879" s="84"/>
      <c r="AF879" s="84"/>
    </row>
    <row r="880" spans="5:32" ht="39.75" customHeight="1">
      <c r="E880" s="84"/>
      <c r="F880" s="84"/>
      <c r="AE880" s="84"/>
      <c r="AF880" s="84"/>
    </row>
    <row r="881" spans="5:32" ht="39.75" customHeight="1">
      <c r="E881" s="84"/>
      <c r="F881" s="84"/>
      <c r="AE881" s="84"/>
      <c r="AF881" s="84"/>
    </row>
    <row r="882" spans="5:32" ht="39.75" customHeight="1">
      <c r="E882" s="84"/>
      <c r="F882" s="84"/>
      <c r="AE882" s="84"/>
      <c r="AF882" s="84"/>
    </row>
    <row r="883" spans="5:32" ht="39.75" customHeight="1">
      <c r="E883" s="84"/>
      <c r="F883" s="84"/>
      <c r="AE883" s="84"/>
      <c r="AF883" s="84"/>
    </row>
    <row r="884" spans="5:32" ht="39.75" customHeight="1">
      <c r="E884" s="84"/>
      <c r="F884" s="84"/>
      <c r="AE884" s="84"/>
      <c r="AF884" s="84"/>
    </row>
    <row r="885" spans="5:32" ht="39.75" customHeight="1">
      <c r="E885" s="84"/>
      <c r="F885" s="84"/>
      <c r="AE885" s="84"/>
      <c r="AF885" s="84"/>
    </row>
    <row r="886" spans="5:32" ht="39.75" customHeight="1">
      <c r="E886" s="84"/>
      <c r="F886" s="84"/>
      <c r="AE886" s="84"/>
      <c r="AF886" s="84"/>
    </row>
    <row r="887" spans="5:32" ht="39.75" customHeight="1">
      <c r="E887" s="84"/>
      <c r="F887" s="84"/>
      <c r="AE887" s="84"/>
      <c r="AF887" s="84"/>
    </row>
    <row r="888" spans="5:32" ht="39.75" customHeight="1">
      <c r="E888" s="84"/>
      <c r="F888" s="84"/>
      <c r="AE888" s="84"/>
      <c r="AF888" s="84"/>
    </row>
    <row r="889" spans="5:32" ht="39.75" customHeight="1">
      <c r="E889" s="84"/>
      <c r="F889" s="84"/>
      <c r="AE889" s="84"/>
      <c r="AF889" s="84"/>
    </row>
    <row r="890" spans="5:32" ht="39.75" customHeight="1">
      <c r="E890" s="84"/>
      <c r="F890" s="84"/>
      <c r="AE890" s="84"/>
      <c r="AF890" s="84"/>
    </row>
    <row r="891" spans="5:32" ht="39.75" customHeight="1">
      <c r="E891" s="84"/>
      <c r="F891" s="84"/>
      <c r="AE891" s="84"/>
      <c r="AF891" s="84"/>
    </row>
    <row r="892" spans="5:32" ht="39.75" customHeight="1">
      <c r="E892" s="84"/>
      <c r="F892" s="84"/>
      <c r="AE892" s="84"/>
      <c r="AF892" s="84"/>
    </row>
    <row r="893" spans="5:32" ht="39.75" customHeight="1">
      <c r="E893" s="84"/>
      <c r="F893" s="84"/>
      <c r="AE893" s="84"/>
      <c r="AF893" s="84"/>
    </row>
    <row r="894" spans="5:32" ht="39.75" customHeight="1">
      <c r="E894" s="84"/>
      <c r="F894" s="84"/>
      <c r="AE894" s="84"/>
      <c r="AF894" s="84"/>
    </row>
    <row r="895" spans="5:32" ht="39.75" customHeight="1">
      <c r="E895" s="84"/>
      <c r="F895" s="84"/>
      <c r="AE895" s="84"/>
      <c r="AF895" s="84"/>
    </row>
    <row r="896" spans="5:32" ht="39.75" customHeight="1">
      <c r="E896" s="84"/>
      <c r="F896" s="84"/>
      <c r="AE896" s="84"/>
      <c r="AF896" s="84"/>
    </row>
    <row r="897" spans="5:32" ht="39.75" customHeight="1">
      <c r="E897" s="84"/>
      <c r="F897" s="84"/>
      <c r="AE897" s="84"/>
      <c r="AF897" s="84"/>
    </row>
    <row r="898" spans="5:32" ht="39.75" customHeight="1">
      <c r="E898" s="84"/>
      <c r="F898" s="84"/>
      <c r="AE898" s="84"/>
      <c r="AF898" s="84"/>
    </row>
    <row r="899" spans="5:32" ht="39.75" customHeight="1">
      <c r="E899" s="84"/>
      <c r="F899" s="84"/>
      <c r="AE899" s="84"/>
      <c r="AF899" s="84"/>
    </row>
    <row r="900" spans="5:32" ht="39.75" customHeight="1">
      <c r="E900" s="84"/>
      <c r="F900" s="84"/>
      <c r="AE900" s="84"/>
      <c r="AF900" s="84"/>
    </row>
    <row r="901" spans="5:32" ht="39.75" customHeight="1">
      <c r="E901" s="84"/>
      <c r="F901" s="84"/>
      <c r="AE901" s="84"/>
      <c r="AF901" s="84"/>
    </row>
    <row r="902" spans="5:32" ht="39.75" customHeight="1">
      <c r="E902" s="84"/>
      <c r="F902" s="84"/>
      <c r="AE902" s="84"/>
      <c r="AF902" s="84"/>
    </row>
    <row r="903" spans="5:32" ht="39.75" customHeight="1">
      <c r="E903" s="84"/>
      <c r="F903" s="84"/>
      <c r="AE903" s="84"/>
      <c r="AF903" s="84"/>
    </row>
    <row r="904" spans="5:32" ht="39.75" customHeight="1">
      <c r="E904" s="84"/>
      <c r="F904" s="84"/>
      <c r="AE904" s="84"/>
      <c r="AF904" s="84"/>
    </row>
    <row r="905" spans="5:32" ht="39.75" customHeight="1">
      <c r="E905" s="84"/>
      <c r="F905" s="84"/>
      <c r="AE905" s="84"/>
      <c r="AF905" s="84"/>
    </row>
    <row r="906" spans="5:32" ht="39.75" customHeight="1">
      <c r="E906" s="84"/>
      <c r="F906" s="84"/>
      <c r="AE906" s="84"/>
      <c r="AF906" s="84"/>
    </row>
    <row r="907" spans="5:32" ht="39.75" customHeight="1">
      <c r="E907" s="84"/>
      <c r="F907" s="84"/>
      <c r="AE907" s="84"/>
      <c r="AF907" s="84"/>
    </row>
    <row r="908" spans="5:32" ht="39.75" customHeight="1">
      <c r="E908" s="84"/>
      <c r="F908" s="84"/>
      <c r="AE908" s="84"/>
      <c r="AF908" s="84"/>
    </row>
    <row r="909" spans="5:32" ht="39.75" customHeight="1">
      <c r="E909" s="84"/>
      <c r="F909" s="84"/>
      <c r="AE909" s="84"/>
      <c r="AF909" s="84"/>
    </row>
    <row r="910" spans="5:32" ht="39.75" customHeight="1">
      <c r="E910" s="84"/>
      <c r="F910" s="84"/>
      <c r="AE910" s="84"/>
      <c r="AF910" s="84"/>
    </row>
    <row r="911" spans="5:32" ht="39.75" customHeight="1">
      <c r="E911" s="84"/>
      <c r="F911" s="84"/>
      <c r="AE911" s="84"/>
      <c r="AF911" s="84"/>
    </row>
    <row r="912" spans="5:32" ht="39.75" customHeight="1">
      <c r="E912" s="84"/>
      <c r="F912" s="84"/>
      <c r="AE912" s="84"/>
      <c r="AF912" s="84"/>
    </row>
    <row r="913" spans="5:32" ht="39.75" customHeight="1">
      <c r="E913" s="84"/>
      <c r="F913" s="84"/>
      <c r="AE913" s="84"/>
      <c r="AF913" s="84"/>
    </row>
    <row r="914" spans="5:32" ht="39.75" customHeight="1">
      <c r="E914" s="84"/>
      <c r="F914" s="84"/>
      <c r="AE914" s="84"/>
      <c r="AF914" s="84"/>
    </row>
    <row r="915" spans="5:32" ht="39.75" customHeight="1">
      <c r="E915" s="84"/>
      <c r="F915" s="84"/>
      <c r="AE915" s="84"/>
      <c r="AF915" s="84"/>
    </row>
    <row r="916" spans="5:32" ht="39.75" customHeight="1">
      <c r="E916" s="84"/>
      <c r="F916" s="84"/>
      <c r="AE916" s="84"/>
      <c r="AF916" s="84"/>
    </row>
    <row r="917" spans="5:32" ht="39.75" customHeight="1">
      <c r="E917" s="84"/>
      <c r="F917" s="84"/>
      <c r="AE917" s="84"/>
      <c r="AF917" s="84"/>
    </row>
    <row r="918" spans="5:32" ht="39.75" customHeight="1">
      <c r="E918" s="84"/>
      <c r="F918" s="84"/>
      <c r="AE918" s="84"/>
      <c r="AF918" s="84"/>
    </row>
    <row r="919" spans="5:32" ht="39.75" customHeight="1">
      <c r="E919" s="84"/>
      <c r="F919" s="84"/>
      <c r="AE919" s="84"/>
      <c r="AF919" s="84"/>
    </row>
    <row r="920" spans="5:32" ht="39.75" customHeight="1">
      <c r="E920" s="84"/>
      <c r="F920" s="84"/>
      <c r="AE920" s="84"/>
      <c r="AF920" s="84"/>
    </row>
    <row r="921" spans="5:32" ht="39.75" customHeight="1">
      <c r="E921" s="84"/>
      <c r="F921" s="84"/>
      <c r="AE921" s="84"/>
      <c r="AF921" s="84"/>
    </row>
    <row r="922" spans="5:32" ht="39.75" customHeight="1">
      <c r="E922" s="84"/>
      <c r="F922" s="84"/>
      <c r="AE922" s="84"/>
      <c r="AF922" s="84"/>
    </row>
    <row r="923" spans="5:32" ht="39.75" customHeight="1">
      <c r="E923" s="84"/>
      <c r="F923" s="84"/>
      <c r="AE923" s="84"/>
      <c r="AF923" s="84"/>
    </row>
    <row r="924" spans="5:32" ht="39.75" customHeight="1">
      <c r="E924" s="84"/>
      <c r="F924" s="84"/>
      <c r="AE924" s="84"/>
      <c r="AF924" s="84"/>
    </row>
    <row r="925" spans="5:32" ht="39.75" customHeight="1">
      <c r="E925" s="84"/>
      <c r="F925" s="84"/>
      <c r="AE925" s="84"/>
      <c r="AF925" s="84"/>
    </row>
    <row r="926" spans="5:32" ht="39.75" customHeight="1">
      <c r="E926" s="84"/>
      <c r="F926" s="84"/>
      <c r="AE926" s="84"/>
      <c r="AF926" s="84"/>
    </row>
    <row r="927" spans="5:32" ht="39.75" customHeight="1">
      <c r="E927" s="84"/>
      <c r="F927" s="84"/>
      <c r="AE927" s="84"/>
      <c r="AF927" s="84"/>
    </row>
    <row r="928" spans="5:32" ht="39.75" customHeight="1">
      <c r="E928" s="84"/>
      <c r="F928" s="84"/>
      <c r="AE928" s="84"/>
      <c r="AF928" s="84"/>
    </row>
    <row r="929" spans="5:32" ht="39.75" customHeight="1">
      <c r="E929" s="84"/>
      <c r="F929" s="84"/>
      <c r="AE929" s="84"/>
      <c r="AF929" s="84"/>
    </row>
    <row r="930" spans="5:32" ht="39.75" customHeight="1">
      <c r="E930" s="84"/>
      <c r="F930" s="84"/>
      <c r="AE930" s="84"/>
      <c r="AF930" s="84"/>
    </row>
    <row r="931" spans="5:32" ht="39.75" customHeight="1">
      <c r="E931" s="84"/>
      <c r="F931" s="84"/>
      <c r="AE931" s="84"/>
      <c r="AF931" s="84"/>
    </row>
    <row r="932" spans="5:32" ht="39.75" customHeight="1">
      <c r="E932" s="84"/>
      <c r="F932" s="84"/>
      <c r="AE932" s="84"/>
      <c r="AF932" s="84"/>
    </row>
    <row r="933" spans="5:32" ht="39.75" customHeight="1">
      <c r="E933" s="84"/>
      <c r="F933" s="84"/>
      <c r="AE933" s="84"/>
      <c r="AF933" s="84"/>
    </row>
    <row r="934" spans="5:32" ht="39.75" customHeight="1">
      <c r="E934" s="84"/>
      <c r="F934" s="84"/>
      <c r="AE934" s="84"/>
      <c r="AF934" s="84"/>
    </row>
    <row r="935" spans="5:32" ht="39.75" customHeight="1">
      <c r="E935" s="84"/>
      <c r="F935" s="84"/>
      <c r="AE935" s="84"/>
      <c r="AF935" s="84"/>
    </row>
    <row r="936" spans="5:32" ht="39.75" customHeight="1">
      <c r="E936" s="84"/>
      <c r="F936" s="84"/>
      <c r="AE936" s="84"/>
      <c r="AF936" s="84"/>
    </row>
    <row r="937" spans="5:32" ht="39.75" customHeight="1">
      <c r="E937" s="84"/>
      <c r="F937" s="84"/>
      <c r="AE937" s="84"/>
      <c r="AF937" s="84"/>
    </row>
    <row r="938" spans="5:32" ht="39.75" customHeight="1">
      <c r="E938" s="84"/>
      <c r="F938" s="84"/>
      <c r="AE938" s="84"/>
      <c r="AF938" s="84"/>
    </row>
    <row r="939" spans="5:32" ht="39.75" customHeight="1">
      <c r="E939" s="84"/>
      <c r="F939" s="84"/>
      <c r="AE939" s="84"/>
      <c r="AF939" s="84"/>
    </row>
    <row r="940" spans="5:32" ht="39.75" customHeight="1">
      <c r="E940" s="84"/>
      <c r="F940" s="84"/>
      <c r="AE940" s="84"/>
      <c r="AF940" s="84"/>
    </row>
    <row r="941" spans="5:32" ht="39.75" customHeight="1">
      <c r="E941" s="84"/>
      <c r="F941" s="84"/>
      <c r="AE941" s="84"/>
      <c r="AF941" s="84"/>
    </row>
    <row r="942" spans="5:32" ht="39.75" customHeight="1">
      <c r="E942" s="84"/>
      <c r="F942" s="84"/>
      <c r="AE942" s="84"/>
      <c r="AF942" s="84"/>
    </row>
    <row r="943" spans="5:32" ht="39.75" customHeight="1">
      <c r="E943" s="84"/>
      <c r="F943" s="84"/>
      <c r="AE943" s="84"/>
      <c r="AF943" s="84"/>
    </row>
    <row r="944" spans="5:32" ht="39.75" customHeight="1">
      <c r="E944" s="84"/>
      <c r="F944" s="84"/>
      <c r="AE944" s="84"/>
      <c r="AF944" s="84"/>
    </row>
    <row r="945" spans="5:32" ht="39.75" customHeight="1">
      <c r="E945" s="84"/>
      <c r="F945" s="84"/>
      <c r="AE945" s="84"/>
      <c r="AF945" s="84"/>
    </row>
    <row r="946" spans="5:32" ht="39.75" customHeight="1">
      <c r="E946" s="84"/>
      <c r="F946" s="84"/>
      <c r="AE946" s="84"/>
      <c r="AF946" s="84"/>
    </row>
    <row r="947" spans="5:32" ht="39.75" customHeight="1">
      <c r="E947" s="84"/>
      <c r="F947" s="84"/>
      <c r="AE947" s="84"/>
      <c r="AF947" s="84"/>
    </row>
    <row r="948" spans="5:32" ht="39.75" customHeight="1">
      <c r="E948" s="84"/>
      <c r="F948" s="84"/>
      <c r="AE948" s="84"/>
      <c r="AF948" s="84"/>
    </row>
    <row r="949" spans="5:32" ht="39.75" customHeight="1">
      <c r="E949" s="84"/>
      <c r="F949" s="84"/>
      <c r="AE949" s="84"/>
      <c r="AF949" s="84"/>
    </row>
    <row r="950" spans="5:32" ht="39.75" customHeight="1">
      <c r="E950" s="84"/>
      <c r="F950" s="84"/>
      <c r="AE950" s="84"/>
      <c r="AF950" s="84"/>
    </row>
    <row r="951" spans="5:32" ht="39.75" customHeight="1">
      <c r="E951" s="84"/>
      <c r="F951" s="84"/>
      <c r="AE951" s="84"/>
      <c r="AF951" s="84"/>
    </row>
    <row r="952" spans="5:32" ht="39.75" customHeight="1">
      <c r="E952" s="84"/>
      <c r="F952" s="84"/>
      <c r="AE952" s="84"/>
      <c r="AF952" s="84"/>
    </row>
    <row r="953" spans="5:32" ht="39.75" customHeight="1">
      <c r="E953" s="84"/>
      <c r="F953" s="84"/>
      <c r="AE953" s="84"/>
      <c r="AF953" s="84"/>
    </row>
    <row r="954" spans="5:32" ht="39.75" customHeight="1">
      <c r="E954" s="84"/>
      <c r="F954" s="84"/>
      <c r="AE954" s="84"/>
      <c r="AF954" s="84"/>
    </row>
    <row r="955" spans="5:32" ht="39.75" customHeight="1">
      <c r="E955" s="84"/>
      <c r="F955" s="84"/>
      <c r="AE955" s="84"/>
      <c r="AF955" s="84"/>
    </row>
    <row r="956" spans="5:32" ht="39.75" customHeight="1">
      <c r="E956" s="84"/>
      <c r="F956" s="84"/>
      <c r="AE956" s="84"/>
      <c r="AF956" s="84"/>
    </row>
    <row r="957" spans="5:32" ht="39.75" customHeight="1">
      <c r="E957" s="84"/>
      <c r="F957" s="84"/>
      <c r="AE957" s="84"/>
      <c r="AF957" s="84"/>
    </row>
    <row r="958" spans="5:32" ht="39.75" customHeight="1">
      <c r="E958" s="84"/>
      <c r="F958" s="84"/>
      <c r="AE958" s="84"/>
      <c r="AF958" s="84"/>
    </row>
    <row r="959" spans="5:32" ht="39.75" customHeight="1">
      <c r="E959" s="84"/>
      <c r="F959" s="84"/>
      <c r="AE959" s="84"/>
      <c r="AF959" s="84"/>
    </row>
    <row r="960" spans="5:32" ht="39.75" customHeight="1">
      <c r="E960" s="84"/>
      <c r="F960" s="84"/>
      <c r="AE960" s="84"/>
      <c r="AF960" s="84"/>
    </row>
    <row r="961" spans="5:32" ht="39.75" customHeight="1">
      <c r="E961" s="84"/>
      <c r="F961" s="84"/>
      <c r="AE961" s="84"/>
      <c r="AF961" s="84"/>
    </row>
    <row r="962" spans="5:32" ht="39.75" customHeight="1">
      <c r="E962" s="84"/>
      <c r="F962" s="84"/>
      <c r="AE962" s="84"/>
      <c r="AF962" s="84"/>
    </row>
    <row r="963" spans="5:32" ht="39.75" customHeight="1">
      <c r="E963" s="84"/>
      <c r="F963" s="84"/>
      <c r="AE963" s="84"/>
      <c r="AF963" s="84"/>
    </row>
    <row r="964" spans="5:32" ht="39.75" customHeight="1">
      <c r="E964" s="84"/>
      <c r="F964" s="84"/>
      <c r="AE964" s="84"/>
      <c r="AF964" s="84"/>
    </row>
    <row r="965" spans="5:32" ht="39.75" customHeight="1">
      <c r="E965" s="84"/>
      <c r="F965" s="84"/>
      <c r="AE965" s="84"/>
      <c r="AF965" s="84"/>
    </row>
    <row r="966" spans="5:32" ht="39.75" customHeight="1">
      <c r="E966" s="84"/>
      <c r="F966" s="84"/>
      <c r="AE966" s="84"/>
      <c r="AF966" s="84"/>
    </row>
    <row r="967" spans="5:32" ht="39.75" customHeight="1">
      <c r="E967" s="84"/>
      <c r="F967" s="84"/>
      <c r="AE967" s="84"/>
      <c r="AF967" s="84"/>
    </row>
    <row r="968" spans="5:32" ht="39.75" customHeight="1">
      <c r="E968" s="84"/>
      <c r="F968" s="84"/>
      <c r="AE968" s="84"/>
      <c r="AF968" s="84"/>
    </row>
    <row r="969" spans="5:32" ht="39.75" customHeight="1">
      <c r="E969" s="84"/>
      <c r="F969" s="84"/>
      <c r="AE969" s="84"/>
      <c r="AF969" s="84"/>
    </row>
    <row r="970" spans="5:32" ht="39.75" customHeight="1">
      <c r="E970" s="84"/>
      <c r="F970" s="84"/>
      <c r="AE970" s="84"/>
      <c r="AF970" s="84"/>
    </row>
    <row r="971" spans="5:32" ht="39.75" customHeight="1">
      <c r="E971" s="84"/>
      <c r="F971" s="84"/>
      <c r="AE971" s="84"/>
      <c r="AF971" s="84"/>
    </row>
    <row r="972" spans="5:32" ht="39.75" customHeight="1">
      <c r="E972" s="84"/>
      <c r="F972" s="84"/>
      <c r="AE972" s="84"/>
      <c r="AF972" s="84"/>
    </row>
    <row r="973" spans="5:32" ht="39.75" customHeight="1">
      <c r="E973" s="84"/>
      <c r="F973" s="84"/>
      <c r="AE973" s="84"/>
      <c r="AF973" s="84"/>
    </row>
    <row r="974" spans="5:32" ht="39.75" customHeight="1">
      <c r="E974" s="84"/>
      <c r="F974" s="84"/>
      <c r="AE974" s="84"/>
      <c r="AF974" s="84"/>
    </row>
    <row r="975" spans="5:32" ht="39.75" customHeight="1">
      <c r="E975" s="84"/>
      <c r="F975" s="84"/>
      <c r="AE975" s="84"/>
      <c r="AF975" s="84"/>
    </row>
    <row r="976" spans="5:32" ht="39.75" customHeight="1">
      <c r="E976" s="84"/>
      <c r="F976" s="84"/>
      <c r="AE976" s="84"/>
      <c r="AF976" s="84"/>
    </row>
    <row r="977" spans="5:32" ht="39.75" customHeight="1">
      <c r="E977" s="84"/>
      <c r="F977" s="84"/>
      <c r="AE977" s="84"/>
      <c r="AF977" s="84"/>
    </row>
    <row r="978" spans="5:32" ht="39.75" customHeight="1">
      <c r="E978" s="84"/>
      <c r="F978" s="84"/>
      <c r="AE978" s="84"/>
      <c r="AF978" s="84"/>
    </row>
    <row r="979" spans="5:32" ht="39.75" customHeight="1">
      <c r="E979" s="84"/>
      <c r="F979" s="84"/>
      <c r="AE979" s="84"/>
      <c r="AF979" s="84"/>
    </row>
    <row r="980" spans="5:32" ht="39.75" customHeight="1">
      <c r="E980" s="84"/>
      <c r="F980" s="84"/>
      <c r="AE980" s="84"/>
      <c r="AF980" s="84"/>
    </row>
    <row r="981" spans="5:32" ht="39.75" customHeight="1">
      <c r="E981" s="84"/>
      <c r="F981" s="84"/>
      <c r="AE981" s="84"/>
      <c r="AF981" s="84"/>
    </row>
    <row r="982" spans="5:32" ht="39.75" customHeight="1">
      <c r="E982" s="84"/>
      <c r="F982" s="84"/>
      <c r="AE982" s="84"/>
      <c r="AF982" s="84"/>
    </row>
    <row r="983" spans="5:32" ht="39.75" customHeight="1">
      <c r="E983" s="84"/>
      <c r="F983" s="84"/>
      <c r="AE983" s="84"/>
      <c r="AF983" s="84"/>
    </row>
    <row r="984" spans="5:32" ht="39.75" customHeight="1">
      <c r="E984" s="84"/>
      <c r="F984" s="84"/>
      <c r="AE984" s="84"/>
      <c r="AF984" s="84"/>
    </row>
    <row r="985" spans="5:32" ht="39.75" customHeight="1">
      <c r="E985" s="84"/>
      <c r="F985" s="84"/>
      <c r="AE985" s="84"/>
      <c r="AF985" s="84"/>
    </row>
    <row r="986" spans="5:32" ht="39.75" customHeight="1">
      <c r="E986" s="84"/>
      <c r="F986" s="84"/>
      <c r="AE986" s="84"/>
      <c r="AF986" s="84"/>
    </row>
    <row r="987" spans="5:32" ht="39.75" customHeight="1">
      <c r="E987" s="84"/>
      <c r="F987" s="84"/>
      <c r="AE987" s="84"/>
      <c r="AF987" s="84"/>
    </row>
    <row r="988" spans="5:32" ht="39.75" customHeight="1">
      <c r="E988" s="84"/>
      <c r="F988" s="84"/>
      <c r="AE988" s="84"/>
      <c r="AF988" s="84"/>
    </row>
    <row r="989" spans="5:32" ht="39.75" customHeight="1">
      <c r="E989" s="84"/>
      <c r="F989" s="84"/>
      <c r="AE989" s="84"/>
      <c r="AF989" s="84"/>
    </row>
    <row r="990" spans="5:32" ht="39.75" customHeight="1">
      <c r="E990" s="84"/>
      <c r="F990" s="84"/>
      <c r="AE990" s="84"/>
      <c r="AF990" s="84"/>
    </row>
    <row r="991" spans="5:32" ht="39.75" customHeight="1">
      <c r="E991" s="84"/>
      <c r="F991" s="84"/>
      <c r="AE991" s="84"/>
      <c r="AF991" s="84"/>
    </row>
    <row r="992" spans="5:32" ht="39.75" customHeight="1">
      <c r="E992" s="84"/>
      <c r="F992" s="84"/>
      <c r="AE992" s="84"/>
      <c r="AF992" s="84"/>
    </row>
    <row r="993" spans="5:32" ht="39.75" customHeight="1">
      <c r="E993" s="84"/>
      <c r="F993" s="84"/>
      <c r="AE993" s="84"/>
      <c r="AF993" s="84"/>
    </row>
    <row r="994" spans="5:32" ht="39.75" customHeight="1">
      <c r="E994" s="84"/>
      <c r="F994" s="84"/>
      <c r="AE994" s="84"/>
      <c r="AF994" s="84"/>
    </row>
    <row r="995" spans="5:32" ht="39.75" customHeight="1">
      <c r="E995" s="84"/>
      <c r="F995" s="84"/>
      <c r="AE995" s="84"/>
      <c r="AF995" s="84"/>
    </row>
    <row r="996" spans="5:32" ht="39.75" customHeight="1">
      <c r="E996" s="84"/>
      <c r="F996" s="84"/>
      <c r="AE996" s="84"/>
      <c r="AF996" s="84"/>
    </row>
    <row r="997" spans="5:32" ht="39.75" customHeight="1">
      <c r="E997" s="84"/>
      <c r="F997" s="84"/>
      <c r="AE997" s="84"/>
      <c r="AF997" s="84"/>
    </row>
    <row r="998" spans="5:32" ht="39.75" customHeight="1">
      <c r="E998" s="84"/>
      <c r="F998" s="84"/>
      <c r="AE998" s="84"/>
      <c r="AF998" s="84"/>
    </row>
    <row r="999" spans="5:32" ht="39.75" customHeight="1">
      <c r="E999" s="84"/>
      <c r="F999" s="84"/>
      <c r="AE999" s="84"/>
      <c r="AF999" s="84"/>
    </row>
    <row r="1000" spans="5:32" ht="39.75" customHeight="1">
      <c r="E1000" s="84"/>
      <c r="F1000" s="84"/>
      <c r="AE1000" s="84"/>
      <c r="AF1000" s="84"/>
    </row>
    <row r="1001" spans="5:32" ht="39.75" customHeight="1">
      <c r="E1001" s="84"/>
      <c r="F1001" s="84"/>
      <c r="AE1001" s="84"/>
      <c r="AF1001" s="84"/>
    </row>
    <row r="1002" spans="5:32" ht="39.75" customHeight="1">
      <c r="E1002" s="84"/>
      <c r="F1002" s="84"/>
      <c r="AE1002" s="84"/>
      <c r="AF1002" s="84"/>
    </row>
    <row r="1003" spans="5:32" ht="39.75" customHeight="1">
      <c r="E1003" s="84"/>
      <c r="F1003" s="84"/>
      <c r="AE1003" s="84"/>
      <c r="AF1003" s="84"/>
    </row>
    <row r="1004" spans="5:32" ht="39.75" customHeight="1">
      <c r="E1004" s="84"/>
      <c r="F1004" s="84"/>
      <c r="AE1004" s="84"/>
      <c r="AF1004" s="84"/>
    </row>
    <row r="1005" spans="5:32" ht="39.75" customHeight="1">
      <c r="E1005" s="84"/>
      <c r="F1005" s="84"/>
      <c r="AE1005" s="84"/>
      <c r="AF1005" s="84"/>
    </row>
    <row r="1006" spans="5:32" ht="39.75" customHeight="1">
      <c r="E1006" s="84"/>
      <c r="F1006" s="84"/>
      <c r="AE1006" s="84"/>
      <c r="AF1006" s="84"/>
    </row>
    <row r="1007" spans="5:32" ht="39.75" customHeight="1">
      <c r="E1007" s="84"/>
      <c r="F1007" s="84"/>
      <c r="AE1007" s="84"/>
      <c r="AF1007" s="84"/>
    </row>
    <row r="1008" spans="5:32" ht="39.75" customHeight="1">
      <c r="E1008" s="84"/>
      <c r="F1008" s="84"/>
      <c r="AE1008" s="84"/>
      <c r="AF1008" s="84"/>
    </row>
    <row r="1009" spans="5:32" ht="39.75" customHeight="1">
      <c r="E1009" s="84"/>
      <c r="F1009" s="84"/>
      <c r="AE1009" s="84"/>
      <c r="AF1009" s="84"/>
    </row>
    <row r="1010" spans="5:32" ht="39.75" customHeight="1">
      <c r="E1010" s="84"/>
      <c r="F1010" s="84"/>
      <c r="AE1010" s="84"/>
      <c r="AF1010" s="84"/>
    </row>
    <row r="1011" spans="5:32" ht="39.75" customHeight="1">
      <c r="E1011" s="84"/>
      <c r="F1011" s="84"/>
      <c r="AE1011" s="84"/>
      <c r="AF1011" s="84"/>
    </row>
    <row r="1012" spans="5:32" ht="39.75" customHeight="1">
      <c r="E1012" s="84"/>
      <c r="F1012" s="84"/>
      <c r="AE1012" s="84"/>
      <c r="AF1012" s="84"/>
    </row>
    <row r="1013" spans="5:32" ht="39.75" customHeight="1">
      <c r="E1013" s="84"/>
      <c r="F1013" s="84"/>
      <c r="AE1013" s="84"/>
      <c r="AF1013" s="84"/>
    </row>
    <row r="1014" spans="5:32" ht="39.75" customHeight="1">
      <c r="E1014" s="84"/>
      <c r="F1014" s="84"/>
      <c r="AE1014" s="84"/>
      <c r="AF1014" s="84"/>
    </row>
    <row r="1015" spans="5:32" ht="39.75" customHeight="1">
      <c r="E1015" s="84"/>
      <c r="F1015" s="84"/>
      <c r="AE1015" s="84"/>
      <c r="AF1015" s="84"/>
    </row>
    <row r="1016" spans="5:32" ht="39.75" customHeight="1">
      <c r="E1016" s="84"/>
      <c r="F1016" s="84"/>
      <c r="AE1016" s="84"/>
      <c r="AF1016" s="84"/>
    </row>
    <row r="1017" spans="5:32" ht="39.75" customHeight="1">
      <c r="E1017" s="84"/>
      <c r="F1017" s="84"/>
      <c r="AE1017" s="84"/>
      <c r="AF1017" s="84"/>
    </row>
    <row r="1018" spans="5:32" ht="39.75" customHeight="1">
      <c r="E1018" s="84"/>
      <c r="F1018" s="84"/>
      <c r="AE1018" s="84"/>
      <c r="AF1018" s="84"/>
    </row>
    <row r="1019" spans="5:32" ht="39.75" customHeight="1">
      <c r="E1019" s="84"/>
      <c r="F1019" s="84"/>
      <c r="AE1019" s="84"/>
      <c r="AF1019" s="84"/>
    </row>
    <row r="1020" spans="5:32" ht="39.75" customHeight="1">
      <c r="E1020" s="84"/>
      <c r="F1020" s="84"/>
      <c r="AE1020" s="84"/>
      <c r="AF1020" s="84"/>
    </row>
    <row r="1021" spans="5:32" ht="39.75" customHeight="1">
      <c r="E1021" s="84"/>
      <c r="F1021" s="84"/>
      <c r="AE1021" s="84"/>
      <c r="AF1021" s="84"/>
    </row>
    <row r="1022" spans="5:32" ht="39.75" customHeight="1">
      <c r="E1022" s="84"/>
      <c r="F1022" s="84"/>
      <c r="AE1022" s="84"/>
      <c r="AF1022" s="84"/>
    </row>
    <row r="1023" spans="5:32" ht="39.75" customHeight="1">
      <c r="E1023" s="84"/>
      <c r="F1023" s="84"/>
      <c r="AE1023" s="84"/>
      <c r="AF1023" s="84"/>
    </row>
    <row r="1024" spans="5:32" ht="39.75" customHeight="1">
      <c r="E1024" s="84"/>
      <c r="F1024" s="84"/>
      <c r="AE1024" s="84"/>
      <c r="AF1024" s="84"/>
    </row>
    <row r="1025" spans="5:32" ht="39.75" customHeight="1">
      <c r="E1025" s="84"/>
      <c r="F1025" s="84"/>
      <c r="AE1025" s="84"/>
      <c r="AF1025" s="84"/>
    </row>
    <row r="1026" spans="5:32" ht="39.75" customHeight="1">
      <c r="E1026" s="84"/>
      <c r="F1026" s="84"/>
      <c r="AE1026" s="84"/>
      <c r="AF1026" s="84"/>
    </row>
    <row r="1027" spans="5:32" ht="39.75" customHeight="1">
      <c r="E1027" s="84"/>
      <c r="F1027" s="84"/>
      <c r="AE1027" s="84"/>
      <c r="AF1027" s="84"/>
    </row>
    <row r="1028" spans="5:32" ht="39.75" customHeight="1">
      <c r="E1028" s="84"/>
      <c r="F1028" s="84"/>
      <c r="AE1028" s="84"/>
      <c r="AF1028" s="84"/>
    </row>
    <row r="1029" spans="5:32" ht="39.75" customHeight="1">
      <c r="E1029" s="84"/>
      <c r="F1029" s="84"/>
      <c r="AE1029" s="84"/>
      <c r="AF1029" s="84"/>
    </row>
    <row r="1030" spans="5:32" ht="39.75" customHeight="1">
      <c r="E1030" s="84"/>
      <c r="F1030" s="84"/>
      <c r="AE1030" s="84"/>
      <c r="AF1030" s="84"/>
    </row>
    <row r="1031" spans="5:32" ht="39.75" customHeight="1">
      <c r="E1031" s="84"/>
      <c r="F1031" s="84"/>
      <c r="AE1031" s="84"/>
      <c r="AF1031" s="84"/>
    </row>
    <row r="1032" spans="5:32" ht="39.75" customHeight="1">
      <c r="E1032" s="84"/>
      <c r="F1032" s="84"/>
      <c r="AE1032" s="84"/>
      <c r="AF1032" s="84"/>
    </row>
    <row r="1033" spans="5:32" ht="39.75" customHeight="1">
      <c r="E1033" s="84"/>
      <c r="F1033" s="84"/>
      <c r="AE1033" s="84"/>
      <c r="AF1033" s="84"/>
    </row>
    <row r="1034" spans="5:32" ht="39.75" customHeight="1">
      <c r="E1034" s="84"/>
      <c r="F1034" s="84"/>
      <c r="AE1034" s="84"/>
      <c r="AF1034" s="84"/>
    </row>
    <row r="1035" spans="5:32" ht="39.75" customHeight="1">
      <c r="E1035" s="84"/>
      <c r="F1035" s="84"/>
      <c r="AE1035" s="84"/>
      <c r="AF1035" s="84"/>
    </row>
    <row r="1036" spans="5:32" ht="39.75" customHeight="1">
      <c r="E1036" s="84"/>
      <c r="F1036" s="84"/>
      <c r="AE1036" s="84"/>
      <c r="AF1036" s="84"/>
    </row>
    <row r="1037" spans="5:32" ht="39.75" customHeight="1">
      <c r="E1037" s="84"/>
      <c r="F1037" s="84"/>
      <c r="AE1037" s="84"/>
      <c r="AF1037" s="84"/>
    </row>
    <row r="1038" spans="5:32" ht="39.75" customHeight="1">
      <c r="E1038" s="84"/>
      <c r="F1038" s="84"/>
      <c r="AE1038" s="84"/>
      <c r="AF1038" s="84"/>
    </row>
    <row r="1039" spans="5:32" ht="39.75" customHeight="1">
      <c r="E1039" s="84"/>
      <c r="F1039" s="84"/>
      <c r="AE1039" s="84"/>
      <c r="AF1039" s="84"/>
    </row>
    <row r="1040" spans="5:32" ht="39.75" customHeight="1">
      <c r="E1040" s="84"/>
      <c r="F1040" s="84"/>
      <c r="AE1040" s="84"/>
      <c r="AF1040" s="84"/>
    </row>
    <row r="1041" spans="5:32" ht="39.75" customHeight="1">
      <c r="E1041" s="84"/>
      <c r="F1041" s="84"/>
      <c r="AE1041" s="84"/>
      <c r="AF1041" s="84"/>
    </row>
    <row r="1042" spans="5:32" ht="39.75" customHeight="1">
      <c r="E1042" s="84"/>
      <c r="F1042" s="84"/>
      <c r="AE1042" s="84"/>
      <c r="AF1042" s="84"/>
    </row>
    <row r="1043" spans="5:32" ht="39.75" customHeight="1">
      <c r="E1043" s="84"/>
      <c r="F1043" s="84"/>
      <c r="AE1043" s="84"/>
      <c r="AF1043" s="84"/>
    </row>
    <row r="1044" spans="5:32" ht="39.75" customHeight="1">
      <c r="E1044" s="84"/>
      <c r="F1044" s="84"/>
      <c r="AE1044" s="84"/>
      <c r="AF1044" s="84"/>
    </row>
    <row r="1045" spans="5:32" ht="39.75" customHeight="1">
      <c r="E1045" s="84"/>
      <c r="F1045" s="84"/>
      <c r="AE1045" s="84"/>
      <c r="AF1045" s="84"/>
    </row>
    <row r="1046" spans="5:32" ht="39.75" customHeight="1">
      <c r="E1046" s="84"/>
      <c r="F1046" s="84"/>
      <c r="AE1046" s="84"/>
      <c r="AF1046" s="84"/>
    </row>
    <row r="1047" spans="5:32" ht="39.75" customHeight="1">
      <c r="E1047" s="84"/>
      <c r="F1047" s="84"/>
      <c r="AE1047" s="84"/>
      <c r="AF1047" s="84"/>
    </row>
    <row r="1048" spans="5:32" ht="39.75" customHeight="1">
      <c r="E1048" s="84"/>
      <c r="F1048" s="84"/>
      <c r="AE1048" s="84"/>
      <c r="AF1048" s="84"/>
    </row>
    <row r="1049" spans="5:32" ht="39.75" customHeight="1">
      <c r="E1049" s="84"/>
      <c r="F1049" s="84"/>
      <c r="AE1049" s="84"/>
      <c r="AF1049" s="84"/>
    </row>
    <row r="1050" spans="5:32" ht="39.75" customHeight="1">
      <c r="E1050" s="84"/>
      <c r="F1050" s="84"/>
      <c r="AE1050" s="84"/>
      <c r="AF1050" s="84"/>
    </row>
    <row r="1051" spans="5:32" ht="39.75" customHeight="1">
      <c r="E1051" s="84"/>
      <c r="F1051" s="84"/>
      <c r="AE1051" s="84"/>
      <c r="AF1051" s="84"/>
    </row>
    <row r="1052" spans="5:32" ht="39.75" customHeight="1">
      <c r="E1052" s="84"/>
      <c r="F1052" s="84"/>
      <c r="AE1052" s="84"/>
      <c r="AF1052" s="84"/>
    </row>
    <row r="1053" spans="5:32" ht="39.75" customHeight="1">
      <c r="E1053" s="84"/>
      <c r="F1053" s="84"/>
      <c r="AE1053" s="84"/>
      <c r="AF1053" s="84"/>
    </row>
    <row r="1054" spans="5:32" ht="39.75" customHeight="1">
      <c r="E1054" s="84"/>
      <c r="F1054" s="84"/>
      <c r="AE1054" s="84"/>
      <c r="AF1054" s="84"/>
    </row>
    <row r="1055" spans="5:32" ht="39.75" customHeight="1">
      <c r="E1055" s="84"/>
      <c r="F1055" s="84"/>
      <c r="AE1055" s="84"/>
      <c r="AF1055" s="84"/>
    </row>
    <row r="1056" spans="5:32" ht="39.75" customHeight="1">
      <c r="E1056" s="84"/>
      <c r="F1056" s="84"/>
      <c r="AE1056" s="84"/>
      <c r="AF1056" s="84"/>
    </row>
    <row r="1057" spans="5:32" ht="39.75" customHeight="1">
      <c r="E1057" s="84"/>
      <c r="F1057" s="84"/>
      <c r="AE1057" s="84"/>
      <c r="AF1057" s="84"/>
    </row>
    <row r="1058" spans="5:32" ht="39.75" customHeight="1">
      <c r="E1058" s="84"/>
      <c r="F1058" s="84"/>
      <c r="AE1058" s="84"/>
      <c r="AF1058" s="84"/>
    </row>
    <row r="1059" spans="5:32" ht="39.75" customHeight="1">
      <c r="E1059" s="84"/>
      <c r="F1059" s="84"/>
      <c r="AE1059" s="84"/>
      <c r="AF1059" s="84"/>
    </row>
    <row r="1060" spans="5:32" ht="39.75" customHeight="1">
      <c r="E1060" s="84"/>
      <c r="F1060" s="84"/>
      <c r="AE1060" s="84"/>
      <c r="AF1060" s="84"/>
    </row>
    <row r="1061" spans="5:32" ht="39.75" customHeight="1">
      <c r="E1061" s="84"/>
      <c r="F1061" s="84"/>
      <c r="AE1061" s="84"/>
      <c r="AF1061" s="84"/>
    </row>
    <row r="1062" spans="5:32" ht="39.75" customHeight="1">
      <c r="E1062" s="84"/>
      <c r="F1062" s="84"/>
      <c r="AE1062" s="84"/>
      <c r="AF1062" s="84"/>
    </row>
    <row r="1063" spans="5:32" ht="39.75" customHeight="1">
      <c r="E1063" s="84"/>
      <c r="F1063" s="84"/>
      <c r="AE1063" s="84"/>
      <c r="AF1063" s="84"/>
    </row>
    <row r="1064" spans="5:32" ht="39.75" customHeight="1">
      <c r="E1064" s="84"/>
      <c r="F1064" s="84"/>
      <c r="AE1064" s="84"/>
      <c r="AF1064" s="84"/>
    </row>
    <row r="1065" spans="5:32" ht="39.75" customHeight="1">
      <c r="E1065" s="84"/>
      <c r="F1065" s="84"/>
      <c r="AE1065" s="84"/>
      <c r="AF1065" s="84"/>
    </row>
    <row r="1066" spans="5:32" ht="39.75" customHeight="1">
      <c r="E1066" s="84"/>
      <c r="F1066" s="84"/>
      <c r="AE1066" s="84"/>
      <c r="AF1066" s="84"/>
    </row>
    <row r="1067" spans="5:32" ht="39.75" customHeight="1">
      <c r="E1067" s="84"/>
      <c r="F1067" s="84"/>
      <c r="AE1067" s="84"/>
      <c r="AF1067" s="84"/>
    </row>
    <row r="1068" spans="5:32" ht="39.75" customHeight="1">
      <c r="E1068" s="84"/>
      <c r="F1068" s="84"/>
      <c r="AE1068" s="84"/>
      <c r="AF1068" s="84"/>
    </row>
    <row r="1069" spans="5:32" ht="39.75" customHeight="1">
      <c r="E1069" s="84"/>
      <c r="F1069" s="84"/>
      <c r="AE1069" s="84"/>
      <c r="AF1069" s="84"/>
    </row>
    <row r="1070" spans="5:32" ht="39.75" customHeight="1">
      <c r="E1070" s="84"/>
      <c r="F1070" s="84"/>
      <c r="AE1070" s="84"/>
      <c r="AF1070" s="84"/>
    </row>
    <row r="1071" spans="5:32" ht="39.75" customHeight="1">
      <c r="E1071" s="84"/>
      <c r="F1071" s="84"/>
      <c r="AE1071" s="84"/>
      <c r="AF1071" s="84"/>
    </row>
    <row r="1072" spans="5:32" ht="39.75" customHeight="1">
      <c r="E1072" s="84"/>
      <c r="F1072" s="84"/>
      <c r="AE1072" s="84"/>
      <c r="AF1072" s="84"/>
    </row>
    <row r="1073" spans="5:32" ht="39.75" customHeight="1">
      <c r="E1073" s="84"/>
      <c r="F1073" s="84"/>
      <c r="AE1073" s="84"/>
      <c r="AF1073" s="84"/>
    </row>
    <row r="1074" spans="5:32" ht="39.75" customHeight="1">
      <c r="E1074" s="84"/>
      <c r="F1074" s="84"/>
      <c r="AE1074" s="84"/>
      <c r="AF1074" s="84"/>
    </row>
    <row r="1075" spans="5:32" ht="39.75" customHeight="1">
      <c r="E1075" s="84"/>
      <c r="F1075" s="84"/>
      <c r="AE1075" s="84"/>
      <c r="AF1075" s="84"/>
    </row>
    <row r="1076" spans="5:32" ht="39.75" customHeight="1">
      <c r="E1076" s="84"/>
      <c r="F1076" s="84"/>
      <c r="AE1076" s="84"/>
      <c r="AF1076" s="84"/>
    </row>
    <row r="1077" spans="5:32" ht="39.75" customHeight="1">
      <c r="E1077" s="84"/>
      <c r="F1077" s="84"/>
      <c r="AE1077" s="84"/>
      <c r="AF1077" s="84"/>
    </row>
    <row r="1078" spans="5:32" ht="39.75" customHeight="1">
      <c r="E1078" s="84"/>
      <c r="F1078" s="84"/>
      <c r="AE1078" s="84"/>
      <c r="AF1078" s="84"/>
    </row>
    <row r="1079" spans="5:32" ht="39.75" customHeight="1">
      <c r="E1079" s="84"/>
      <c r="F1079" s="84"/>
      <c r="AE1079" s="84"/>
      <c r="AF1079" s="84"/>
    </row>
    <row r="1080" spans="5:32" ht="39.75" customHeight="1">
      <c r="E1080" s="84"/>
      <c r="F1080" s="84"/>
      <c r="AE1080" s="84"/>
      <c r="AF1080" s="84"/>
    </row>
    <row r="1081" spans="5:32" ht="39.75" customHeight="1">
      <c r="E1081" s="84"/>
      <c r="F1081" s="84"/>
      <c r="AE1081" s="84"/>
      <c r="AF1081" s="84"/>
    </row>
    <row r="1082" spans="5:32" ht="39.75" customHeight="1">
      <c r="E1082" s="84"/>
      <c r="F1082" s="84"/>
      <c r="AE1082" s="84"/>
      <c r="AF1082" s="84"/>
    </row>
    <row r="1083" spans="5:32" ht="39.75" customHeight="1">
      <c r="E1083" s="84"/>
      <c r="F1083" s="84"/>
      <c r="AE1083" s="84"/>
      <c r="AF1083" s="84"/>
    </row>
    <row r="1084" spans="5:32" ht="39.75" customHeight="1">
      <c r="E1084" s="84"/>
      <c r="F1084" s="84"/>
      <c r="AE1084" s="84"/>
      <c r="AF1084" s="84"/>
    </row>
    <row r="1085" spans="5:32" ht="39.75" customHeight="1">
      <c r="E1085" s="84"/>
      <c r="F1085" s="84"/>
      <c r="AE1085" s="84"/>
      <c r="AF1085" s="84"/>
    </row>
    <row r="1086" spans="5:32" ht="39.75" customHeight="1">
      <c r="E1086" s="84"/>
      <c r="F1086" s="84"/>
      <c r="AE1086" s="84"/>
      <c r="AF1086" s="84"/>
    </row>
    <row r="1087" spans="5:32" ht="39.75" customHeight="1">
      <c r="E1087" s="84"/>
      <c r="F1087" s="84"/>
      <c r="AE1087" s="84"/>
      <c r="AF1087" s="84"/>
    </row>
    <row r="1088" spans="5:32" ht="39.75" customHeight="1">
      <c r="E1088" s="84"/>
      <c r="F1088" s="84"/>
      <c r="AE1088" s="84"/>
      <c r="AF1088" s="84"/>
    </row>
    <row r="1089" spans="5:32" ht="39.75" customHeight="1">
      <c r="E1089" s="84"/>
      <c r="F1089" s="84"/>
      <c r="AE1089" s="84"/>
      <c r="AF1089" s="84"/>
    </row>
    <row r="1090" spans="5:32" ht="39.75" customHeight="1">
      <c r="E1090" s="84"/>
      <c r="F1090" s="84"/>
      <c r="AE1090" s="84"/>
      <c r="AF1090" s="84"/>
    </row>
    <row r="1091" spans="5:32" ht="39.75" customHeight="1">
      <c r="E1091" s="84"/>
      <c r="F1091" s="84"/>
      <c r="AE1091" s="84"/>
      <c r="AF1091" s="84"/>
    </row>
    <row r="1092" spans="5:32" ht="39.75" customHeight="1">
      <c r="E1092" s="84"/>
      <c r="F1092" s="84"/>
      <c r="AE1092" s="84"/>
      <c r="AF1092" s="84"/>
    </row>
    <row r="1093" spans="5:32" ht="39.75" customHeight="1">
      <c r="E1093" s="84"/>
      <c r="F1093" s="84"/>
      <c r="AE1093" s="84"/>
      <c r="AF1093" s="84"/>
    </row>
    <row r="1094" spans="5:32" ht="39.75" customHeight="1">
      <c r="E1094" s="84"/>
      <c r="F1094" s="84"/>
      <c r="AE1094" s="84"/>
      <c r="AF1094" s="84"/>
    </row>
    <row r="1095" spans="5:32" ht="39.75" customHeight="1">
      <c r="E1095" s="84"/>
      <c r="F1095" s="84"/>
      <c r="AE1095" s="84"/>
      <c r="AF1095" s="84"/>
    </row>
    <row r="1096" spans="5:32" ht="39.75" customHeight="1">
      <c r="E1096" s="84"/>
      <c r="F1096" s="84"/>
      <c r="AE1096" s="84"/>
      <c r="AF1096" s="84"/>
    </row>
    <row r="1097" spans="5:32" ht="39.75" customHeight="1">
      <c r="E1097" s="84"/>
      <c r="F1097" s="84"/>
      <c r="AE1097" s="84"/>
      <c r="AF1097" s="84"/>
    </row>
    <row r="1098" spans="5:32" ht="39.75" customHeight="1">
      <c r="E1098" s="84"/>
      <c r="F1098" s="84"/>
      <c r="AE1098" s="84"/>
      <c r="AF1098" s="84"/>
    </row>
    <row r="1099" spans="5:32" ht="39.75" customHeight="1">
      <c r="E1099" s="84"/>
      <c r="F1099" s="84"/>
      <c r="AE1099" s="84"/>
      <c r="AF1099" s="84"/>
    </row>
    <row r="1100" spans="5:32" ht="39.75" customHeight="1">
      <c r="E1100" s="84"/>
      <c r="F1100" s="84"/>
      <c r="AE1100" s="84"/>
      <c r="AF1100" s="84"/>
    </row>
    <row r="1101" spans="5:32" ht="39.75" customHeight="1">
      <c r="E1101" s="84"/>
      <c r="F1101" s="84"/>
      <c r="AE1101" s="84"/>
      <c r="AF1101" s="84"/>
    </row>
    <row r="1102" spans="5:32" ht="39.75" customHeight="1">
      <c r="E1102" s="84"/>
      <c r="F1102" s="84"/>
      <c r="AE1102" s="84"/>
      <c r="AF1102" s="84"/>
    </row>
    <row r="1103" spans="5:32" ht="39.75" customHeight="1">
      <c r="E1103" s="84"/>
      <c r="F1103" s="84"/>
      <c r="AE1103" s="84"/>
      <c r="AF1103" s="84"/>
    </row>
    <row r="1104" spans="5:32" ht="39.75" customHeight="1">
      <c r="E1104" s="84"/>
      <c r="F1104" s="84"/>
      <c r="AE1104" s="84"/>
      <c r="AF1104" s="84"/>
    </row>
    <row r="1105" spans="5:32" ht="39.75" customHeight="1">
      <c r="E1105" s="84"/>
      <c r="F1105" s="84"/>
      <c r="AE1105" s="84"/>
      <c r="AF1105" s="84"/>
    </row>
    <row r="1106" spans="5:32" ht="39.75" customHeight="1">
      <c r="E1106" s="84"/>
      <c r="F1106" s="84"/>
      <c r="AE1106" s="84"/>
      <c r="AF1106" s="84"/>
    </row>
    <row r="1107" spans="5:32" ht="39.75" customHeight="1">
      <c r="E1107" s="84"/>
      <c r="F1107" s="84"/>
      <c r="AE1107" s="84"/>
      <c r="AF1107" s="84"/>
    </row>
    <row r="1108" spans="5:32" ht="39.75" customHeight="1">
      <c r="E1108" s="84"/>
      <c r="F1108" s="84"/>
      <c r="AE1108" s="84"/>
      <c r="AF1108" s="84"/>
    </row>
    <row r="1109" spans="5:32" ht="39.75" customHeight="1">
      <c r="E1109" s="84"/>
      <c r="F1109" s="84"/>
      <c r="AE1109" s="84"/>
      <c r="AF1109" s="84"/>
    </row>
    <row r="1110" spans="5:32" ht="39.75" customHeight="1">
      <c r="E1110" s="84"/>
      <c r="F1110" s="84"/>
      <c r="AE1110" s="84"/>
      <c r="AF1110" s="84"/>
    </row>
    <row r="1111" spans="5:32" ht="39.75" customHeight="1">
      <c r="E1111" s="84"/>
      <c r="F1111" s="84"/>
      <c r="AE1111" s="84"/>
      <c r="AF1111" s="84"/>
    </row>
    <row r="1112" spans="5:32" ht="39.75" customHeight="1">
      <c r="E1112" s="84"/>
      <c r="F1112" s="84"/>
      <c r="AE1112" s="84"/>
      <c r="AF1112" s="84"/>
    </row>
    <row r="1113" spans="5:32" ht="39.75" customHeight="1">
      <c r="E1113" s="84"/>
      <c r="F1113" s="84"/>
      <c r="AE1113" s="84"/>
      <c r="AF1113" s="84"/>
    </row>
    <row r="1114" spans="5:32" ht="39.75" customHeight="1">
      <c r="E1114" s="84"/>
      <c r="F1114" s="84"/>
      <c r="AE1114" s="84"/>
      <c r="AF1114" s="84"/>
    </row>
    <row r="1115" spans="5:32" ht="39.75" customHeight="1">
      <c r="E1115" s="84"/>
      <c r="F1115" s="84"/>
      <c r="AE1115" s="84"/>
      <c r="AF1115" s="84"/>
    </row>
    <row r="1116" spans="5:32" ht="39.75" customHeight="1">
      <c r="E1116" s="84"/>
      <c r="F1116" s="84"/>
      <c r="AE1116" s="84"/>
      <c r="AF1116" s="84"/>
    </row>
    <row r="1117" spans="5:32" ht="39.75" customHeight="1">
      <c r="E1117" s="84"/>
      <c r="F1117" s="84"/>
      <c r="AE1117" s="84"/>
      <c r="AF1117" s="84"/>
    </row>
    <row r="1118" spans="5:32" ht="39.75" customHeight="1">
      <c r="E1118" s="84"/>
      <c r="F1118" s="84"/>
      <c r="AE1118" s="84"/>
      <c r="AF1118" s="84"/>
    </row>
    <row r="1119" spans="5:32" ht="39.75" customHeight="1">
      <c r="E1119" s="84"/>
      <c r="F1119" s="84"/>
      <c r="AE1119" s="84"/>
      <c r="AF1119" s="84"/>
    </row>
    <row r="1120" spans="5:32" ht="39.75" customHeight="1">
      <c r="E1120" s="84"/>
      <c r="F1120" s="84"/>
      <c r="AE1120" s="84"/>
      <c r="AF1120" s="84"/>
    </row>
    <row r="1121" spans="5:32" ht="39.75" customHeight="1">
      <c r="E1121" s="84"/>
      <c r="F1121" s="84"/>
      <c r="AE1121" s="84"/>
      <c r="AF1121" s="84"/>
    </row>
    <row r="1122" spans="5:32" ht="39.75" customHeight="1">
      <c r="E1122" s="84"/>
      <c r="F1122" s="84"/>
      <c r="AE1122" s="84"/>
      <c r="AF1122" s="84"/>
    </row>
    <row r="1123" spans="5:32" ht="39.75" customHeight="1">
      <c r="E1123" s="84"/>
      <c r="F1123" s="84"/>
      <c r="AE1123" s="84"/>
      <c r="AF1123" s="84"/>
    </row>
    <row r="1124" spans="5:32" ht="39.75" customHeight="1">
      <c r="E1124" s="84"/>
      <c r="F1124" s="84"/>
      <c r="AE1124" s="84"/>
      <c r="AF1124" s="84"/>
    </row>
    <row r="1125" spans="5:32" ht="39.75" customHeight="1">
      <c r="E1125" s="84"/>
      <c r="F1125" s="84"/>
      <c r="AE1125" s="84"/>
      <c r="AF1125" s="84"/>
    </row>
    <row r="1126" spans="5:32" ht="39.75" customHeight="1">
      <c r="E1126" s="84"/>
      <c r="F1126" s="84"/>
      <c r="AE1126" s="84"/>
      <c r="AF1126" s="84"/>
    </row>
    <row r="1127" spans="5:32" ht="39.75" customHeight="1">
      <c r="E1127" s="84"/>
      <c r="F1127" s="84"/>
      <c r="AE1127" s="84"/>
      <c r="AF1127" s="84"/>
    </row>
    <row r="1128" spans="5:32" ht="39.75" customHeight="1">
      <c r="E1128" s="84"/>
      <c r="F1128" s="84"/>
      <c r="AE1128" s="84"/>
      <c r="AF1128" s="84"/>
    </row>
    <row r="1129" spans="5:32" ht="39.75" customHeight="1">
      <c r="E1129" s="84"/>
      <c r="F1129" s="84"/>
      <c r="AE1129" s="84"/>
      <c r="AF1129" s="84"/>
    </row>
    <row r="1130" spans="5:32" ht="39.75" customHeight="1">
      <c r="E1130" s="84"/>
      <c r="F1130" s="84"/>
      <c r="AE1130" s="84"/>
      <c r="AF1130" s="84"/>
    </row>
    <row r="1131" spans="5:32" ht="39.75" customHeight="1">
      <c r="E1131" s="84"/>
      <c r="F1131" s="84"/>
      <c r="AE1131" s="84"/>
      <c r="AF1131" s="84"/>
    </row>
    <row r="1132" spans="5:32" ht="39.75" customHeight="1">
      <c r="E1132" s="84"/>
      <c r="F1132" s="84"/>
      <c r="AE1132" s="84"/>
      <c r="AF1132" s="84"/>
    </row>
    <row r="1133" spans="5:32" ht="39.75" customHeight="1">
      <c r="E1133" s="84"/>
      <c r="F1133" s="84"/>
      <c r="AE1133" s="84"/>
      <c r="AF1133" s="84"/>
    </row>
    <row r="1134" spans="5:32" ht="39.75" customHeight="1">
      <c r="E1134" s="84"/>
      <c r="F1134" s="84"/>
      <c r="AE1134" s="84"/>
      <c r="AF1134" s="84"/>
    </row>
    <row r="1135" spans="5:32" ht="39.75" customHeight="1">
      <c r="E1135" s="84"/>
      <c r="F1135" s="84"/>
      <c r="AE1135" s="84"/>
      <c r="AF1135" s="84"/>
    </row>
    <row r="1136" spans="5:32" ht="39.75" customHeight="1">
      <c r="E1136" s="84"/>
      <c r="F1136" s="84"/>
      <c r="AE1136" s="84"/>
      <c r="AF1136" s="84"/>
    </row>
    <row r="1137" spans="5:32" ht="39.75" customHeight="1">
      <c r="E1137" s="84"/>
      <c r="F1137" s="84"/>
      <c r="AE1137" s="84"/>
      <c r="AF1137" s="84"/>
    </row>
    <row r="1138" spans="5:32" ht="39.75" customHeight="1">
      <c r="E1138" s="84"/>
      <c r="F1138" s="84"/>
      <c r="AE1138" s="84"/>
      <c r="AF1138" s="84"/>
    </row>
    <row r="1139" spans="5:32" ht="39.75" customHeight="1">
      <c r="E1139" s="84"/>
      <c r="F1139" s="84"/>
      <c r="AE1139" s="84"/>
      <c r="AF1139" s="84"/>
    </row>
    <row r="1140" spans="5:32" ht="39.75" customHeight="1">
      <c r="E1140" s="84"/>
      <c r="F1140" s="84"/>
      <c r="AE1140" s="84"/>
      <c r="AF1140" s="84"/>
    </row>
    <row r="1141" spans="5:32" ht="39.75" customHeight="1">
      <c r="E1141" s="84"/>
      <c r="F1141" s="84"/>
      <c r="AE1141" s="84"/>
      <c r="AF1141" s="84"/>
    </row>
    <row r="1142" spans="5:32" ht="39.75" customHeight="1">
      <c r="E1142" s="84"/>
      <c r="F1142" s="84"/>
      <c r="AE1142" s="84"/>
      <c r="AF1142" s="84"/>
    </row>
  </sheetData>
  <sheetProtection algorithmName="SHA-512" hashValue="kIxznv6vhD/nVNMj4VDRN/jPQ9NfLkCiqhIgEcS6V6jg2rIE3xEnCIk8xxz74j475JsgxIf2RIsbMCfgoubERw==" saltValue="yTVDDFRHdsM0p4Ci+/gOzA==" spinCount="100000" sheet="1" objects="1" scenarios="1"/>
  <mergeCells count="387">
    <mergeCell ref="W20:AA20"/>
    <mergeCell ref="M20:M21"/>
    <mergeCell ref="M84:M88"/>
    <mergeCell ref="P20:P21"/>
    <mergeCell ref="P84:P88"/>
    <mergeCell ref="Q20:Q21"/>
    <mergeCell ref="Q84:Q88"/>
    <mergeCell ref="R20:R21"/>
    <mergeCell ref="R84:R88"/>
    <mergeCell ref="AA23:AA25"/>
    <mergeCell ref="AA26:AA29"/>
    <mergeCell ref="AA33:AA34"/>
    <mergeCell ref="AA35:AA37"/>
    <mergeCell ref="AA40:AA42"/>
    <mergeCell ref="AA43:AA44"/>
    <mergeCell ref="AA48:AA49"/>
    <mergeCell ref="AA50:AA51"/>
    <mergeCell ref="AA52:AA53"/>
    <mergeCell ref="AA54:AA55"/>
    <mergeCell ref="AA57:AA58"/>
    <mergeCell ref="AA59:AA61"/>
    <mergeCell ref="AA66:AA67"/>
    <mergeCell ref="Z23:Z25"/>
    <mergeCell ref="Z59:Z61"/>
    <mergeCell ref="A1:T1"/>
    <mergeCell ref="U20:U21"/>
    <mergeCell ref="E20:E21"/>
    <mergeCell ref="U43:U44"/>
    <mergeCell ref="V43:V44"/>
    <mergeCell ref="W43:W44"/>
    <mergeCell ref="X43:X44"/>
    <mergeCell ref="C26:C29"/>
    <mergeCell ref="T26:T29"/>
    <mergeCell ref="K20:K21"/>
    <mergeCell ref="L20:L21"/>
    <mergeCell ref="S20:S21"/>
    <mergeCell ref="X23:X25"/>
    <mergeCell ref="F20:F21"/>
    <mergeCell ref="T35:T37"/>
    <mergeCell ref="U35:U37"/>
    <mergeCell ref="V35:V37"/>
    <mergeCell ref="W35:W37"/>
    <mergeCell ref="X35:X37"/>
    <mergeCell ref="G20:G21"/>
    <mergeCell ref="I20:I21"/>
    <mergeCell ref="J20:J21"/>
    <mergeCell ref="C20:C21"/>
    <mergeCell ref="A2:T2"/>
    <mergeCell ref="A17:AB17"/>
    <mergeCell ref="B26:B29"/>
    <mergeCell ref="W2:AB2"/>
    <mergeCell ref="A16:E16"/>
    <mergeCell ref="AB20:AB21"/>
    <mergeCell ref="B23:B25"/>
    <mergeCell ref="C23:C25"/>
    <mergeCell ref="H20:H21"/>
    <mergeCell ref="T23:T25"/>
    <mergeCell ref="V23:V25"/>
    <mergeCell ref="W23:W25"/>
    <mergeCell ref="A19:T19"/>
    <mergeCell ref="U23:U25"/>
    <mergeCell ref="T20:T21"/>
    <mergeCell ref="V20:V21"/>
    <mergeCell ref="AB23:AB37"/>
    <mergeCell ref="V26:V29"/>
    <mergeCell ref="W26:W29"/>
    <mergeCell ref="X26:X29"/>
    <mergeCell ref="O20:O21"/>
    <mergeCell ref="D20:D21"/>
    <mergeCell ref="A3:AB3"/>
    <mergeCell ref="A23:A25"/>
    <mergeCell ref="Z26:Z29"/>
    <mergeCell ref="B35:B37"/>
    <mergeCell ref="C35:C37"/>
    <mergeCell ref="S48:S49"/>
    <mergeCell ref="S43:S44"/>
    <mergeCell ref="T43:T44"/>
    <mergeCell ref="U33:U34"/>
    <mergeCell ref="S23:S37"/>
    <mergeCell ref="S40:S42"/>
    <mergeCell ref="B33:B34"/>
    <mergeCell ref="B40:B42"/>
    <mergeCell ref="C40:C42"/>
    <mergeCell ref="C33:C34"/>
    <mergeCell ref="T40:T42"/>
    <mergeCell ref="U40:U42"/>
    <mergeCell ref="A20:A21"/>
    <mergeCell ref="B20:B21"/>
    <mergeCell ref="A33:A34"/>
    <mergeCell ref="A40:A42"/>
    <mergeCell ref="A43:A44"/>
    <mergeCell ref="B43:B44"/>
    <mergeCell ref="B50:B51"/>
    <mergeCell ref="A35:A37"/>
    <mergeCell ref="A105:D105"/>
    <mergeCell ref="C43:C44"/>
    <mergeCell ref="A54:A55"/>
    <mergeCell ref="D84:D88"/>
    <mergeCell ref="B83:B88"/>
    <mergeCell ref="C83:C88"/>
    <mergeCell ref="B54:B55"/>
    <mergeCell ref="B57:B58"/>
    <mergeCell ref="C81:C82"/>
    <mergeCell ref="C54:C55"/>
    <mergeCell ref="A52:A53"/>
    <mergeCell ref="C66:C67"/>
    <mergeCell ref="C57:C58"/>
    <mergeCell ref="C52:C53"/>
    <mergeCell ref="B52:B53"/>
    <mergeCell ref="B59:B61"/>
    <mergeCell ref="A81:A82"/>
    <mergeCell ref="A97:A98"/>
    <mergeCell ref="B97:B98"/>
    <mergeCell ref="C97:C98"/>
    <mergeCell ref="B103:B104"/>
    <mergeCell ref="C103:C104"/>
    <mergeCell ref="B81:B82"/>
    <mergeCell ref="A70:A71"/>
    <mergeCell ref="B70:B71"/>
    <mergeCell ref="C70:C71"/>
    <mergeCell ref="A72:A73"/>
    <mergeCell ref="B72:B73"/>
    <mergeCell ref="C72:C73"/>
    <mergeCell ref="T33:T34"/>
    <mergeCell ref="B107:D107"/>
    <mergeCell ref="B108:D108"/>
    <mergeCell ref="B116:D116"/>
    <mergeCell ref="A48:A49"/>
    <mergeCell ref="B48:B49"/>
    <mergeCell ref="C48:C49"/>
    <mergeCell ref="T48:T49"/>
    <mergeCell ref="A50:A51"/>
    <mergeCell ref="A66:A67"/>
    <mergeCell ref="B66:B67"/>
    <mergeCell ref="A59:A61"/>
    <mergeCell ref="B115:D115"/>
    <mergeCell ref="B113:D113"/>
    <mergeCell ref="B114:D114"/>
    <mergeCell ref="B109:D109"/>
    <mergeCell ref="B110:D110"/>
    <mergeCell ref="B111:D111"/>
    <mergeCell ref="B112:D112"/>
    <mergeCell ref="B106:D106"/>
    <mergeCell ref="A57:A58"/>
    <mergeCell ref="T54:T55"/>
    <mergeCell ref="A106:A116"/>
    <mergeCell ref="A68:A69"/>
    <mergeCell ref="Y23:Y25"/>
    <mergeCell ref="W48:W49"/>
    <mergeCell ref="U54:U55"/>
    <mergeCell ref="W59:W61"/>
    <mergeCell ref="V57:V58"/>
    <mergeCell ref="W50:W51"/>
    <mergeCell ref="X54:X55"/>
    <mergeCell ref="X57:X58"/>
    <mergeCell ref="Y57:Y58"/>
    <mergeCell ref="V54:V55"/>
    <mergeCell ref="W54:W55"/>
    <mergeCell ref="Y50:Y51"/>
    <mergeCell ref="U50:U51"/>
    <mergeCell ref="V50:V51"/>
    <mergeCell ref="U26:U29"/>
    <mergeCell ref="X40:X42"/>
    <mergeCell ref="Y26:Y29"/>
    <mergeCell ref="U48:U49"/>
    <mergeCell ref="X48:X49"/>
    <mergeCell ref="U57:U58"/>
    <mergeCell ref="V33:V34"/>
    <mergeCell ref="W33:W34"/>
    <mergeCell ref="X33:X34"/>
    <mergeCell ref="Y52:Y53"/>
    <mergeCell ref="S105:T105"/>
    <mergeCell ref="AB81:AB92"/>
    <mergeCell ref="I84:I88"/>
    <mergeCell ref="J84:J88"/>
    <mergeCell ref="O84:O88"/>
    <mergeCell ref="S81:S92"/>
    <mergeCell ref="T68:T69"/>
    <mergeCell ref="S66:S67"/>
    <mergeCell ref="W91:W92"/>
    <mergeCell ref="T83:T88"/>
    <mergeCell ref="K84:K88"/>
    <mergeCell ref="W66:W67"/>
    <mergeCell ref="V66:V67"/>
    <mergeCell ref="X81:X82"/>
    <mergeCell ref="Y81:Y82"/>
    <mergeCell ref="X68:X69"/>
    <mergeCell ref="X66:X67"/>
    <mergeCell ref="Y66:Y67"/>
    <mergeCell ref="AB94:AB95"/>
    <mergeCell ref="AB66:AB67"/>
    <mergeCell ref="AB68:AB69"/>
    <mergeCell ref="Z89:Z92"/>
    <mergeCell ref="AA89:AA92"/>
    <mergeCell ref="AA94:AA95"/>
    <mergeCell ref="U94:U95"/>
    <mergeCell ref="V94:V95"/>
    <mergeCell ref="W94:W95"/>
    <mergeCell ref="X94:X95"/>
    <mergeCell ref="Y94:Y95"/>
    <mergeCell ref="S59:S61"/>
    <mergeCell ref="U83:U88"/>
    <mergeCell ref="Y59:Y61"/>
    <mergeCell ref="Y68:Y69"/>
    <mergeCell ref="X59:X61"/>
    <mergeCell ref="T66:T67"/>
    <mergeCell ref="U66:U67"/>
    <mergeCell ref="T59:T61"/>
    <mergeCell ref="T89:T92"/>
    <mergeCell ref="U89:U92"/>
    <mergeCell ref="Y74:Y75"/>
    <mergeCell ref="V89:V92"/>
    <mergeCell ref="X89:X92"/>
    <mergeCell ref="Y89:Y92"/>
    <mergeCell ref="T81:T82"/>
    <mergeCell ref="U81:U82"/>
    <mergeCell ref="V81:V82"/>
    <mergeCell ref="Z81:Z82"/>
    <mergeCell ref="W52:W53"/>
    <mergeCell ref="Z50:Z51"/>
    <mergeCell ref="Y48:Y49"/>
    <mergeCell ref="X52:X53"/>
    <mergeCell ref="X50:X51"/>
    <mergeCell ref="Y54:Y55"/>
    <mergeCell ref="Z74:Z75"/>
    <mergeCell ref="Z57:Z58"/>
    <mergeCell ref="AA72:AA73"/>
    <mergeCell ref="AB48:AB49"/>
    <mergeCell ref="AB50:AB51"/>
    <mergeCell ref="Y33:Y34"/>
    <mergeCell ref="Y35:Y37"/>
    <mergeCell ref="Y40:Y42"/>
    <mergeCell ref="Z35:Z37"/>
    <mergeCell ref="Z40:Z42"/>
    <mergeCell ref="Z33:Z34"/>
    <mergeCell ref="Z43:Z44"/>
    <mergeCell ref="Z48:Z49"/>
    <mergeCell ref="Z52:Z53"/>
    <mergeCell ref="Z54:Z55"/>
    <mergeCell ref="Z66:Z67"/>
    <mergeCell ref="Z68:Z69"/>
    <mergeCell ref="Z94:Z95"/>
    <mergeCell ref="S94:S95"/>
    <mergeCell ref="T94:T95"/>
    <mergeCell ref="AA81:AA82"/>
    <mergeCell ref="Y43:Y44"/>
    <mergeCell ref="AB57:AB58"/>
    <mergeCell ref="S52:S53"/>
    <mergeCell ref="U52:U53"/>
    <mergeCell ref="V52:V53"/>
    <mergeCell ref="V59:V61"/>
    <mergeCell ref="T57:T58"/>
    <mergeCell ref="S57:S58"/>
    <mergeCell ref="AB59:AB61"/>
    <mergeCell ref="Y45:Y46"/>
    <mergeCell ref="Z45:Z46"/>
    <mergeCell ref="AA45:AA46"/>
    <mergeCell ref="X70:X71"/>
    <mergeCell ref="Y70:Y71"/>
    <mergeCell ref="Z70:Z71"/>
    <mergeCell ref="AA70:AA71"/>
    <mergeCell ref="AB70:AB71"/>
    <mergeCell ref="X72:X73"/>
    <mergeCell ref="Y72:Y73"/>
    <mergeCell ref="Z72:Z73"/>
    <mergeCell ref="T52:T53"/>
    <mergeCell ref="S54:S55"/>
    <mergeCell ref="U59:U61"/>
    <mergeCell ref="S68:S69"/>
    <mergeCell ref="U68:U69"/>
    <mergeCell ref="W68:W69"/>
    <mergeCell ref="L84:L88"/>
    <mergeCell ref="T70:T71"/>
    <mergeCell ref="U70:U71"/>
    <mergeCell ref="V70:V71"/>
    <mergeCell ref="W70:W71"/>
    <mergeCell ref="T72:T73"/>
    <mergeCell ref="U72:U73"/>
    <mergeCell ref="V72:V73"/>
    <mergeCell ref="W72:W73"/>
    <mergeCell ref="W81:W82"/>
    <mergeCell ref="AA100:AA101"/>
    <mergeCell ref="AB100:AB101"/>
    <mergeCell ref="S97:S98"/>
    <mergeCell ref="T97:T98"/>
    <mergeCell ref="U97:U98"/>
    <mergeCell ref="V97:V98"/>
    <mergeCell ref="W97:W98"/>
    <mergeCell ref="X97:X98"/>
    <mergeCell ref="Y97:Y98"/>
    <mergeCell ref="Z97:Z98"/>
    <mergeCell ref="AB72:AB73"/>
    <mergeCell ref="AB40:AB46"/>
    <mergeCell ref="A45:A46"/>
    <mergeCell ref="B45:B46"/>
    <mergeCell ref="C45:C46"/>
    <mergeCell ref="S45:S46"/>
    <mergeCell ref="T45:T46"/>
    <mergeCell ref="U45:U46"/>
    <mergeCell ref="V45:V46"/>
    <mergeCell ref="W45:W46"/>
    <mergeCell ref="X45:X46"/>
    <mergeCell ref="C59:C61"/>
    <mergeCell ref="AA68:AA69"/>
    <mergeCell ref="AB52:AB53"/>
    <mergeCell ref="AB54:AB55"/>
    <mergeCell ref="V40:V42"/>
    <mergeCell ref="W40:W42"/>
    <mergeCell ref="C50:C51"/>
    <mergeCell ref="S50:S51"/>
    <mergeCell ref="T50:T51"/>
    <mergeCell ref="V48:V49"/>
    <mergeCell ref="S70:S73"/>
    <mergeCell ref="W57:W58"/>
    <mergeCell ref="V68:V69"/>
    <mergeCell ref="AA74:AA75"/>
    <mergeCell ref="AB74:AB75"/>
    <mergeCell ref="A74:A75"/>
    <mergeCell ref="B74:B75"/>
    <mergeCell ref="C74:C75"/>
    <mergeCell ref="S74:S75"/>
    <mergeCell ref="T74:T75"/>
    <mergeCell ref="U74:U75"/>
    <mergeCell ref="V74:V75"/>
    <mergeCell ref="W74:W75"/>
    <mergeCell ref="X74:X75"/>
    <mergeCell ref="AA97:AA98"/>
    <mergeCell ref="AB103:AB104"/>
    <mergeCell ref="A103:A104"/>
    <mergeCell ref="S103:S104"/>
    <mergeCell ref="T103:T104"/>
    <mergeCell ref="U103:U104"/>
    <mergeCell ref="V103:V104"/>
    <mergeCell ref="W103:W104"/>
    <mergeCell ref="X103:X104"/>
    <mergeCell ref="Y103:Y104"/>
    <mergeCell ref="Z103:Z104"/>
    <mergeCell ref="AA103:AA104"/>
    <mergeCell ref="AB97:AB98"/>
    <mergeCell ref="A100:A101"/>
    <mergeCell ref="B100:B101"/>
    <mergeCell ref="C100:C101"/>
    <mergeCell ref="S100:S101"/>
    <mergeCell ref="T100:T101"/>
    <mergeCell ref="U100:U101"/>
    <mergeCell ref="V100:V101"/>
    <mergeCell ref="W100:W101"/>
    <mergeCell ref="X100:X101"/>
    <mergeCell ref="Y100:Y101"/>
    <mergeCell ref="Z100:Z101"/>
    <mergeCell ref="Y76:Y79"/>
    <mergeCell ref="Z76:Z79"/>
    <mergeCell ref="AA76:AA79"/>
    <mergeCell ref="AB76:AB79"/>
    <mergeCell ref="A76:A79"/>
    <mergeCell ref="B76:B79"/>
    <mergeCell ref="C76:C79"/>
    <mergeCell ref="S76:S79"/>
    <mergeCell ref="T76:T79"/>
    <mergeCell ref="U76:U79"/>
    <mergeCell ref="V76:V79"/>
    <mergeCell ref="W76:W79"/>
    <mergeCell ref="X76:X79"/>
    <mergeCell ref="B5:O5"/>
    <mergeCell ref="B6:O6"/>
    <mergeCell ref="B7:O7"/>
    <mergeCell ref="B8:O8"/>
    <mergeCell ref="B9:O9"/>
    <mergeCell ref="B10:O10"/>
    <mergeCell ref="B11:O11"/>
    <mergeCell ref="B12:O12"/>
    <mergeCell ref="L120:L122"/>
    <mergeCell ref="E84:E88"/>
    <mergeCell ref="F84:F88"/>
    <mergeCell ref="G84:G88"/>
    <mergeCell ref="H84:H88"/>
    <mergeCell ref="A119:B119"/>
    <mergeCell ref="A26:A29"/>
    <mergeCell ref="A94:A95"/>
    <mergeCell ref="B94:B95"/>
    <mergeCell ref="C94:C95"/>
    <mergeCell ref="B68:B69"/>
    <mergeCell ref="C68:C69"/>
    <mergeCell ref="A83:A88"/>
    <mergeCell ref="A89:A92"/>
    <mergeCell ref="B89:B92"/>
    <mergeCell ref="C89:C92"/>
  </mergeCells>
  <conditionalFormatting sqref="G21:H21 E20:H20 S20:T20">
    <cfRule type="dataBar" priority="17">
      <dataBar>
        <cfvo type="min"/>
        <cfvo type="max"/>
        <color rgb="FF638EC6"/>
      </dataBar>
      <extLst>
        <ext xmlns:x14="http://schemas.microsoft.com/office/spreadsheetml/2009/9/main" uri="{B025F937-C7B1-47D3-B67F-A62EFF666E3E}">
          <x14:id>{0521AD24-E4FE-4337-B16A-F2B20FA85FBF}</x14:id>
        </ext>
      </extLst>
    </cfRule>
  </conditionalFormatting>
  <conditionalFormatting sqref="I20:J20">
    <cfRule type="dataBar" priority="15">
      <dataBar>
        <cfvo type="min"/>
        <cfvo type="max"/>
        <color rgb="FF638EC6"/>
      </dataBar>
      <extLst>
        <ext xmlns:x14="http://schemas.microsoft.com/office/spreadsheetml/2009/9/main" uri="{B025F937-C7B1-47D3-B67F-A62EFF666E3E}">
          <x14:id>{58FB212F-B1F3-4B8F-8CCE-8C9CA197742E}</x14:id>
        </ext>
      </extLst>
    </cfRule>
  </conditionalFormatting>
  <conditionalFormatting sqref="J21">
    <cfRule type="dataBar" priority="14">
      <dataBar>
        <cfvo type="min"/>
        <cfvo type="max"/>
        <color rgb="FF638EC6"/>
      </dataBar>
      <extLst>
        <ext xmlns:x14="http://schemas.microsoft.com/office/spreadsheetml/2009/9/main" uri="{B025F937-C7B1-47D3-B67F-A62EFF666E3E}">
          <x14:id>{8F453F47-2B0B-4A81-83DE-BC556920CA43}</x14:id>
        </ext>
      </extLst>
    </cfRule>
  </conditionalFormatting>
  <conditionalFormatting sqref="K20:L21">
    <cfRule type="dataBar" priority="11">
      <dataBar>
        <cfvo type="min"/>
        <cfvo type="max"/>
        <color rgb="FF638EC6"/>
      </dataBar>
      <extLst>
        <ext xmlns:x14="http://schemas.microsoft.com/office/spreadsheetml/2009/9/main" uri="{B025F937-C7B1-47D3-B67F-A62EFF666E3E}">
          <x14:id>{6C000220-BF3E-47DD-BE5A-F5FEBAD825F4}</x14:id>
        </ext>
      </extLst>
    </cfRule>
  </conditionalFormatting>
  <conditionalFormatting sqref="M20:N20">
    <cfRule type="dataBar" priority="8">
      <dataBar>
        <cfvo type="min"/>
        <cfvo type="max"/>
        <color rgb="FF638EC6"/>
      </dataBar>
      <extLst>
        <ext xmlns:x14="http://schemas.microsoft.com/office/spreadsheetml/2009/9/main" uri="{B025F937-C7B1-47D3-B67F-A62EFF666E3E}">
          <x14:id>{B250FCA8-CAD7-4DE5-8D71-72D66F559FDB}</x14:id>
        </ext>
      </extLst>
    </cfRule>
  </conditionalFormatting>
  <conditionalFormatting sqref="M21:N21">
    <cfRule type="dataBar" priority="7">
      <dataBar>
        <cfvo type="min"/>
        <cfvo type="max"/>
        <color rgb="FF638EC6"/>
      </dataBar>
      <extLst>
        <ext xmlns:x14="http://schemas.microsoft.com/office/spreadsheetml/2009/9/main" uri="{B025F937-C7B1-47D3-B67F-A62EFF666E3E}">
          <x14:id>{E48C2544-71DC-4CCF-B2E4-1CEC53A83B94}</x14:id>
        </ext>
      </extLst>
    </cfRule>
  </conditionalFormatting>
  <conditionalFormatting sqref="O20">
    <cfRule type="dataBar" priority="10">
      <dataBar>
        <cfvo type="min"/>
        <cfvo type="max"/>
        <color rgb="FF638EC6"/>
      </dataBar>
      <extLst>
        <ext xmlns:x14="http://schemas.microsoft.com/office/spreadsheetml/2009/9/main" uri="{B025F937-C7B1-47D3-B67F-A62EFF666E3E}">
          <x14:id>{BEE11C20-7607-4082-89F1-11A58A3A6CF7}</x14:id>
        </ext>
      </extLst>
    </cfRule>
  </conditionalFormatting>
  <conditionalFormatting sqref="O21">
    <cfRule type="dataBar" priority="9">
      <dataBar>
        <cfvo type="min"/>
        <cfvo type="max"/>
        <color rgb="FF638EC6"/>
      </dataBar>
      <extLst>
        <ext xmlns:x14="http://schemas.microsoft.com/office/spreadsheetml/2009/9/main" uri="{B025F937-C7B1-47D3-B67F-A62EFF666E3E}">
          <x14:id>{1D4C2017-7D55-4D61-B140-740C2D5637FC}</x14:id>
        </ext>
      </extLst>
    </cfRule>
  </conditionalFormatting>
  <conditionalFormatting sqref="P20">
    <cfRule type="dataBar" priority="6">
      <dataBar>
        <cfvo type="min"/>
        <cfvo type="max"/>
        <color rgb="FF638EC6"/>
      </dataBar>
      <extLst>
        <ext xmlns:x14="http://schemas.microsoft.com/office/spreadsheetml/2009/9/main" uri="{B025F937-C7B1-47D3-B67F-A62EFF666E3E}">
          <x14:id>{741403A9-1ADE-4FA5-BCFB-2372B73DFAD9}</x14:id>
        </ext>
      </extLst>
    </cfRule>
  </conditionalFormatting>
  <conditionalFormatting sqref="P21">
    <cfRule type="dataBar" priority="5">
      <dataBar>
        <cfvo type="min"/>
        <cfvo type="max"/>
        <color rgb="FF638EC6"/>
      </dataBar>
      <extLst>
        <ext xmlns:x14="http://schemas.microsoft.com/office/spreadsheetml/2009/9/main" uri="{B025F937-C7B1-47D3-B67F-A62EFF666E3E}">
          <x14:id>{B18CBA37-C031-49D8-A769-6953CC2F0788}</x14:id>
        </ext>
      </extLst>
    </cfRule>
  </conditionalFormatting>
  <conditionalFormatting sqref="Q20">
    <cfRule type="dataBar" priority="4">
      <dataBar>
        <cfvo type="min"/>
        <cfvo type="max"/>
        <color rgb="FF638EC6"/>
      </dataBar>
      <extLst>
        <ext xmlns:x14="http://schemas.microsoft.com/office/spreadsheetml/2009/9/main" uri="{B025F937-C7B1-47D3-B67F-A62EFF666E3E}">
          <x14:id>{41767875-464E-4BD3-B1CF-AEAD27A22BBC}</x14:id>
        </ext>
      </extLst>
    </cfRule>
  </conditionalFormatting>
  <conditionalFormatting sqref="Q21">
    <cfRule type="dataBar" priority="3">
      <dataBar>
        <cfvo type="min"/>
        <cfvo type="max"/>
        <color rgb="FF638EC6"/>
      </dataBar>
      <extLst>
        <ext xmlns:x14="http://schemas.microsoft.com/office/spreadsheetml/2009/9/main" uri="{B025F937-C7B1-47D3-B67F-A62EFF666E3E}">
          <x14:id>{3DA53010-4C5F-4D3F-894E-6389E07F59D4}</x14:id>
        </ext>
      </extLst>
    </cfRule>
  </conditionalFormatting>
  <conditionalFormatting sqref="R20">
    <cfRule type="dataBar" priority="2">
      <dataBar>
        <cfvo type="min"/>
        <cfvo type="max"/>
        <color rgb="FF638EC6"/>
      </dataBar>
      <extLst>
        <ext xmlns:x14="http://schemas.microsoft.com/office/spreadsheetml/2009/9/main" uri="{B025F937-C7B1-47D3-B67F-A62EFF666E3E}">
          <x14:id>{CF7E0672-C094-47CE-BFCB-B8B6AE974475}</x14:id>
        </ext>
      </extLst>
    </cfRule>
  </conditionalFormatting>
  <conditionalFormatting sqref="R21">
    <cfRule type="dataBar" priority="1">
      <dataBar>
        <cfvo type="min"/>
        <cfvo type="max"/>
        <color rgb="FF638EC6"/>
      </dataBar>
      <extLst>
        <ext xmlns:x14="http://schemas.microsoft.com/office/spreadsheetml/2009/9/main" uri="{B025F937-C7B1-47D3-B67F-A62EFF666E3E}">
          <x14:id>{C8BA1CDE-F41F-4907-9792-990D66BCD067}</x14:id>
        </ext>
      </extLst>
    </cfRule>
  </conditionalFormatting>
  <pageMargins left="0.70866141732283472" right="0.70866141732283472" top="0.74803149606299213" bottom="0.74803149606299213" header="0.31496062992125984" footer="0.31496062992125984"/>
  <pageSetup paperSize="8" scale="65" fitToHeight="0" pageOrder="overThenDown"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0521AD24-E4FE-4337-B16A-F2B20FA85FBF}">
            <x14:dataBar minLength="0" maxLength="100" border="1" negativeBarBorderColorSameAsPositive="0">
              <x14:cfvo type="autoMin"/>
              <x14:cfvo type="autoMax"/>
              <x14:borderColor rgb="FF638EC6"/>
              <x14:negativeFillColor rgb="FFFF0000"/>
              <x14:negativeBorderColor rgb="FFFF0000"/>
              <x14:axisColor rgb="FF000000"/>
            </x14:dataBar>
          </x14:cfRule>
          <xm:sqref>G21:H21 E20:H20 S20:T20</xm:sqref>
        </x14:conditionalFormatting>
        <x14:conditionalFormatting xmlns:xm="http://schemas.microsoft.com/office/excel/2006/main">
          <x14:cfRule type="dataBar" id="{58FB212F-B1F3-4B8F-8CCE-8C9CA197742E}">
            <x14:dataBar minLength="0" maxLength="100" border="1" negativeBarBorderColorSameAsPositive="0">
              <x14:cfvo type="autoMin"/>
              <x14:cfvo type="autoMax"/>
              <x14:borderColor rgb="FF638EC6"/>
              <x14:negativeFillColor rgb="FFFF0000"/>
              <x14:negativeBorderColor rgb="FFFF0000"/>
              <x14:axisColor rgb="FF000000"/>
            </x14:dataBar>
          </x14:cfRule>
          <xm:sqref>I20:J20</xm:sqref>
        </x14:conditionalFormatting>
        <x14:conditionalFormatting xmlns:xm="http://schemas.microsoft.com/office/excel/2006/main">
          <x14:cfRule type="dataBar" id="{8F453F47-2B0B-4A81-83DE-BC556920CA43}">
            <x14:dataBar minLength="0" maxLength="100" border="1" negativeBarBorderColorSameAsPositive="0">
              <x14:cfvo type="autoMin"/>
              <x14:cfvo type="autoMax"/>
              <x14:borderColor rgb="FF638EC6"/>
              <x14:negativeFillColor rgb="FFFF0000"/>
              <x14:negativeBorderColor rgb="FFFF0000"/>
              <x14:axisColor rgb="FF000000"/>
            </x14:dataBar>
          </x14:cfRule>
          <xm:sqref>J21</xm:sqref>
        </x14:conditionalFormatting>
        <x14:conditionalFormatting xmlns:xm="http://schemas.microsoft.com/office/excel/2006/main">
          <x14:cfRule type="dataBar" id="{6C000220-BF3E-47DD-BE5A-F5FEBAD825F4}">
            <x14:dataBar minLength="0" maxLength="100" border="1" negativeBarBorderColorSameAsPositive="0">
              <x14:cfvo type="autoMin"/>
              <x14:cfvo type="autoMax"/>
              <x14:borderColor rgb="FF638EC6"/>
              <x14:negativeFillColor rgb="FFFF0000"/>
              <x14:negativeBorderColor rgb="FFFF0000"/>
              <x14:axisColor rgb="FF000000"/>
            </x14:dataBar>
          </x14:cfRule>
          <xm:sqref>K20:L21</xm:sqref>
        </x14:conditionalFormatting>
        <x14:conditionalFormatting xmlns:xm="http://schemas.microsoft.com/office/excel/2006/main">
          <x14:cfRule type="dataBar" id="{B250FCA8-CAD7-4DE5-8D71-72D66F559FDB}">
            <x14:dataBar minLength="0" maxLength="100" border="1" negativeBarBorderColorSameAsPositive="0">
              <x14:cfvo type="autoMin"/>
              <x14:cfvo type="autoMax"/>
              <x14:borderColor rgb="FF638EC6"/>
              <x14:negativeFillColor rgb="FFFF0000"/>
              <x14:negativeBorderColor rgb="FFFF0000"/>
              <x14:axisColor rgb="FF000000"/>
            </x14:dataBar>
          </x14:cfRule>
          <xm:sqref>M20:N20</xm:sqref>
        </x14:conditionalFormatting>
        <x14:conditionalFormatting xmlns:xm="http://schemas.microsoft.com/office/excel/2006/main">
          <x14:cfRule type="dataBar" id="{E48C2544-71DC-4CCF-B2E4-1CEC53A83B94}">
            <x14:dataBar minLength="0" maxLength="100" border="1" negativeBarBorderColorSameAsPositive="0">
              <x14:cfvo type="autoMin"/>
              <x14:cfvo type="autoMax"/>
              <x14:borderColor rgb="FF638EC6"/>
              <x14:negativeFillColor rgb="FFFF0000"/>
              <x14:negativeBorderColor rgb="FFFF0000"/>
              <x14:axisColor rgb="FF000000"/>
            </x14:dataBar>
          </x14:cfRule>
          <xm:sqref>M21:N21</xm:sqref>
        </x14:conditionalFormatting>
        <x14:conditionalFormatting xmlns:xm="http://schemas.microsoft.com/office/excel/2006/main">
          <x14:cfRule type="dataBar" id="{BEE11C20-7607-4082-89F1-11A58A3A6CF7}">
            <x14:dataBar minLength="0" maxLength="100" border="1" negativeBarBorderColorSameAsPositive="0">
              <x14:cfvo type="autoMin"/>
              <x14:cfvo type="autoMax"/>
              <x14:borderColor rgb="FF638EC6"/>
              <x14:negativeFillColor rgb="FFFF0000"/>
              <x14:negativeBorderColor rgb="FFFF0000"/>
              <x14:axisColor rgb="FF000000"/>
            </x14:dataBar>
          </x14:cfRule>
          <xm:sqref>O20</xm:sqref>
        </x14:conditionalFormatting>
        <x14:conditionalFormatting xmlns:xm="http://schemas.microsoft.com/office/excel/2006/main">
          <x14:cfRule type="dataBar" id="{1D4C2017-7D55-4D61-B140-740C2D5637FC}">
            <x14:dataBar minLength="0" maxLength="100" border="1" negativeBarBorderColorSameAsPositive="0">
              <x14:cfvo type="autoMin"/>
              <x14:cfvo type="autoMax"/>
              <x14:borderColor rgb="FF638EC6"/>
              <x14:negativeFillColor rgb="FFFF0000"/>
              <x14:negativeBorderColor rgb="FFFF0000"/>
              <x14:axisColor rgb="FF000000"/>
            </x14:dataBar>
          </x14:cfRule>
          <xm:sqref>O21</xm:sqref>
        </x14:conditionalFormatting>
        <x14:conditionalFormatting xmlns:xm="http://schemas.microsoft.com/office/excel/2006/main">
          <x14:cfRule type="dataBar" id="{741403A9-1ADE-4FA5-BCFB-2372B73DFAD9}">
            <x14:dataBar minLength="0" maxLength="100" border="1" negativeBarBorderColorSameAsPositive="0">
              <x14:cfvo type="autoMin"/>
              <x14:cfvo type="autoMax"/>
              <x14:borderColor rgb="FF638EC6"/>
              <x14:negativeFillColor rgb="FFFF0000"/>
              <x14:negativeBorderColor rgb="FFFF0000"/>
              <x14:axisColor rgb="FF000000"/>
            </x14:dataBar>
          </x14:cfRule>
          <xm:sqref>P20</xm:sqref>
        </x14:conditionalFormatting>
        <x14:conditionalFormatting xmlns:xm="http://schemas.microsoft.com/office/excel/2006/main">
          <x14:cfRule type="dataBar" id="{B18CBA37-C031-49D8-A769-6953CC2F0788}">
            <x14:dataBar minLength="0" maxLength="100" border="1" negativeBarBorderColorSameAsPositive="0">
              <x14:cfvo type="autoMin"/>
              <x14:cfvo type="autoMax"/>
              <x14:borderColor rgb="FF638EC6"/>
              <x14:negativeFillColor rgb="FFFF0000"/>
              <x14:negativeBorderColor rgb="FFFF0000"/>
              <x14:axisColor rgb="FF000000"/>
            </x14:dataBar>
          </x14:cfRule>
          <xm:sqref>P21</xm:sqref>
        </x14:conditionalFormatting>
        <x14:conditionalFormatting xmlns:xm="http://schemas.microsoft.com/office/excel/2006/main">
          <x14:cfRule type="dataBar" id="{41767875-464E-4BD3-B1CF-AEAD27A22BBC}">
            <x14:dataBar minLength="0" maxLength="100" border="1" negativeBarBorderColorSameAsPositive="0">
              <x14:cfvo type="autoMin"/>
              <x14:cfvo type="autoMax"/>
              <x14:borderColor rgb="FF638EC6"/>
              <x14:negativeFillColor rgb="FFFF0000"/>
              <x14:negativeBorderColor rgb="FFFF0000"/>
              <x14:axisColor rgb="FF000000"/>
            </x14:dataBar>
          </x14:cfRule>
          <xm:sqref>Q20</xm:sqref>
        </x14:conditionalFormatting>
        <x14:conditionalFormatting xmlns:xm="http://schemas.microsoft.com/office/excel/2006/main">
          <x14:cfRule type="dataBar" id="{3DA53010-4C5F-4D3F-894E-6389E07F59D4}">
            <x14:dataBar minLength="0" maxLength="100" border="1" negativeBarBorderColorSameAsPositive="0">
              <x14:cfvo type="autoMin"/>
              <x14:cfvo type="autoMax"/>
              <x14:borderColor rgb="FF638EC6"/>
              <x14:negativeFillColor rgb="FFFF0000"/>
              <x14:negativeBorderColor rgb="FFFF0000"/>
              <x14:axisColor rgb="FF000000"/>
            </x14:dataBar>
          </x14:cfRule>
          <xm:sqref>Q21</xm:sqref>
        </x14:conditionalFormatting>
        <x14:conditionalFormatting xmlns:xm="http://schemas.microsoft.com/office/excel/2006/main">
          <x14:cfRule type="dataBar" id="{CF7E0672-C094-47CE-BFCB-B8B6AE974475}">
            <x14:dataBar minLength="0" maxLength="100" border="1" negativeBarBorderColorSameAsPositive="0">
              <x14:cfvo type="autoMin"/>
              <x14:cfvo type="autoMax"/>
              <x14:borderColor rgb="FF638EC6"/>
              <x14:negativeFillColor rgb="FFFF0000"/>
              <x14:negativeBorderColor rgb="FFFF0000"/>
              <x14:axisColor rgb="FF000000"/>
            </x14:dataBar>
          </x14:cfRule>
          <xm:sqref>R20</xm:sqref>
        </x14:conditionalFormatting>
        <x14:conditionalFormatting xmlns:xm="http://schemas.microsoft.com/office/excel/2006/main">
          <x14:cfRule type="dataBar" id="{C8BA1CDE-F41F-4907-9792-990D66BCD067}">
            <x14:dataBar minLength="0" maxLength="100" border="1" negativeBarBorderColorSameAsPositive="0">
              <x14:cfvo type="autoMin"/>
              <x14:cfvo type="autoMax"/>
              <x14:borderColor rgb="FF638EC6"/>
              <x14:negativeFillColor rgb="FFFF0000"/>
              <x14:negativeBorderColor rgb="FFFF0000"/>
              <x14:axisColor rgb="FF000000"/>
            </x14:dataBar>
          </x14:cfRule>
          <xm:sqref>R21</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CEE27-589B-48F3-82CA-C3BF7E8DD453}">
  <sheetPr>
    <pageSetUpPr fitToPage="1"/>
  </sheetPr>
  <dimension ref="A1:AK1326"/>
  <sheetViews>
    <sheetView zoomScale="95" zoomScaleNormal="95" zoomScaleSheetLayoutView="91" workbookViewId="0">
      <selection activeCell="A305" sqref="A305:XFD319"/>
    </sheetView>
  </sheetViews>
  <sheetFormatPr defaultColWidth="9.109375" defaultRowHeight="13.2"/>
  <cols>
    <col min="1" max="1" width="16.33203125" style="84" customWidth="1"/>
    <col min="2" max="2" width="37.44140625" style="84" customWidth="1"/>
    <col min="3" max="3" width="6.6640625" style="84" customWidth="1"/>
    <col min="4" max="4" width="6.6640625" style="84" hidden="1" customWidth="1"/>
    <col min="5" max="5" width="8.109375" style="84" customWidth="1"/>
    <col min="6" max="7" width="10.6640625" style="86" hidden="1" customWidth="1"/>
    <col min="8" max="8" width="10.6640625" style="84" hidden="1" customWidth="1"/>
    <col min="9" max="10" width="15.6640625" style="84" hidden="1" customWidth="1"/>
    <col min="11" max="11" width="15.6640625" style="493" hidden="1" customWidth="1"/>
    <col min="12" max="12" width="16.44140625" style="84" hidden="1" customWidth="1"/>
    <col min="13" max="13" width="14.88671875" style="84" customWidth="1"/>
    <col min="14" max="14" width="14.88671875" style="1578" hidden="1" customWidth="1"/>
    <col min="15" max="15" width="10.5546875" style="2167" hidden="1" customWidth="1"/>
    <col min="16" max="16" width="14.88671875" style="84" customWidth="1"/>
    <col min="17" max="17" width="14.88671875" style="1578" hidden="1" customWidth="1"/>
    <col min="18" max="18" width="14.88671875" style="84" customWidth="1"/>
    <col min="19" max="19" width="14.88671875" style="1578" hidden="1" customWidth="1"/>
    <col min="20" max="20" width="13.109375" style="200" customWidth="1"/>
    <col min="21" max="21" width="61" style="84" customWidth="1"/>
    <col min="22" max="22" width="15.44140625" style="84" customWidth="1"/>
    <col min="23" max="23" width="30.5546875" style="84" customWidth="1"/>
    <col min="24" max="25" width="6.33203125" style="200" hidden="1" customWidth="1"/>
    <col min="26" max="26" width="7.44140625" style="200" customWidth="1"/>
    <col min="27" max="27" width="7" style="200" customWidth="1"/>
    <col min="28" max="28" width="7.44140625" style="1" customWidth="1"/>
    <col min="29" max="29" width="29.44140625" style="84" customWidth="1"/>
    <col min="30" max="30" width="27" style="84" hidden="1" customWidth="1"/>
    <col min="31" max="31" width="9.109375" style="84" hidden="1" customWidth="1"/>
    <col min="32" max="33" width="8.88671875" hidden="1" customWidth="1"/>
    <col min="34" max="36" width="9.109375" style="84"/>
    <col min="37" max="37" width="0" style="84" hidden="1" customWidth="1"/>
    <col min="38" max="16384" width="9.109375" style="84"/>
  </cols>
  <sheetData>
    <row r="1" spans="1:33" ht="25.8" customHeight="1">
      <c r="A1" s="2927" t="s">
        <v>3595</v>
      </c>
      <c r="B1" s="2927"/>
      <c r="C1" s="2927"/>
      <c r="D1" s="2927"/>
      <c r="E1" s="2927"/>
      <c r="F1" s="2927"/>
      <c r="G1" s="2927"/>
      <c r="H1" s="2927"/>
      <c r="I1" s="2927"/>
      <c r="J1" s="2927"/>
      <c r="K1" s="2927"/>
      <c r="L1" s="2927"/>
      <c r="M1" s="2927"/>
      <c r="N1" s="2927"/>
      <c r="O1" s="2927"/>
      <c r="P1" s="2927"/>
      <c r="Q1" s="2927"/>
      <c r="R1" s="2927"/>
      <c r="S1" s="2927"/>
      <c r="T1" s="2927"/>
      <c r="U1" s="2927"/>
      <c r="V1" s="2927"/>
      <c r="W1" s="2927"/>
      <c r="X1" s="2927"/>
      <c r="Y1" s="2927"/>
      <c r="Z1" s="2927"/>
      <c r="AA1" s="2927"/>
      <c r="AB1" s="2927"/>
      <c r="AC1" s="2927"/>
      <c r="AF1" s="84"/>
      <c r="AG1" s="84"/>
    </row>
    <row r="2" spans="1:33" ht="26.4" customHeight="1">
      <c r="A2" s="2920" t="s">
        <v>2600</v>
      </c>
      <c r="B2" s="2920"/>
      <c r="C2" s="2920"/>
      <c r="D2" s="2920"/>
      <c r="E2" s="2920"/>
      <c r="F2" s="2920"/>
      <c r="G2" s="2920"/>
      <c r="H2" s="2920"/>
      <c r="I2" s="2920"/>
      <c r="J2" s="2920"/>
      <c r="K2" s="2920"/>
      <c r="L2" s="2920"/>
      <c r="M2" s="2920"/>
      <c r="N2" s="2920"/>
      <c r="O2" s="2920"/>
      <c r="P2" s="2920"/>
      <c r="Q2" s="2920"/>
      <c r="R2" s="2920"/>
      <c r="S2" s="2920"/>
      <c r="T2" s="2920"/>
      <c r="U2" s="2920"/>
      <c r="V2" s="2920"/>
      <c r="W2" s="2920"/>
      <c r="X2" s="2920"/>
      <c r="Y2" s="2920"/>
      <c r="Z2" s="2920"/>
      <c r="AA2" s="2920"/>
      <c r="AB2" s="2920"/>
      <c r="AC2" s="2920"/>
      <c r="AF2" s="84"/>
      <c r="AG2" s="84"/>
    </row>
    <row r="3" spans="1:33" ht="14.4" customHeight="1">
      <c r="A3" s="157"/>
      <c r="B3" s="157"/>
      <c r="C3" s="157"/>
      <c r="D3" s="157"/>
      <c r="E3" s="157"/>
      <c r="F3" s="157"/>
      <c r="G3" s="157"/>
      <c r="H3" s="157"/>
      <c r="I3" s="157"/>
      <c r="J3" s="157"/>
      <c r="K3" s="489"/>
      <c r="L3" s="157"/>
      <c r="M3" s="157"/>
      <c r="N3" s="1552"/>
      <c r="O3" s="2144"/>
      <c r="P3" s="157"/>
      <c r="Q3" s="1552"/>
      <c r="R3" s="157"/>
      <c r="S3" s="1552"/>
      <c r="T3" s="157"/>
      <c r="U3" s="83"/>
      <c r="V3" s="87"/>
      <c r="W3" s="87"/>
      <c r="X3" s="157"/>
      <c r="Y3" s="157"/>
      <c r="Z3" s="157"/>
      <c r="AA3" s="157"/>
      <c r="AB3" s="1855"/>
      <c r="AC3" s="126"/>
      <c r="AF3" s="84"/>
      <c r="AG3" s="84"/>
    </row>
    <row r="4" spans="1:33" s="89" customFormat="1" ht="20.399999999999999" customHeight="1">
      <c r="A4" s="89" t="str">
        <f>A15</f>
        <v>06.01.01 (T)</v>
      </c>
      <c r="B4" s="84" t="str">
        <f>B15</f>
        <v>Užtikrinti efektyvią savivaldybės biudžetinių socialinių paslaugų įstaigų veiklą</v>
      </c>
      <c r="C4" s="3755"/>
      <c r="D4" s="3755"/>
      <c r="E4" s="3755"/>
      <c r="F4" s="3755"/>
      <c r="G4" s="3755"/>
      <c r="H4" s="3755"/>
      <c r="I4" s="84"/>
      <c r="J4" s="84"/>
      <c r="K4" s="91"/>
      <c r="L4" s="84"/>
      <c r="M4" s="84"/>
      <c r="N4" s="1647"/>
      <c r="O4" s="1442"/>
      <c r="P4" s="84"/>
      <c r="Q4" s="1553"/>
      <c r="R4" s="87"/>
      <c r="S4" s="1553"/>
      <c r="T4" s="125"/>
      <c r="U4" s="87"/>
      <c r="V4" s="87"/>
      <c r="W4" s="87"/>
      <c r="X4" s="125"/>
      <c r="Y4" s="125"/>
      <c r="Z4" s="125"/>
      <c r="AA4" s="125"/>
      <c r="AB4" s="1856"/>
      <c r="AC4" s="87"/>
    </row>
    <row r="5" spans="1:33" s="89" customFormat="1" ht="19.8" customHeight="1">
      <c r="A5" s="89" t="str">
        <f>A35</f>
        <v>06.01.02. (T)</v>
      </c>
      <c r="B5" s="84" t="str">
        <f>B35</f>
        <v>Užtikrinti socialinių išmokų ir kompensacijų mokėjimą</v>
      </c>
      <c r="C5" s="3755"/>
      <c r="D5" s="3755"/>
      <c r="E5" s="3755"/>
      <c r="F5" s="3755"/>
      <c r="G5" s="3755"/>
      <c r="H5" s="3755"/>
      <c r="I5" s="84"/>
      <c r="J5" s="84"/>
      <c r="K5" s="91"/>
      <c r="L5" s="84"/>
      <c r="M5" s="84"/>
      <c r="N5" s="1647"/>
      <c r="O5" s="1442"/>
      <c r="P5" s="84"/>
      <c r="Q5" s="1553"/>
      <c r="R5" s="87"/>
      <c r="S5" s="1553"/>
      <c r="T5" s="125"/>
      <c r="U5" s="87"/>
      <c r="V5" s="87"/>
      <c r="W5" s="87"/>
      <c r="X5" s="125"/>
      <c r="Y5" s="125"/>
      <c r="Z5" s="125"/>
      <c r="AA5" s="125"/>
      <c r="AB5" s="1856"/>
      <c r="AC5" s="87"/>
    </row>
    <row r="6" spans="1:33" s="89" customFormat="1" ht="22.2" customHeight="1">
      <c r="A6" s="89" t="str">
        <f>A96</f>
        <v>06.01.03. (T)</v>
      </c>
      <c r="B6" s="84" t="str">
        <f>B96</f>
        <v>Pagerinti  ir plėsti socialinių paslaugų kokybę ir prieinamumą, sukurti jų plėtrai reikalingą  infrastruktūrą</v>
      </c>
      <c r="C6" s="3755"/>
      <c r="D6" s="3755"/>
      <c r="E6" s="3755"/>
      <c r="F6" s="3755"/>
      <c r="G6" s="3755"/>
      <c r="H6" s="3755"/>
      <c r="I6" s="84"/>
      <c r="J6" s="84"/>
      <c r="K6" s="91"/>
      <c r="L6" s="84"/>
      <c r="M6" s="84"/>
      <c r="N6" s="1647"/>
      <c r="O6" s="1442"/>
      <c r="P6" s="84"/>
      <c r="Q6" s="1553"/>
      <c r="R6" s="87"/>
      <c r="S6" s="1553"/>
      <c r="T6" s="125"/>
      <c r="U6" s="87"/>
      <c r="V6" s="87"/>
      <c r="W6" s="87"/>
      <c r="X6" s="125"/>
      <c r="Y6" s="125"/>
      <c r="Z6" s="125"/>
      <c r="AA6" s="125"/>
      <c r="AB6" s="1856"/>
      <c r="AC6" s="87"/>
    </row>
    <row r="7" spans="1:33" s="89" customFormat="1" ht="19.8" customHeight="1">
      <c r="A7" s="89" t="str">
        <f>A160</f>
        <v>06.02.01. (T)</v>
      </c>
      <c r="B7" s="84" t="str">
        <f>B160</f>
        <v>Skatinti socialinių paslaugų plėtrą bendruomenėje</v>
      </c>
      <c r="C7" s="3755"/>
      <c r="D7" s="3755"/>
      <c r="E7" s="3755"/>
      <c r="F7" s="3755"/>
      <c r="G7" s="3755"/>
      <c r="H7" s="3755"/>
      <c r="I7" s="84"/>
      <c r="J7" s="84"/>
      <c r="K7" s="91"/>
      <c r="L7" s="84"/>
      <c r="M7" s="84"/>
      <c r="N7" s="1647"/>
      <c r="O7" s="1442"/>
      <c r="P7" s="84"/>
      <c r="Q7" s="1553"/>
      <c r="R7" s="87"/>
      <c r="S7" s="1553"/>
      <c r="T7" s="125"/>
      <c r="U7" s="87"/>
      <c r="V7" s="87"/>
      <c r="W7" s="87"/>
      <c r="X7" s="125"/>
      <c r="Y7" s="125"/>
      <c r="Z7" s="125"/>
      <c r="AA7" s="125"/>
      <c r="AB7" s="1856"/>
      <c r="AC7" s="87"/>
    </row>
    <row r="8" spans="1:33" s="89" customFormat="1" ht="20.399999999999999" customHeight="1">
      <c r="A8" s="87"/>
      <c r="B8" s="87"/>
      <c r="C8" s="87"/>
      <c r="D8" s="87"/>
      <c r="E8" s="87"/>
      <c r="F8" s="87"/>
      <c r="G8" s="87"/>
      <c r="H8" s="87"/>
      <c r="I8" s="87"/>
      <c r="J8" s="87"/>
      <c r="K8" s="490"/>
      <c r="L8" s="87"/>
      <c r="M8" s="87"/>
      <c r="N8" s="1553"/>
      <c r="O8" s="2145"/>
      <c r="P8" s="87"/>
      <c r="Q8" s="1553"/>
      <c r="R8" s="87"/>
      <c r="S8" s="1553"/>
      <c r="T8" s="125"/>
      <c r="U8" s="87"/>
      <c r="V8" s="87"/>
      <c r="W8" s="87"/>
      <c r="X8" s="125"/>
      <c r="Y8" s="125"/>
      <c r="Z8" s="125"/>
      <c r="AA8" s="125"/>
      <c r="AB8" s="1856"/>
      <c r="AC8" s="87"/>
    </row>
    <row r="9" spans="1:33" ht="18.600000000000001" customHeight="1">
      <c r="A9" s="2920" t="s">
        <v>3827</v>
      </c>
      <c r="B9" s="2920"/>
      <c r="C9" s="2920"/>
      <c r="D9" s="2920"/>
      <c r="E9" s="2920"/>
      <c r="F9" s="2920"/>
      <c r="G9" s="112"/>
      <c r="H9" s="112"/>
      <c r="I9" s="112"/>
      <c r="J9" s="112"/>
      <c r="K9" s="511"/>
      <c r="L9" s="98"/>
      <c r="M9" s="98"/>
      <c r="N9" s="1554"/>
      <c r="O9" s="2158"/>
      <c r="P9" s="83"/>
      <c r="Q9" s="1583"/>
      <c r="R9" s="83"/>
      <c r="S9" s="1583"/>
      <c r="T9" s="944"/>
      <c r="U9" s="83"/>
      <c r="V9" s="87"/>
      <c r="W9" s="87"/>
      <c r="X9" s="157"/>
      <c r="Y9" s="157"/>
      <c r="Z9" s="157"/>
      <c r="AA9" s="157"/>
      <c r="AB9" s="1855"/>
      <c r="AC9" s="126"/>
      <c r="AF9" s="84"/>
      <c r="AG9" s="84"/>
    </row>
    <row r="10" spans="1:33" ht="24" customHeight="1">
      <c r="A10" s="2920" t="s">
        <v>3659</v>
      </c>
      <c r="B10" s="2920"/>
      <c r="C10" s="2920"/>
      <c r="D10" s="2920"/>
      <c r="E10" s="2920"/>
      <c r="F10" s="2920"/>
      <c r="G10" s="2920"/>
      <c r="H10" s="2920"/>
      <c r="I10" s="2920"/>
      <c r="J10" s="2920"/>
      <c r="K10" s="2920"/>
      <c r="L10" s="2920"/>
      <c r="M10" s="2920"/>
      <c r="N10" s="1555"/>
      <c r="O10" s="2159"/>
      <c r="P10" s="396"/>
      <c r="Q10" s="1584"/>
      <c r="R10" s="396"/>
      <c r="S10" s="1584"/>
      <c r="T10" s="944"/>
      <c r="U10" s="83"/>
      <c r="V10" s="87"/>
      <c r="W10" s="87"/>
      <c r="X10" s="157"/>
      <c r="Y10" s="157"/>
      <c r="Z10" s="157"/>
      <c r="AA10" s="157"/>
      <c r="AB10" s="1855"/>
      <c r="AC10" s="126"/>
      <c r="AF10" s="84"/>
      <c r="AG10" s="84"/>
    </row>
    <row r="11" spans="1:33" s="89" customFormat="1" ht="12" hidden="1" customHeight="1">
      <c r="A11" s="122"/>
      <c r="B11" s="87"/>
      <c r="C11" s="87"/>
      <c r="D11" s="87"/>
      <c r="E11" s="87"/>
      <c r="F11" s="87"/>
      <c r="G11" s="115"/>
      <c r="H11" s="87"/>
      <c r="I11" s="87"/>
      <c r="J11" s="87"/>
      <c r="K11" s="490"/>
      <c r="L11" s="87"/>
      <c r="M11" s="87"/>
      <c r="N11" s="1553"/>
      <c r="O11" s="2145"/>
      <c r="P11" s="87"/>
      <c r="Q11" s="1553"/>
      <c r="R11" s="87"/>
      <c r="S11" s="1553"/>
      <c r="T11" s="125"/>
      <c r="U11" s="87"/>
      <c r="V11" s="87"/>
      <c r="W11" s="87"/>
      <c r="X11" s="125"/>
      <c r="Y11" s="125"/>
      <c r="Z11" s="125"/>
      <c r="AA11" s="125"/>
      <c r="AB11" s="1856"/>
      <c r="AC11" s="87"/>
    </row>
    <row r="12" spans="1:33" ht="13.8" customHeight="1">
      <c r="A12" s="2991" t="s">
        <v>3618</v>
      </c>
      <c r="B12" s="2991"/>
      <c r="C12" s="2991"/>
      <c r="D12" s="2991"/>
      <c r="E12" s="2991"/>
      <c r="F12" s="2991"/>
      <c r="G12" s="2991"/>
      <c r="H12" s="2991"/>
      <c r="I12" s="2991"/>
      <c r="J12" s="2991"/>
      <c r="K12" s="2991"/>
      <c r="L12" s="2991"/>
      <c r="M12" s="2991"/>
      <c r="N12" s="2991"/>
      <c r="O12" s="2991"/>
      <c r="P12" s="2991"/>
      <c r="Q12" s="2991"/>
      <c r="R12" s="2991"/>
      <c r="S12" s="2991"/>
      <c r="T12" s="2991"/>
      <c r="U12" s="2991"/>
      <c r="V12" s="2991"/>
      <c r="W12" s="2991"/>
      <c r="X12" s="2991"/>
      <c r="Y12" s="2991"/>
      <c r="Z12" s="2991"/>
      <c r="AA12" s="2991"/>
      <c r="AB12" s="2991"/>
      <c r="AC12" s="2991"/>
      <c r="AF12" s="84"/>
      <c r="AG12" s="84"/>
    </row>
    <row r="13" spans="1:33" s="200" customFormat="1" ht="38.4" customHeight="1">
      <c r="A13" s="2691" t="s">
        <v>728</v>
      </c>
      <c r="B13" s="2691" t="s">
        <v>1899</v>
      </c>
      <c r="C13" s="2717" t="s">
        <v>1064</v>
      </c>
      <c r="D13" s="1978"/>
      <c r="E13" s="2717" t="s">
        <v>1065</v>
      </c>
      <c r="F13" s="3034" t="s">
        <v>1081</v>
      </c>
      <c r="G13" s="3034" t="s">
        <v>1173</v>
      </c>
      <c r="H13" s="3035" t="s">
        <v>1079</v>
      </c>
      <c r="I13" s="2691" t="s">
        <v>1916</v>
      </c>
      <c r="J13" s="2715" t="s">
        <v>2882</v>
      </c>
      <c r="K13" s="3034" t="s">
        <v>2883</v>
      </c>
      <c r="L13" s="2691" t="s">
        <v>1915</v>
      </c>
      <c r="M13" s="2691" t="s">
        <v>1970</v>
      </c>
      <c r="N13" s="3036" t="s">
        <v>3824</v>
      </c>
      <c r="O13" s="2160"/>
      <c r="P13" s="2691" t="s">
        <v>2881</v>
      </c>
      <c r="Q13" s="3036" t="s">
        <v>3825</v>
      </c>
      <c r="R13" s="2691" t="s">
        <v>3823</v>
      </c>
      <c r="S13" s="3036" t="s">
        <v>3826</v>
      </c>
      <c r="T13" s="2691" t="s">
        <v>2608</v>
      </c>
      <c r="U13" s="2691" t="s">
        <v>2741</v>
      </c>
      <c r="V13" s="2713" t="s">
        <v>729</v>
      </c>
      <c r="W13" s="2713" t="s">
        <v>1083</v>
      </c>
      <c r="X13" s="2745" t="s">
        <v>730</v>
      </c>
      <c r="Y13" s="2746"/>
      <c r="Z13" s="2746"/>
      <c r="AA13" s="2746"/>
      <c r="AB13" s="2747"/>
      <c r="AC13" s="2713" t="s">
        <v>731</v>
      </c>
    </row>
    <row r="14" spans="1:33" s="200" customFormat="1" ht="69.599999999999994" customHeight="1">
      <c r="A14" s="2691"/>
      <c r="B14" s="2691"/>
      <c r="C14" s="2717"/>
      <c r="D14" s="1978"/>
      <c r="E14" s="2717"/>
      <c r="F14" s="3034"/>
      <c r="G14" s="3034"/>
      <c r="H14" s="3035"/>
      <c r="I14" s="2691"/>
      <c r="J14" s="2715"/>
      <c r="K14" s="3034"/>
      <c r="L14" s="2691"/>
      <c r="M14" s="2691"/>
      <c r="N14" s="3036"/>
      <c r="O14" s="2160" t="s">
        <v>3835</v>
      </c>
      <c r="P14" s="2691"/>
      <c r="Q14" s="3036"/>
      <c r="R14" s="2691"/>
      <c r="S14" s="3036"/>
      <c r="T14" s="2691"/>
      <c r="U14" s="2691"/>
      <c r="V14" s="2713"/>
      <c r="W14" s="2713"/>
      <c r="X14" s="203">
        <v>2024</v>
      </c>
      <c r="Y14" s="203">
        <v>2025</v>
      </c>
      <c r="Z14" s="203">
        <v>2026</v>
      </c>
      <c r="AA14" s="404">
        <v>2027</v>
      </c>
      <c r="AB14" s="1330">
        <v>2028</v>
      </c>
      <c r="AC14" s="2713"/>
    </row>
    <row r="15" spans="1:33" ht="56.25" customHeight="1">
      <c r="A15" s="663" t="s">
        <v>1993</v>
      </c>
      <c r="B15" s="663" t="s">
        <v>1207</v>
      </c>
      <c r="C15" s="663"/>
      <c r="D15" s="663"/>
      <c r="E15" s="663"/>
      <c r="F15" s="960">
        <f>SUM(F21,)</f>
        <v>1555.0619999999999</v>
      </c>
      <c r="G15" s="961">
        <f>I15/F15-1</f>
        <v>-3.6190839979370448E-2</v>
      </c>
      <c r="H15" s="960">
        <f>SUM(H21,)</f>
        <v>1736.1569999999999</v>
      </c>
      <c r="I15" s="690">
        <f>SUM(I21,)</f>
        <v>1498.7830000000001</v>
      </c>
      <c r="J15" s="717">
        <f>L15/I15-1</f>
        <v>8.079621933261838E-2</v>
      </c>
      <c r="K15" s="960">
        <f t="shared" ref="K15:S15" si="0">SUM(K21,)</f>
        <v>0</v>
      </c>
      <c r="L15" s="690">
        <f t="shared" si="0"/>
        <v>1619.8789999999999</v>
      </c>
      <c r="M15" s="690">
        <f t="shared" si="0"/>
        <v>1853.9669999999999</v>
      </c>
      <c r="N15" s="1556">
        <f t="shared" si="0"/>
        <v>1855.569</v>
      </c>
      <c r="O15" s="2161">
        <f>(M15-L15)/L15</f>
        <v>0.14450955904731155</v>
      </c>
      <c r="P15" s="690">
        <f t="shared" si="0"/>
        <v>1924.6179999999999</v>
      </c>
      <c r="Q15" s="1556">
        <f t="shared" si="0"/>
        <v>2107.4090000000001</v>
      </c>
      <c r="R15" s="690">
        <f t="shared" si="0"/>
        <v>2002.9961000000001</v>
      </c>
      <c r="S15" s="1556">
        <f t="shared" si="0"/>
        <v>2214.9240000000004</v>
      </c>
      <c r="T15" s="173" t="s">
        <v>2216</v>
      </c>
      <c r="U15" s="962"/>
      <c r="V15" s="671" t="s">
        <v>1443</v>
      </c>
      <c r="W15" s="671" t="s">
        <v>935</v>
      </c>
      <c r="X15" s="671" t="s">
        <v>1332</v>
      </c>
      <c r="Y15" s="671" t="s">
        <v>3347</v>
      </c>
      <c r="Z15" s="671" t="s">
        <v>3347</v>
      </c>
      <c r="AA15" s="671" t="s">
        <v>3347</v>
      </c>
      <c r="AB15" s="1096" t="s">
        <v>3347</v>
      </c>
      <c r="AC15" s="671" t="s">
        <v>935</v>
      </c>
      <c r="AF15" s="84"/>
      <c r="AG15" s="84"/>
    </row>
    <row r="16" spans="1:33" ht="33.75" customHeight="1">
      <c r="A16" s="2879" t="s">
        <v>1992</v>
      </c>
      <c r="B16" s="2695" t="s">
        <v>1208</v>
      </c>
      <c r="C16" s="2723" t="s">
        <v>1071</v>
      </c>
      <c r="D16" s="3037" t="s">
        <v>4156</v>
      </c>
      <c r="E16" s="719" t="s">
        <v>470</v>
      </c>
      <c r="F16" s="970">
        <f>SUM(F22,F28)</f>
        <v>1101.68</v>
      </c>
      <c r="G16" s="1369">
        <f>I16/F16-1</f>
        <v>-4.6637862174134126E-2</v>
      </c>
      <c r="H16" s="970">
        <f t="shared" ref="H16" si="1">SUM(H22,H28)</f>
        <v>1344.4929999999999</v>
      </c>
      <c r="I16" s="722">
        <f>SUM(I22,I28,I34)</f>
        <v>1050.3</v>
      </c>
      <c r="J16" s="963">
        <f>L16/I16-1</f>
        <v>4.68532800152337E-2</v>
      </c>
      <c r="K16" s="970"/>
      <c r="L16" s="722">
        <f>SUM(L22,L28,L34)</f>
        <v>1099.51</v>
      </c>
      <c r="M16" s="722">
        <f>SUM(M22,M28,M34)</f>
        <v>1310.44</v>
      </c>
      <c r="N16" s="1557">
        <f>SUM(N22,N28,N34)</f>
        <v>1276.0940000000001</v>
      </c>
      <c r="O16" s="2150">
        <f t="shared" ref="O16:O79" si="2">(M16-L16)/L16</f>
        <v>0.19184000145519373</v>
      </c>
      <c r="P16" s="722">
        <f>M16+(M16*5%)</f>
        <v>1375.962</v>
      </c>
      <c r="Q16" s="1557">
        <f>SUM(Q22,Q28,Q34)</f>
        <v>1411.75</v>
      </c>
      <c r="R16" s="722">
        <f>P16+(P16*5%)</f>
        <v>1444.7601</v>
      </c>
      <c r="S16" s="1557">
        <f>SUM(S22,S28,S34)</f>
        <v>1507.1550000000002</v>
      </c>
      <c r="T16" s="2729" t="s">
        <v>938</v>
      </c>
      <c r="U16" s="2704" t="s">
        <v>3544</v>
      </c>
      <c r="V16" s="2694" t="s">
        <v>1444</v>
      </c>
      <c r="W16" s="2694" t="s">
        <v>1729</v>
      </c>
      <c r="X16" s="2694" t="s">
        <v>1366</v>
      </c>
      <c r="Y16" s="2694" t="s">
        <v>1728</v>
      </c>
      <c r="Z16" s="2694" t="s">
        <v>2742</v>
      </c>
      <c r="AA16" s="2694" t="s">
        <v>2742</v>
      </c>
      <c r="AB16" s="3028" t="s">
        <v>4120</v>
      </c>
      <c r="AC16" s="2694" t="s">
        <v>1729</v>
      </c>
      <c r="AF16" s="84"/>
      <c r="AG16" s="84"/>
    </row>
    <row r="17" spans="1:33" ht="30.75" customHeight="1">
      <c r="A17" s="2879"/>
      <c r="B17" s="2695"/>
      <c r="C17" s="2723"/>
      <c r="D17" s="3038"/>
      <c r="E17" s="719" t="s">
        <v>1353</v>
      </c>
      <c r="F17" s="970">
        <f>SUM(F23,F29)</f>
        <v>371.255</v>
      </c>
      <c r="G17" s="1369">
        <f t="shared" ref="G17:G19" si="3">I17/F17-1</f>
        <v>5.6362877267646327E-2</v>
      </c>
      <c r="H17" s="970">
        <f>SUM(H23,H29)</f>
        <v>373.464</v>
      </c>
      <c r="I17" s="722">
        <f>SUM(I23,I29)</f>
        <v>392.18</v>
      </c>
      <c r="J17" s="963">
        <f t="shared" ref="J17:J21" si="4">L17/I17-1</f>
        <v>0.13162323422918054</v>
      </c>
      <c r="K17" s="970"/>
      <c r="L17" s="722">
        <f>SUM(L23,L29)</f>
        <v>443.8</v>
      </c>
      <c r="M17" s="722">
        <f t="shared" ref="M17:P17" si="5">SUM(M23,M29)</f>
        <v>416.34</v>
      </c>
      <c r="N17" s="1557">
        <f t="shared" ref="N17" si="6">SUM(N23,N29)</f>
        <v>414.02</v>
      </c>
      <c r="O17" s="2150">
        <f t="shared" si="2"/>
        <v>-6.1874718341595393E-2</v>
      </c>
      <c r="P17" s="722">
        <f t="shared" si="5"/>
        <v>425.34</v>
      </c>
      <c r="Q17" s="1557">
        <f t="shared" ref="Q17" si="7">SUM(Q23,Q29)</f>
        <v>425.34</v>
      </c>
      <c r="R17" s="722">
        <f>SUM(R23,R29)</f>
        <v>434.42</v>
      </c>
      <c r="S17" s="1557">
        <f t="shared" ref="S17" si="8">SUM(S23,S29)</f>
        <v>434.42</v>
      </c>
      <c r="T17" s="2729"/>
      <c r="U17" s="2704"/>
      <c r="V17" s="2694"/>
      <c r="W17" s="2694"/>
      <c r="X17" s="2694"/>
      <c r="Y17" s="2694"/>
      <c r="Z17" s="2694"/>
      <c r="AA17" s="2694"/>
      <c r="AB17" s="3028"/>
      <c r="AC17" s="2694"/>
      <c r="AF17" s="84"/>
      <c r="AG17" s="84"/>
    </row>
    <row r="18" spans="1:33" ht="27.75" customHeight="1">
      <c r="A18" s="2879"/>
      <c r="B18" s="2695"/>
      <c r="C18" s="2723"/>
      <c r="D18" s="3038"/>
      <c r="E18" s="719" t="s">
        <v>2824</v>
      </c>
      <c r="F18" s="970"/>
      <c r="G18" s="1369"/>
      <c r="H18" s="970"/>
      <c r="I18" s="722">
        <f>I24</f>
        <v>0.30299999999999999</v>
      </c>
      <c r="J18" s="963">
        <f t="shared" si="4"/>
        <v>-1</v>
      </c>
      <c r="K18" s="970"/>
      <c r="L18" s="722">
        <v>0</v>
      </c>
      <c r="M18" s="722">
        <f>SUM(M24,M30)</f>
        <v>1.5510000000000002</v>
      </c>
      <c r="N18" s="1557">
        <v>0</v>
      </c>
      <c r="O18" s="2150"/>
      <c r="P18" s="722">
        <v>0</v>
      </c>
      <c r="Q18" s="1557">
        <v>0</v>
      </c>
      <c r="R18" s="722">
        <v>0</v>
      </c>
      <c r="S18" s="1557">
        <v>0</v>
      </c>
      <c r="T18" s="2729"/>
      <c r="U18" s="2704"/>
      <c r="V18" s="2694"/>
      <c r="W18" s="2694"/>
      <c r="X18" s="2694"/>
      <c r="Y18" s="2694"/>
      <c r="Z18" s="2694"/>
      <c r="AA18" s="2694"/>
      <c r="AB18" s="3028"/>
      <c r="AC18" s="2694"/>
      <c r="AF18" s="84"/>
      <c r="AG18" s="84"/>
    </row>
    <row r="19" spans="1:33" ht="45" customHeight="1">
      <c r="A19" s="2879"/>
      <c r="B19" s="2695"/>
      <c r="C19" s="2723"/>
      <c r="D19" s="3038"/>
      <c r="E19" s="719" t="s">
        <v>1111</v>
      </c>
      <c r="F19" s="970">
        <f>SUM(F25,F31)</f>
        <v>82.12700000000001</v>
      </c>
      <c r="G19" s="1369">
        <f t="shared" si="3"/>
        <v>-0.31812923886176292</v>
      </c>
      <c r="H19" s="970">
        <f>SUM(H25,H31)</f>
        <v>0</v>
      </c>
      <c r="I19" s="722">
        <f>SUM(I25,I31)</f>
        <v>56</v>
      </c>
      <c r="J19" s="963">
        <f t="shared" si="4"/>
        <v>0.36730357142857128</v>
      </c>
      <c r="K19" s="970"/>
      <c r="L19" s="722">
        <f>SUM(L25,L31)</f>
        <v>76.568999999999988</v>
      </c>
      <c r="M19" s="722">
        <f>SUM(M25,M31)</f>
        <v>97.316000000000003</v>
      </c>
      <c r="N19" s="1557">
        <f t="shared" ref="N19" si="9">SUM(N25,N31)</f>
        <v>137.13499999999999</v>
      </c>
      <c r="O19" s="2150">
        <f t="shared" si="2"/>
        <v>0.27095822068983555</v>
      </c>
      <c r="P19" s="722">
        <f>SUM(P25,P31)</f>
        <v>97.316000000000003</v>
      </c>
      <c r="Q19" s="1557">
        <f t="shared" ref="Q19:R19" si="10">SUM(Q25,Q31)</f>
        <v>244.31899999999999</v>
      </c>
      <c r="R19" s="722">
        <f t="shared" si="10"/>
        <v>97.316000000000003</v>
      </c>
      <c r="S19" s="1557">
        <f t="shared" ref="S19" si="11">SUM(S25,S31)</f>
        <v>246.84899999999999</v>
      </c>
      <c r="T19" s="2729"/>
      <c r="U19" s="2704"/>
      <c r="V19" s="2694"/>
      <c r="W19" s="656" t="s">
        <v>3545</v>
      </c>
      <c r="X19" s="2694"/>
      <c r="Y19" s="656" t="s">
        <v>4</v>
      </c>
      <c r="Z19" s="656" t="s">
        <v>4</v>
      </c>
      <c r="AA19" s="656" t="s">
        <v>4</v>
      </c>
      <c r="AB19" s="971" t="s">
        <v>4</v>
      </c>
      <c r="AC19" s="2694"/>
      <c r="AF19" s="84"/>
      <c r="AG19" s="84"/>
    </row>
    <row r="20" spans="1:33" ht="35.25" customHeight="1">
      <c r="A20" s="2879"/>
      <c r="B20" s="2695"/>
      <c r="C20" s="2723"/>
      <c r="D20" s="3038"/>
      <c r="E20" s="719" t="s">
        <v>1352</v>
      </c>
      <c r="F20" s="970">
        <f>SUM(F26,F32)</f>
        <v>0</v>
      </c>
      <c r="G20" s="1369"/>
      <c r="H20" s="970">
        <f>SUM(H26,H32)</f>
        <v>18.2</v>
      </c>
      <c r="I20" s="722">
        <f>SUM(I26,I32)</f>
        <v>0</v>
      </c>
      <c r="J20" s="963"/>
      <c r="K20" s="970"/>
      <c r="L20" s="722">
        <f>SUM(L26,L32)</f>
        <v>0</v>
      </c>
      <c r="M20" s="722">
        <f>SUM(M26,M32)</f>
        <v>28.32</v>
      </c>
      <c r="N20" s="1557">
        <f t="shared" ref="N20" si="12">SUM(N26,N32)</f>
        <v>28.32</v>
      </c>
      <c r="O20" s="2150"/>
      <c r="P20" s="722">
        <f>SUM(P26,P32)</f>
        <v>26</v>
      </c>
      <c r="Q20" s="1557">
        <f t="shared" ref="Q20:R20" si="13">SUM(Q26,Q32)</f>
        <v>26</v>
      </c>
      <c r="R20" s="722">
        <f t="shared" si="13"/>
        <v>26.5</v>
      </c>
      <c r="S20" s="1557">
        <f t="shared" ref="S20" si="14">SUM(S26,S32)</f>
        <v>26.5</v>
      </c>
      <c r="T20" s="2729"/>
      <c r="U20" s="2704"/>
      <c r="V20" s="2694"/>
      <c r="W20" s="656" t="s">
        <v>3546</v>
      </c>
      <c r="X20" s="2694"/>
      <c r="Y20" s="656" t="s">
        <v>3547</v>
      </c>
      <c r="Z20" s="656" t="s">
        <v>3548</v>
      </c>
      <c r="AA20" s="656" t="s">
        <v>1736</v>
      </c>
      <c r="AB20" s="971" t="s">
        <v>1430</v>
      </c>
      <c r="AC20" s="2694"/>
      <c r="AF20" s="84"/>
      <c r="AG20" s="84"/>
    </row>
    <row r="21" spans="1:33" ht="91.95" customHeight="1">
      <c r="A21" s="2879"/>
      <c r="B21" s="2695"/>
      <c r="C21" s="2723"/>
      <c r="D21" s="3039"/>
      <c r="E21" s="725" t="s">
        <v>1067</v>
      </c>
      <c r="F21" s="964">
        <f>SUM(F16:F20)</f>
        <v>1555.0619999999999</v>
      </c>
      <c r="G21" s="965">
        <f>I21/F21-1</f>
        <v>-3.6190839979370448E-2</v>
      </c>
      <c r="H21" s="964">
        <f t="shared" ref="H21:P21" si="15">SUM(H16:H20)</f>
        <v>1736.1569999999999</v>
      </c>
      <c r="I21" s="728">
        <f t="shared" si="15"/>
        <v>1498.7830000000001</v>
      </c>
      <c r="J21" s="788">
        <f t="shared" si="4"/>
        <v>8.079621933261838E-2</v>
      </c>
      <c r="K21" s="964"/>
      <c r="L21" s="728">
        <f t="shared" si="15"/>
        <v>1619.8789999999999</v>
      </c>
      <c r="M21" s="728">
        <f>SUM(M16:M20)</f>
        <v>1853.9669999999999</v>
      </c>
      <c r="N21" s="1558">
        <f t="shared" ref="N21" si="16">SUM(N16:N20)</f>
        <v>1855.569</v>
      </c>
      <c r="O21" s="2162">
        <f t="shared" si="2"/>
        <v>0.14450955904731155</v>
      </c>
      <c r="P21" s="728">
        <f t="shared" si="15"/>
        <v>1924.6179999999999</v>
      </c>
      <c r="Q21" s="1558">
        <f t="shared" ref="Q21:R21" si="17">SUM(Q16:Q20)</f>
        <v>2107.4090000000001</v>
      </c>
      <c r="R21" s="728">
        <f t="shared" si="17"/>
        <v>2002.9961000000001</v>
      </c>
      <c r="S21" s="1558">
        <f t="shared" ref="S21" si="18">SUM(S16:S20)</f>
        <v>2214.9240000000004</v>
      </c>
      <c r="T21" s="2729"/>
      <c r="U21" s="2704"/>
      <c r="V21" s="2694"/>
      <c r="W21" s="656" t="s">
        <v>3549</v>
      </c>
      <c r="X21" s="2694"/>
      <c r="Y21" s="656" t="s">
        <v>1372</v>
      </c>
      <c r="Z21" s="656" t="s">
        <v>1372</v>
      </c>
      <c r="AA21" s="656" t="s">
        <v>1372</v>
      </c>
      <c r="AB21" s="971" t="s">
        <v>1372</v>
      </c>
      <c r="AC21" s="2694"/>
      <c r="AF21" s="84"/>
      <c r="AG21" s="84"/>
    </row>
    <row r="22" spans="1:33" ht="20.100000000000001" hidden="1" customHeight="1">
      <c r="A22" s="2874"/>
      <c r="B22" s="2876" t="s">
        <v>1209</v>
      </c>
      <c r="C22" s="2922" t="s">
        <v>1397</v>
      </c>
      <c r="D22" s="894"/>
      <c r="E22" s="913" t="s">
        <v>470</v>
      </c>
      <c r="F22" s="681">
        <v>550.19000000000005</v>
      </c>
      <c r="G22" s="733">
        <f t="shared" ref="G22:G33" si="19">I22/F22-1</f>
        <v>-0.22474781439139213</v>
      </c>
      <c r="H22" s="681">
        <v>745.46799999999996</v>
      </c>
      <c r="I22" s="681">
        <f>435.41-8.524-0.35</f>
        <v>426.536</v>
      </c>
      <c r="J22" s="681"/>
      <c r="K22" s="681">
        <v>448.02</v>
      </c>
      <c r="L22" s="681">
        <f>448.02+29</f>
        <v>477.02</v>
      </c>
      <c r="M22" s="681">
        <v>579.82000000000005</v>
      </c>
      <c r="N22" s="681">
        <v>586.67999999999995</v>
      </c>
      <c r="O22" s="2146">
        <f t="shared" si="2"/>
        <v>0.21550459100247385</v>
      </c>
      <c r="P22" s="681">
        <v>470.15</v>
      </c>
      <c r="Q22" s="681">
        <v>670.125</v>
      </c>
      <c r="R22" s="681">
        <v>698.46</v>
      </c>
      <c r="S22" s="681">
        <v>698.46</v>
      </c>
      <c r="T22" s="2936"/>
      <c r="U22" s="2936"/>
      <c r="V22" s="2936"/>
      <c r="W22" s="2936"/>
      <c r="X22" s="2936"/>
      <c r="Y22" s="2936"/>
      <c r="Z22" s="2936"/>
      <c r="AA22" s="2936"/>
      <c r="AB22" s="3059"/>
      <c r="AC22" s="3060"/>
      <c r="AF22" s="84"/>
      <c r="AG22" s="84"/>
    </row>
    <row r="23" spans="1:33" ht="20.100000000000001" hidden="1" customHeight="1">
      <c r="A23" s="2874"/>
      <c r="B23" s="2876"/>
      <c r="C23" s="2922"/>
      <c r="D23" s="894"/>
      <c r="E23" s="913" t="s">
        <v>1353</v>
      </c>
      <c r="F23" s="681">
        <v>349.9</v>
      </c>
      <c r="G23" s="733">
        <f t="shared" si="19"/>
        <v>4.6527579308373923E-2</v>
      </c>
      <c r="H23" s="681">
        <v>349.36399999999998</v>
      </c>
      <c r="I23" s="681">
        <f>366.18</f>
        <v>366.18</v>
      </c>
      <c r="J23" s="681"/>
      <c r="K23" s="681">
        <v>431.33</v>
      </c>
      <c r="L23" s="681">
        <f>413.8</f>
        <v>413.8</v>
      </c>
      <c r="M23" s="681">
        <v>384.34</v>
      </c>
      <c r="N23" s="681">
        <v>382.02</v>
      </c>
      <c r="O23" s="2146">
        <f t="shared" si="2"/>
        <v>-7.1193813436442807E-2</v>
      </c>
      <c r="P23" s="681">
        <f>Q23</f>
        <v>390.34</v>
      </c>
      <c r="Q23" s="681">
        <v>390.34</v>
      </c>
      <c r="R23" s="681">
        <f>S23</f>
        <v>394.42</v>
      </c>
      <c r="S23" s="681">
        <v>394.42</v>
      </c>
      <c r="T23" s="2936"/>
      <c r="U23" s="2936"/>
      <c r="V23" s="2936"/>
      <c r="W23" s="2936"/>
      <c r="X23" s="2936"/>
      <c r="Y23" s="2936"/>
      <c r="Z23" s="2936"/>
      <c r="AA23" s="2936"/>
      <c r="AB23" s="3061"/>
      <c r="AC23" s="3062"/>
      <c r="AF23" s="84"/>
      <c r="AG23" s="84"/>
    </row>
    <row r="24" spans="1:33" ht="20.100000000000001" hidden="1" customHeight="1">
      <c r="A24" s="2874"/>
      <c r="B24" s="2876"/>
      <c r="C24" s="2922"/>
      <c r="D24" s="894"/>
      <c r="E24" s="913" t="s">
        <v>2824</v>
      </c>
      <c r="F24" s="681"/>
      <c r="G24" s="733"/>
      <c r="H24" s="681"/>
      <c r="I24" s="681">
        <v>0.30299999999999999</v>
      </c>
      <c r="J24" s="681"/>
      <c r="K24" s="681"/>
      <c r="L24" s="681"/>
      <c r="M24" s="681">
        <v>0.48699999999999999</v>
      </c>
      <c r="N24" s="681"/>
      <c r="O24" s="2146"/>
      <c r="P24" s="681"/>
      <c r="Q24" s="681"/>
      <c r="R24" s="681"/>
      <c r="S24" s="681"/>
      <c r="T24" s="2936"/>
      <c r="U24" s="2936"/>
      <c r="V24" s="2936"/>
      <c r="W24" s="2936"/>
      <c r="X24" s="2936"/>
      <c r="Y24" s="2936"/>
      <c r="Z24" s="2936"/>
      <c r="AA24" s="2936"/>
      <c r="AB24" s="3061"/>
      <c r="AC24" s="3062"/>
      <c r="AF24" s="84"/>
      <c r="AG24" s="84"/>
    </row>
    <row r="25" spans="1:33" ht="20.100000000000001" hidden="1" customHeight="1">
      <c r="A25" s="2874"/>
      <c r="B25" s="2876"/>
      <c r="C25" s="2922"/>
      <c r="D25" s="894"/>
      <c r="E25" s="913" t="s">
        <v>1111</v>
      </c>
      <c r="F25" s="681">
        <v>69.102000000000004</v>
      </c>
      <c r="G25" s="733">
        <f t="shared" si="19"/>
        <v>-0.48939249225782178</v>
      </c>
      <c r="H25" s="681">
        <v>0</v>
      </c>
      <c r="I25" s="681">
        <f>26.76+8.524</f>
        <v>35.283999999999999</v>
      </c>
      <c r="J25" s="681"/>
      <c r="K25" s="681"/>
      <c r="L25" s="681">
        <f>40.114+0.015+0.5</f>
        <v>40.628999999999998</v>
      </c>
      <c r="M25" s="681">
        <v>57.201999999999998</v>
      </c>
      <c r="N25" s="681"/>
      <c r="O25" s="2146">
        <f t="shared" si="2"/>
        <v>0.40791060572497478</v>
      </c>
      <c r="P25" s="681">
        <v>57.201999999999998</v>
      </c>
      <c r="Q25" s="681">
        <v>93.47</v>
      </c>
      <c r="R25" s="681">
        <v>57.201999999999998</v>
      </c>
      <c r="S25" s="681">
        <v>96</v>
      </c>
      <c r="T25" s="2936"/>
      <c r="U25" s="2936"/>
      <c r="V25" s="2936"/>
      <c r="W25" s="2936"/>
      <c r="X25" s="2936"/>
      <c r="Y25" s="2936"/>
      <c r="Z25" s="2936"/>
      <c r="AA25" s="2936"/>
      <c r="AB25" s="3061"/>
      <c r="AC25" s="3062"/>
      <c r="AF25" s="84"/>
      <c r="AG25" s="84"/>
    </row>
    <row r="26" spans="1:33" ht="20.100000000000001" hidden="1" customHeight="1">
      <c r="A26" s="2874"/>
      <c r="B26" s="2876"/>
      <c r="C26" s="2922"/>
      <c r="D26" s="894"/>
      <c r="E26" s="913" t="s">
        <v>1352</v>
      </c>
      <c r="F26" s="681"/>
      <c r="G26" s="733"/>
      <c r="H26" s="681">
        <v>18.2</v>
      </c>
      <c r="I26" s="681">
        <v>0</v>
      </c>
      <c r="J26" s="681"/>
      <c r="K26" s="681"/>
      <c r="L26" s="681">
        <v>0</v>
      </c>
      <c r="M26" s="681">
        <v>21.32</v>
      </c>
      <c r="N26" s="681">
        <v>21.32</v>
      </c>
      <c r="O26" s="2146"/>
      <c r="P26" s="681">
        <v>20</v>
      </c>
      <c r="Q26" s="681">
        <v>20</v>
      </c>
      <c r="R26" s="681">
        <v>20.5</v>
      </c>
      <c r="S26" s="681">
        <v>20.5</v>
      </c>
      <c r="T26" s="2936"/>
      <c r="U26" s="2936"/>
      <c r="V26" s="2936"/>
      <c r="W26" s="2936"/>
      <c r="X26" s="2936"/>
      <c r="Y26" s="2936"/>
      <c r="Z26" s="2936"/>
      <c r="AA26" s="2936"/>
      <c r="AB26" s="3061"/>
      <c r="AC26" s="3062"/>
      <c r="AF26" s="84"/>
      <c r="AG26" s="84"/>
    </row>
    <row r="27" spans="1:33" ht="20.100000000000001" hidden="1" customHeight="1">
      <c r="A27" s="2874"/>
      <c r="B27" s="2876"/>
      <c r="C27" s="2922"/>
      <c r="D27" s="894"/>
      <c r="E27" s="2143" t="s">
        <v>2607</v>
      </c>
      <c r="F27" s="1021">
        <f>SUM(F22:F26)</f>
        <v>969.19200000000001</v>
      </c>
      <c r="G27" s="1454">
        <f t="shared" si="19"/>
        <v>-0.14536748136592126</v>
      </c>
      <c r="H27" s="1021">
        <f t="shared" ref="H27:M27" si="20">SUM(H22:H26)</f>
        <v>1113.0319999999999</v>
      </c>
      <c r="I27" s="1021">
        <f t="shared" si="20"/>
        <v>828.303</v>
      </c>
      <c r="J27" s="1021"/>
      <c r="K27" s="1021"/>
      <c r="L27" s="1021">
        <f t="shared" si="20"/>
        <v>931.44899999999996</v>
      </c>
      <c r="M27" s="1021">
        <f t="shared" si="20"/>
        <v>1043.1690000000001</v>
      </c>
      <c r="N27" s="1021">
        <f>SUM(N22:N26)</f>
        <v>990.02</v>
      </c>
      <c r="O27" s="2148">
        <f t="shared" si="2"/>
        <v>0.11994215464292747</v>
      </c>
      <c r="P27" s="1021">
        <f>SUM(P22:P26)</f>
        <v>937.69200000000001</v>
      </c>
      <c r="Q27" s="1021">
        <f t="shared" ref="Q27:S27" si="21">SUM(Q22:Q26)</f>
        <v>1173.9349999999999</v>
      </c>
      <c r="R27" s="1021">
        <f t="shared" ref="R27" si="22">SUM(R22:R26)</f>
        <v>1170.5820000000001</v>
      </c>
      <c r="S27" s="1021">
        <f t="shared" si="21"/>
        <v>1209.3800000000001</v>
      </c>
      <c r="T27" s="2936"/>
      <c r="U27" s="2936"/>
      <c r="V27" s="2936"/>
      <c r="W27" s="2936"/>
      <c r="X27" s="2936"/>
      <c r="Y27" s="2936"/>
      <c r="Z27" s="2936"/>
      <c r="AA27" s="2936"/>
      <c r="AB27" s="3061"/>
      <c r="AC27" s="3062"/>
      <c r="AF27" s="84"/>
      <c r="AG27" s="84"/>
    </row>
    <row r="28" spans="1:33" ht="20.100000000000001" hidden="1" customHeight="1">
      <c r="A28" s="2874"/>
      <c r="B28" s="2876" t="s">
        <v>1210</v>
      </c>
      <c r="C28" s="2922" t="s">
        <v>1398</v>
      </c>
      <c r="D28" s="894"/>
      <c r="E28" s="913" t="s">
        <v>470</v>
      </c>
      <c r="F28" s="681">
        <v>551.49</v>
      </c>
      <c r="G28" s="733">
        <f t="shared" si="19"/>
        <v>7.8467424613320347E-2</v>
      </c>
      <c r="H28" s="681">
        <v>599.02499999999998</v>
      </c>
      <c r="I28" s="681">
        <f>604.24-9.476</f>
        <v>594.76400000000001</v>
      </c>
      <c r="J28" s="681"/>
      <c r="K28" s="681">
        <v>622.49</v>
      </c>
      <c r="L28" s="681">
        <v>622.49</v>
      </c>
      <c r="M28" s="681">
        <v>730.62</v>
      </c>
      <c r="N28" s="681">
        <v>689.41399999999999</v>
      </c>
      <c r="O28" s="2146">
        <f t="shared" si="2"/>
        <v>0.17370560169641278</v>
      </c>
      <c r="P28" s="681">
        <v>653.99</v>
      </c>
      <c r="Q28" s="681">
        <v>741.625</v>
      </c>
      <c r="R28" s="681">
        <v>808.69500000000005</v>
      </c>
      <c r="S28" s="681">
        <v>808.69500000000005</v>
      </c>
      <c r="T28" s="2936"/>
      <c r="U28" s="2936"/>
      <c r="V28" s="2936"/>
      <c r="W28" s="2936"/>
      <c r="X28" s="2936"/>
      <c r="Y28" s="2936"/>
      <c r="Z28" s="2936"/>
      <c r="AA28" s="2936"/>
      <c r="AB28" s="3061"/>
      <c r="AC28" s="3062"/>
      <c r="AF28" s="84"/>
      <c r="AG28" s="84"/>
    </row>
    <row r="29" spans="1:33" ht="20.100000000000001" hidden="1" customHeight="1">
      <c r="A29" s="2874"/>
      <c r="B29" s="2876"/>
      <c r="C29" s="2922"/>
      <c r="D29" s="894"/>
      <c r="E29" s="913" t="s">
        <v>1353</v>
      </c>
      <c r="F29" s="681">
        <v>21.355</v>
      </c>
      <c r="G29" s="733">
        <f t="shared" si="19"/>
        <v>0.217513462889253</v>
      </c>
      <c r="H29" s="681">
        <v>24.1</v>
      </c>
      <c r="I29" s="681">
        <v>26</v>
      </c>
      <c r="J29" s="681"/>
      <c r="K29" s="681">
        <v>30</v>
      </c>
      <c r="L29" s="681">
        <v>30</v>
      </c>
      <c r="M29" s="681">
        <f>45.5-13.5</f>
        <v>32</v>
      </c>
      <c r="N29" s="681">
        <v>32</v>
      </c>
      <c r="O29" s="2146">
        <f t="shared" si="2"/>
        <v>6.6666666666666666E-2</v>
      </c>
      <c r="P29" s="681">
        <f>Q29</f>
        <v>35</v>
      </c>
      <c r="Q29" s="681">
        <v>35</v>
      </c>
      <c r="R29" s="681">
        <v>40</v>
      </c>
      <c r="S29" s="681">
        <v>40</v>
      </c>
      <c r="T29" s="2936"/>
      <c r="U29" s="2936"/>
      <c r="V29" s="2936"/>
      <c r="W29" s="2936"/>
      <c r="X29" s="2936"/>
      <c r="Y29" s="2936"/>
      <c r="Z29" s="2936"/>
      <c r="AA29" s="2936"/>
      <c r="AB29" s="3061"/>
      <c r="AC29" s="3062"/>
      <c r="AF29" s="84"/>
      <c r="AG29" s="84"/>
    </row>
    <row r="30" spans="1:33" ht="20.100000000000001" hidden="1" customHeight="1">
      <c r="A30" s="2874"/>
      <c r="B30" s="2876"/>
      <c r="C30" s="2922"/>
      <c r="D30" s="894"/>
      <c r="E30" s="913" t="s">
        <v>2824</v>
      </c>
      <c r="F30" s="681"/>
      <c r="G30" s="733"/>
      <c r="H30" s="681"/>
      <c r="I30" s="681"/>
      <c r="J30" s="681"/>
      <c r="K30" s="681"/>
      <c r="L30" s="681"/>
      <c r="M30" s="681">
        <v>1.0640000000000001</v>
      </c>
      <c r="N30" s="681"/>
      <c r="O30" s="2146"/>
      <c r="P30" s="681"/>
      <c r="Q30" s="681"/>
      <c r="R30" s="681"/>
      <c r="S30" s="681"/>
      <c r="T30" s="2936"/>
      <c r="U30" s="2936"/>
      <c r="V30" s="2936"/>
      <c r="W30" s="2936"/>
      <c r="X30" s="2936"/>
      <c r="Y30" s="2936"/>
      <c r="Z30" s="2936"/>
      <c r="AA30" s="2936"/>
      <c r="AB30" s="3061"/>
      <c r="AC30" s="3062"/>
      <c r="AF30" s="84"/>
      <c r="AG30" s="84"/>
    </row>
    <row r="31" spans="1:33" ht="20.100000000000001" hidden="1" customHeight="1">
      <c r="A31" s="2874"/>
      <c r="B31" s="2876"/>
      <c r="C31" s="2922"/>
      <c r="D31" s="894"/>
      <c r="E31" s="913" t="s">
        <v>1111</v>
      </c>
      <c r="F31" s="681">
        <v>13.025</v>
      </c>
      <c r="G31" s="733">
        <f t="shared" si="19"/>
        <v>0.59047984644913631</v>
      </c>
      <c r="H31" s="681">
        <v>0</v>
      </c>
      <c r="I31" s="681">
        <f>11.24+9.476</f>
        <v>20.716000000000001</v>
      </c>
      <c r="J31" s="681"/>
      <c r="K31" s="681"/>
      <c r="L31" s="681">
        <v>35.94</v>
      </c>
      <c r="M31" s="681">
        <v>40.113999999999997</v>
      </c>
      <c r="N31" s="681">
        <v>137.13499999999999</v>
      </c>
      <c r="O31" s="2146">
        <f t="shared" si="2"/>
        <v>0.11613800779076237</v>
      </c>
      <c r="P31" s="681">
        <v>40.113999999999997</v>
      </c>
      <c r="Q31" s="681">
        <v>150.84899999999999</v>
      </c>
      <c r="R31" s="681">
        <v>40.113999999999997</v>
      </c>
      <c r="S31" s="681">
        <v>150.84899999999999</v>
      </c>
      <c r="T31" s="2936"/>
      <c r="U31" s="2936"/>
      <c r="V31" s="2936"/>
      <c r="W31" s="2936"/>
      <c r="X31" s="2936"/>
      <c r="Y31" s="2936"/>
      <c r="Z31" s="2936"/>
      <c r="AA31" s="2936"/>
      <c r="AB31" s="3061"/>
      <c r="AC31" s="3062"/>
      <c r="AF31" s="84"/>
      <c r="AG31" s="84"/>
    </row>
    <row r="32" spans="1:33" ht="20.100000000000001" hidden="1" customHeight="1">
      <c r="A32" s="2874"/>
      <c r="B32" s="2876"/>
      <c r="C32" s="2922"/>
      <c r="D32" s="894"/>
      <c r="E32" s="913" t="s">
        <v>1352</v>
      </c>
      <c r="F32" s="737"/>
      <c r="G32" s="778"/>
      <c r="H32" s="681">
        <v>0</v>
      </c>
      <c r="I32" s="681">
        <v>0</v>
      </c>
      <c r="J32" s="681"/>
      <c r="K32" s="681"/>
      <c r="L32" s="681">
        <v>0</v>
      </c>
      <c r="M32" s="681">
        <v>7</v>
      </c>
      <c r="N32" s="681">
        <v>7</v>
      </c>
      <c r="O32" s="2146"/>
      <c r="P32" s="681">
        <v>6</v>
      </c>
      <c r="Q32" s="681">
        <v>6</v>
      </c>
      <c r="R32" s="681">
        <v>6</v>
      </c>
      <c r="S32" s="681">
        <v>6</v>
      </c>
      <c r="T32" s="2936"/>
      <c r="U32" s="2936"/>
      <c r="V32" s="2936"/>
      <c r="W32" s="2936"/>
      <c r="X32" s="2936"/>
      <c r="Y32" s="2936"/>
      <c r="Z32" s="2936"/>
      <c r="AA32" s="2936"/>
      <c r="AB32" s="3061"/>
      <c r="AC32" s="3062"/>
      <c r="AF32" s="84"/>
      <c r="AG32" s="84"/>
    </row>
    <row r="33" spans="1:33" ht="26.4" hidden="1" customHeight="1">
      <c r="A33" s="2874"/>
      <c r="B33" s="2876"/>
      <c r="C33" s="2922"/>
      <c r="D33" s="894"/>
      <c r="E33" s="2143" t="s">
        <v>2607</v>
      </c>
      <c r="F33" s="1021">
        <f>SUM(F28:F32)</f>
        <v>585.87</v>
      </c>
      <c r="G33" s="1454">
        <f t="shared" si="19"/>
        <v>9.4918667963882708E-2</v>
      </c>
      <c r="H33" s="1021">
        <f t="shared" ref="H33:I33" si="23">SUM(H28:H32)</f>
        <v>623.125</v>
      </c>
      <c r="I33" s="1021">
        <f t="shared" si="23"/>
        <v>641.48</v>
      </c>
      <c r="J33" s="1021"/>
      <c r="K33" s="1021"/>
      <c r="L33" s="1021">
        <f>SUM(L28:L32)</f>
        <v>688.43000000000006</v>
      </c>
      <c r="M33" s="1021">
        <f>SUM(M28:M32)</f>
        <v>810.798</v>
      </c>
      <c r="N33" s="1021">
        <f t="shared" ref="N33" si="24">SUM(N28:N32)</f>
        <v>865.54899999999998</v>
      </c>
      <c r="O33" s="2148">
        <f t="shared" si="2"/>
        <v>0.17774937175892963</v>
      </c>
      <c r="P33" s="1021">
        <f t="shared" ref="P33:S33" si="25">SUM(P28:P32)</f>
        <v>735.10400000000004</v>
      </c>
      <c r="Q33" s="1021">
        <f t="shared" si="25"/>
        <v>933.47399999999993</v>
      </c>
      <c r="R33" s="1021">
        <f t="shared" si="25"/>
        <v>894.80900000000008</v>
      </c>
      <c r="S33" s="1021">
        <f t="shared" si="25"/>
        <v>1005.5440000000001</v>
      </c>
      <c r="T33" s="2936"/>
      <c r="U33" s="2936"/>
      <c r="V33" s="2936"/>
      <c r="W33" s="2936"/>
      <c r="X33" s="2936"/>
      <c r="Y33" s="2936"/>
      <c r="Z33" s="2936"/>
      <c r="AA33" s="2936"/>
      <c r="AB33" s="3063"/>
      <c r="AC33" s="3064"/>
      <c r="AF33" s="84"/>
      <c r="AG33" s="84"/>
    </row>
    <row r="34" spans="1:33" ht="37.5" hidden="1" customHeight="1">
      <c r="A34" s="913"/>
      <c r="B34" s="693" t="s">
        <v>2540</v>
      </c>
      <c r="C34" s="894"/>
      <c r="D34" s="894"/>
      <c r="E34" s="913"/>
      <c r="F34" s="734"/>
      <c r="G34" s="906"/>
      <c r="H34" s="734"/>
      <c r="I34" s="737">
        <v>29</v>
      </c>
      <c r="J34" s="737"/>
      <c r="K34" s="968">
        <v>29</v>
      </c>
      <c r="L34" s="681">
        <v>0</v>
      </c>
      <c r="M34" s="681">
        <v>0</v>
      </c>
      <c r="N34" s="1559"/>
      <c r="O34" s="2146" t="e">
        <f t="shared" si="2"/>
        <v>#DIV/0!</v>
      </c>
      <c r="P34" s="681"/>
      <c r="Q34" s="1559"/>
      <c r="R34" s="681"/>
      <c r="S34" s="1559"/>
      <c r="T34" s="2936"/>
      <c r="U34" s="2936"/>
      <c r="V34" s="2936"/>
      <c r="W34" s="2936"/>
      <c r="X34" s="2936"/>
      <c r="Y34" s="2936"/>
      <c r="Z34" s="2936"/>
      <c r="AA34" s="2936"/>
      <c r="AB34" s="1857"/>
      <c r="AC34" s="925"/>
      <c r="AF34" s="84"/>
      <c r="AG34" s="84"/>
    </row>
    <row r="35" spans="1:33" ht="45" customHeight="1">
      <c r="A35" s="663" t="s">
        <v>1994</v>
      </c>
      <c r="B35" s="663" t="s">
        <v>1211</v>
      </c>
      <c r="C35" s="969"/>
      <c r="D35" s="969"/>
      <c r="E35" s="969"/>
      <c r="F35" s="960">
        <f>SUM(F38,F41,F45,F47,F49,F60,F63,F77,F90,F95,)</f>
        <v>9154.57</v>
      </c>
      <c r="G35" s="961">
        <f>I35/F35-1</f>
        <v>0.20229207925658965</v>
      </c>
      <c r="H35" s="960">
        <f t="shared" ref="H35" si="26">SUM(H38,H41,H45,H47,H49,H60,H63,H77,H90,H95,)</f>
        <v>10712.397999999999</v>
      </c>
      <c r="I35" s="690">
        <f>SUM(I38,I41,I45,I47,I49,I60,I63,I77,I90,I95,)</f>
        <v>11006.466999999997</v>
      </c>
      <c r="J35" s="717">
        <f>L35/I35-1</f>
        <v>8.1310832985735049E-2</v>
      </c>
      <c r="K35" s="960">
        <f>SUM(K38,K41,K45,K47,K49,K60,K63,K77,K90,K95,)</f>
        <v>12644.948000000002</v>
      </c>
      <c r="L35" s="690">
        <f t="shared" ref="L35" si="27">SUM(L38,L41,L45,L47,L49,L60,L63,L77,L90,L95,)</f>
        <v>11901.412000000002</v>
      </c>
      <c r="M35" s="690">
        <f t="shared" ref="M35:S35" si="28">SUM(M38,M41,M45,M47,M49,M60,M63,M77,M90,M95,)</f>
        <v>12720.332</v>
      </c>
      <c r="N35" s="1556">
        <f t="shared" si="28"/>
        <v>12568.357000000002</v>
      </c>
      <c r="O35" s="2161">
        <f t="shared" si="2"/>
        <v>6.8808642201446196E-2</v>
      </c>
      <c r="P35" s="690">
        <f t="shared" si="28"/>
        <v>12742.832</v>
      </c>
      <c r="Q35" s="1556">
        <f t="shared" si="28"/>
        <v>12429.335000000001</v>
      </c>
      <c r="R35" s="690">
        <f t="shared" si="28"/>
        <v>12747.312</v>
      </c>
      <c r="S35" s="1556">
        <f t="shared" si="28"/>
        <v>12369.446</v>
      </c>
      <c r="T35" s="173" t="s">
        <v>2270</v>
      </c>
      <c r="U35" s="962"/>
      <c r="V35" s="671" t="s">
        <v>2850</v>
      </c>
      <c r="W35" s="671" t="s">
        <v>1730</v>
      </c>
      <c r="X35" s="671" t="s">
        <v>585</v>
      </c>
      <c r="Y35" s="671" t="s">
        <v>585</v>
      </c>
      <c r="Z35" s="671" t="s">
        <v>585</v>
      </c>
      <c r="AA35" s="671" t="s">
        <v>585</v>
      </c>
      <c r="AB35" s="1096" t="s">
        <v>585</v>
      </c>
      <c r="AC35" s="671"/>
      <c r="AF35" s="84"/>
      <c r="AG35" s="84"/>
    </row>
    <row r="36" spans="1:33" ht="41.4" customHeight="1">
      <c r="A36" s="2879" t="s">
        <v>1995</v>
      </c>
      <c r="B36" s="2703" t="s">
        <v>1212</v>
      </c>
      <c r="C36" s="2700">
        <v>188711925</v>
      </c>
      <c r="D36" s="3040"/>
      <c r="E36" s="706" t="s">
        <v>412</v>
      </c>
      <c r="F36" s="970">
        <v>4708.1000000000004</v>
      </c>
      <c r="G36" s="973">
        <f>I36/F36-1</f>
        <v>9.702427730931773E-2</v>
      </c>
      <c r="H36" s="970">
        <v>4872.9549999999999</v>
      </c>
      <c r="I36" s="722">
        <v>5164.8999999999996</v>
      </c>
      <c r="J36" s="723">
        <f t="shared" ref="J36:J49" si="29">L36/I36-1</f>
        <v>0.12947007686499279</v>
      </c>
      <c r="K36" s="970">
        <v>5833.6</v>
      </c>
      <c r="L36" s="722">
        <v>5833.6</v>
      </c>
      <c r="M36" s="722">
        <v>6164.8</v>
      </c>
      <c r="N36" s="1557">
        <v>5728.902</v>
      </c>
      <c r="O36" s="2150">
        <f t="shared" si="2"/>
        <v>5.677454744925943E-2</v>
      </c>
      <c r="P36" s="722">
        <v>6164.8</v>
      </c>
      <c r="Q36" s="1557">
        <v>5507.7569999999996</v>
      </c>
      <c r="R36" s="722">
        <v>6164.8</v>
      </c>
      <c r="S36" s="1557">
        <v>5414.915</v>
      </c>
      <c r="T36" s="2729" t="s">
        <v>2217</v>
      </c>
      <c r="U36" s="2704" t="s">
        <v>3522</v>
      </c>
      <c r="V36" s="2694" t="s">
        <v>1445</v>
      </c>
      <c r="W36" s="3028" t="s">
        <v>553</v>
      </c>
      <c r="X36" s="3028" t="s">
        <v>1710</v>
      </c>
      <c r="Y36" s="3028" t="s">
        <v>3519</v>
      </c>
      <c r="Z36" s="3028" t="s">
        <v>4121</v>
      </c>
      <c r="AA36" s="3028" t="s">
        <v>4122</v>
      </c>
      <c r="AB36" s="3028" t="s">
        <v>4123</v>
      </c>
      <c r="AC36" s="2694" t="s">
        <v>2218</v>
      </c>
      <c r="AF36" s="84"/>
      <c r="AG36" s="84"/>
    </row>
    <row r="37" spans="1:33" ht="34.950000000000003" hidden="1" customHeight="1">
      <c r="A37" s="2879"/>
      <c r="B37" s="2703"/>
      <c r="C37" s="2700"/>
      <c r="D37" s="3041"/>
      <c r="E37" s="706" t="s">
        <v>470</v>
      </c>
      <c r="F37" s="970"/>
      <c r="G37" s="970"/>
      <c r="H37" s="970"/>
      <c r="I37" s="722"/>
      <c r="J37" s="723"/>
      <c r="K37" s="970"/>
      <c r="L37" s="722"/>
      <c r="M37" s="722"/>
      <c r="N37" s="1557"/>
      <c r="O37" s="2150" t="e">
        <f t="shared" si="2"/>
        <v>#DIV/0!</v>
      </c>
      <c r="P37" s="722"/>
      <c r="Q37" s="1557"/>
      <c r="R37" s="722"/>
      <c r="S37" s="1557"/>
      <c r="T37" s="2729"/>
      <c r="U37" s="2734"/>
      <c r="V37" s="2694"/>
      <c r="W37" s="3028"/>
      <c r="X37" s="3028"/>
      <c r="Y37" s="3028"/>
      <c r="Z37" s="3028"/>
      <c r="AA37" s="3028"/>
      <c r="AB37" s="3028"/>
      <c r="AC37" s="2694"/>
      <c r="AF37" s="84"/>
      <c r="AG37" s="84"/>
    </row>
    <row r="38" spans="1:33" ht="37.200000000000003" customHeight="1">
      <c r="A38" s="2879"/>
      <c r="B38" s="2703"/>
      <c r="C38" s="2700"/>
      <c r="D38" s="3042"/>
      <c r="E38" s="725" t="s">
        <v>1067</v>
      </c>
      <c r="F38" s="964">
        <f>SUM(F36:F37)</f>
        <v>4708.1000000000004</v>
      </c>
      <c r="G38" s="965">
        <f>I38/F38-1</f>
        <v>9.702427730931773E-2</v>
      </c>
      <c r="H38" s="964">
        <f t="shared" ref="H38:P38" si="30">SUM(H36:H37)</f>
        <v>4872.9549999999999</v>
      </c>
      <c r="I38" s="728">
        <f t="shared" si="30"/>
        <v>5164.8999999999996</v>
      </c>
      <c r="J38" s="729">
        <f t="shared" si="29"/>
        <v>0.12947007686499279</v>
      </c>
      <c r="K38" s="964">
        <f t="shared" si="30"/>
        <v>5833.6</v>
      </c>
      <c r="L38" s="728">
        <f t="shared" si="30"/>
        <v>5833.6</v>
      </c>
      <c r="M38" s="728">
        <f t="shared" si="30"/>
        <v>6164.8</v>
      </c>
      <c r="N38" s="1558">
        <f t="shared" ref="N38" si="31">SUM(N36:N37)</f>
        <v>5728.902</v>
      </c>
      <c r="O38" s="2162">
        <f t="shared" si="2"/>
        <v>5.677454744925943E-2</v>
      </c>
      <c r="P38" s="728">
        <f t="shared" si="30"/>
        <v>6164.8</v>
      </c>
      <c r="Q38" s="1558">
        <f t="shared" ref="Q38:R38" si="32">SUM(Q36:Q37)</f>
        <v>5507.7569999999996</v>
      </c>
      <c r="R38" s="728">
        <f t="shared" si="32"/>
        <v>6164.8</v>
      </c>
      <c r="S38" s="1558">
        <f t="shared" ref="S38" si="33">SUM(S36:S37)</f>
        <v>5414.915</v>
      </c>
      <c r="T38" s="2729"/>
      <c r="U38" s="2734"/>
      <c r="V38" s="2694"/>
      <c r="W38" s="3028"/>
      <c r="X38" s="3028"/>
      <c r="Y38" s="3028"/>
      <c r="Z38" s="3028"/>
      <c r="AA38" s="3028"/>
      <c r="AB38" s="3028"/>
      <c r="AC38" s="2694"/>
      <c r="AF38" s="84"/>
      <c r="AG38" s="84"/>
    </row>
    <row r="39" spans="1:33" ht="34.950000000000003" customHeight="1">
      <c r="A39" s="2879" t="s">
        <v>1996</v>
      </c>
      <c r="B39" s="2703" t="s">
        <v>1213</v>
      </c>
      <c r="C39" s="2700">
        <v>188711925</v>
      </c>
      <c r="D39" s="3040"/>
      <c r="E39" s="706" t="s">
        <v>412</v>
      </c>
      <c r="F39" s="970">
        <v>541.5</v>
      </c>
      <c r="G39" s="972">
        <f>I39/F39-1</f>
        <v>1.4855032317636194</v>
      </c>
      <c r="H39" s="970">
        <v>1226.4000000000001</v>
      </c>
      <c r="I39" s="722">
        <f>1281.8+64.1</f>
        <v>1345.8999999999999</v>
      </c>
      <c r="J39" s="723">
        <f t="shared" si="29"/>
        <v>0.24177130544616987</v>
      </c>
      <c r="K39" s="970">
        <v>1671.3</v>
      </c>
      <c r="L39" s="722">
        <v>1671.3</v>
      </c>
      <c r="M39" s="722">
        <v>1781.8</v>
      </c>
      <c r="N39" s="1557">
        <v>1996</v>
      </c>
      <c r="O39" s="2150">
        <f t="shared" si="2"/>
        <v>6.6116196972416677E-2</v>
      </c>
      <c r="P39" s="722">
        <v>1781.8</v>
      </c>
      <c r="Q39" s="1557">
        <v>1996</v>
      </c>
      <c r="R39" s="722">
        <v>1781.8</v>
      </c>
      <c r="S39" s="1557">
        <v>1996</v>
      </c>
      <c r="T39" s="2729"/>
      <c r="U39" s="2704" t="s">
        <v>3521</v>
      </c>
      <c r="V39" s="2694" t="s">
        <v>1446</v>
      </c>
      <c r="W39" s="3028" t="s">
        <v>4280</v>
      </c>
      <c r="X39" s="3028" t="s">
        <v>1712</v>
      </c>
      <c r="Y39" s="3028" t="s">
        <v>3520</v>
      </c>
      <c r="Z39" s="3028" t="s">
        <v>4124</v>
      </c>
      <c r="AA39" s="3028" t="s">
        <v>4124</v>
      </c>
      <c r="AB39" s="3028" t="s">
        <v>4124</v>
      </c>
      <c r="AC39" s="2694"/>
      <c r="AF39" s="84"/>
      <c r="AG39" s="84"/>
    </row>
    <row r="40" spans="1:33" ht="31.5" hidden="1" customHeight="1">
      <c r="A40" s="2879"/>
      <c r="B40" s="2703"/>
      <c r="C40" s="2700"/>
      <c r="D40" s="3041"/>
      <c r="E40" s="706" t="s">
        <v>470</v>
      </c>
      <c r="F40" s="970"/>
      <c r="G40" s="970"/>
      <c r="H40" s="970"/>
      <c r="I40" s="722"/>
      <c r="J40" s="723"/>
      <c r="K40" s="970"/>
      <c r="L40" s="722"/>
      <c r="M40" s="722"/>
      <c r="N40" s="1557"/>
      <c r="O40" s="2150" t="e">
        <f t="shared" si="2"/>
        <v>#DIV/0!</v>
      </c>
      <c r="P40" s="722"/>
      <c r="Q40" s="1557"/>
      <c r="R40" s="722"/>
      <c r="S40" s="1557"/>
      <c r="T40" s="2729"/>
      <c r="U40" s="2734"/>
      <c r="V40" s="2694"/>
      <c r="W40" s="3028"/>
      <c r="X40" s="3028"/>
      <c r="Y40" s="3028"/>
      <c r="Z40" s="3028"/>
      <c r="AA40" s="3028"/>
      <c r="AB40" s="3028"/>
      <c r="AC40" s="2694"/>
      <c r="AF40" s="84"/>
      <c r="AG40" s="84"/>
    </row>
    <row r="41" spans="1:33" ht="36" customHeight="1">
      <c r="A41" s="2879"/>
      <c r="B41" s="2703"/>
      <c r="C41" s="2700"/>
      <c r="D41" s="3042"/>
      <c r="E41" s="725" t="s">
        <v>1067</v>
      </c>
      <c r="F41" s="964">
        <f>SUM(F39:F40)</f>
        <v>541.5</v>
      </c>
      <c r="G41" s="965">
        <f t="shared" ref="G41" si="34">SUM(G39:G40)</f>
        <v>1.4855032317636194</v>
      </c>
      <c r="H41" s="964">
        <f t="shared" ref="H41:P41" si="35">SUM(H39:H40)</f>
        <v>1226.4000000000001</v>
      </c>
      <c r="I41" s="728">
        <f t="shared" si="35"/>
        <v>1345.8999999999999</v>
      </c>
      <c r="J41" s="729">
        <f t="shared" si="29"/>
        <v>0.24177130544616987</v>
      </c>
      <c r="K41" s="964">
        <f t="shared" si="35"/>
        <v>1671.3</v>
      </c>
      <c r="L41" s="728">
        <f t="shared" si="35"/>
        <v>1671.3</v>
      </c>
      <c r="M41" s="728">
        <f t="shared" si="35"/>
        <v>1781.8</v>
      </c>
      <c r="N41" s="1558">
        <f t="shared" ref="N41" si="36">SUM(N39:N40)</f>
        <v>1996</v>
      </c>
      <c r="O41" s="2162">
        <f t="shared" si="2"/>
        <v>6.6116196972416677E-2</v>
      </c>
      <c r="P41" s="728">
        <f t="shared" si="35"/>
        <v>1781.8</v>
      </c>
      <c r="Q41" s="1558">
        <f t="shared" ref="Q41:R41" si="37">SUM(Q39:Q40)</f>
        <v>1996</v>
      </c>
      <c r="R41" s="728">
        <f t="shared" si="37"/>
        <v>1781.8</v>
      </c>
      <c r="S41" s="1558">
        <f t="shared" ref="S41" si="38">SUM(S39:S40)</f>
        <v>1996</v>
      </c>
      <c r="T41" s="2729"/>
      <c r="U41" s="2734"/>
      <c r="V41" s="2694"/>
      <c r="W41" s="3028"/>
      <c r="X41" s="3028"/>
      <c r="Y41" s="3028"/>
      <c r="Z41" s="3028"/>
      <c r="AA41" s="3028"/>
      <c r="AB41" s="3028"/>
      <c r="AC41" s="2694"/>
      <c r="AF41" s="84"/>
      <c r="AG41" s="84"/>
    </row>
    <row r="42" spans="1:33" ht="55.5" customHeight="1">
      <c r="A42" s="2879" t="s">
        <v>1997</v>
      </c>
      <c r="B42" s="2703" t="s">
        <v>1724</v>
      </c>
      <c r="C42" s="2700">
        <v>188711925</v>
      </c>
      <c r="D42" s="2995" t="s">
        <v>4156</v>
      </c>
      <c r="E42" s="706" t="s">
        <v>1410</v>
      </c>
      <c r="F42" s="970">
        <v>147.38</v>
      </c>
      <c r="G42" s="973">
        <f>I42/F42-1</f>
        <v>0.1166711901207762</v>
      </c>
      <c r="H42" s="970">
        <v>148.17599999999999</v>
      </c>
      <c r="I42" s="722">
        <v>164.57499999999999</v>
      </c>
      <c r="J42" s="723">
        <f t="shared" si="29"/>
        <v>0.26958529545799803</v>
      </c>
      <c r="K42" s="970">
        <v>156.41999999999999</v>
      </c>
      <c r="L42" s="722">
        <v>208.94200000000001</v>
      </c>
      <c r="M42" s="722">
        <v>219.822</v>
      </c>
      <c r="N42" s="1557">
        <v>207.82</v>
      </c>
      <c r="O42" s="2150">
        <f t="shared" si="2"/>
        <v>5.2071866833858178E-2</v>
      </c>
      <c r="P42" s="722">
        <v>219.822</v>
      </c>
      <c r="Q42" s="1557">
        <v>209.59</v>
      </c>
      <c r="R42" s="722">
        <v>219.822</v>
      </c>
      <c r="S42" s="1557">
        <v>209.59</v>
      </c>
      <c r="T42" s="2729"/>
      <c r="U42" s="2704" t="s">
        <v>1713</v>
      </c>
      <c r="V42" s="2694" t="s">
        <v>1447</v>
      </c>
      <c r="W42" s="971" t="s">
        <v>1723</v>
      </c>
      <c r="X42" s="971" t="s">
        <v>2743</v>
      </c>
      <c r="Y42" s="971" t="s">
        <v>3523</v>
      </c>
      <c r="Z42" s="971" t="s">
        <v>3524</v>
      </c>
      <c r="AA42" s="971" t="s">
        <v>3525</v>
      </c>
      <c r="AB42" s="971" t="s">
        <v>3525</v>
      </c>
      <c r="AC42" s="2694"/>
      <c r="AF42" s="84"/>
      <c r="AG42" s="84"/>
    </row>
    <row r="43" spans="1:33" ht="50.4" customHeight="1">
      <c r="A43" s="2879"/>
      <c r="B43" s="2703"/>
      <c r="C43" s="2700"/>
      <c r="D43" s="2996"/>
      <c r="E43" s="706" t="s">
        <v>470</v>
      </c>
      <c r="F43" s="970">
        <v>2176.9299999999998</v>
      </c>
      <c r="G43" s="973">
        <f t="shared" ref="G43:G45" si="39">I43/F43-1</f>
        <v>0</v>
      </c>
      <c r="H43" s="970">
        <v>2176.9299999999998</v>
      </c>
      <c r="I43" s="722">
        <v>2176.9299999999998</v>
      </c>
      <c r="J43" s="723">
        <f t="shared" si="29"/>
        <v>0</v>
      </c>
      <c r="K43" s="970">
        <v>2300</v>
      </c>
      <c r="L43" s="974">
        <v>2176.9299999999998</v>
      </c>
      <c r="M43" s="974">
        <v>2176.9299999999998</v>
      </c>
      <c r="N43" s="1557">
        <v>2176.9299999999998</v>
      </c>
      <c r="O43" s="2150">
        <f t="shared" si="2"/>
        <v>0</v>
      </c>
      <c r="P43" s="974">
        <v>2176.9299999999998</v>
      </c>
      <c r="Q43" s="1557">
        <v>2176.9299999999998</v>
      </c>
      <c r="R43" s="974">
        <v>2176.9299999999998</v>
      </c>
      <c r="S43" s="1557">
        <v>2176.9299999999998</v>
      </c>
      <c r="T43" s="2729"/>
      <c r="U43" s="2734"/>
      <c r="V43" s="2694"/>
      <c r="W43" s="3028" t="s">
        <v>2778</v>
      </c>
      <c r="X43" s="3028" t="s">
        <v>2744</v>
      </c>
      <c r="Y43" s="3028" t="s">
        <v>2744</v>
      </c>
      <c r="Z43" s="3028" t="s">
        <v>2744</v>
      </c>
      <c r="AA43" s="3028" t="s">
        <v>2744</v>
      </c>
      <c r="AB43" s="3028" t="s">
        <v>2744</v>
      </c>
      <c r="AC43" s="2694"/>
      <c r="AF43" s="84"/>
      <c r="AG43" s="84"/>
    </row>
    <row r="44" spans="1:33" ht="27" hidden="1" customHeight="1">
      <c r="A44" s="2879"/>
      <c r="B44" s="2703"/>
      <c r="C44" s="2700"/>
      <c r="D44" s="2996"/>
      <c r="E44" s="706" t="s">
        <v>1111</v>
      </c>
      <c r="F44" s="970"/>
      <c r="G44" s="973"/>
      <c r="H44" s="970">
        <v>380</v>
      </c>
      <c r="I44" s="722">
        <v>0</v>
      </c>
      <c r="J44" s="723"/>
      <c r="K44" s="970"/>
      <c r="L44" s="722"/>
      <c r="M44" s="722"/>
      <c r="N44" s="1557"/>
      <c r="O44" s="2150" t="e">
        <f t="shared" si="2"/>
        <v>#DIV/0!</v>
      </c>
      <c r="P44" s="722"/>
      <c r="Q44" s="1557"/>
      <c r="R44" s="722"/>
      <c r="S44" s="1557"/>
      <c r="T44" s="2729"/>
      <c r="U44" s="2734"/>
      <c r="V44" s="2694"/>
      <c r="W44" s="3028"/>
      <c r="X44" s="3028"/>
      <c r="Y44" s="3028"/>
      <c r="Z44" s="3028"/>
      <c r="AA44" s="3028"/>
      <c r="AB44" s="3028"/>
      <c r="AC44" s="2694"/>
      <c r="AF44" s="84"/>
      <c r="AG44" s="84"/>
    </row>
    <row r="45" spans="1:33" ht="43.95" customHeight="1">
      <c r="A45" s="2879"/>
      <c r="B45" s="2703"/>
      <c r="C45" s="2700"/>
      <c r="D45" s="2997"/>
      <c r="E45" s="725" t="s">
        <v>1067</v>
      </c>
      <c r="F45" s="964">
        <f>SUM(F42:F43)</f>
        <v>2324.31</v>
      </c>
      <c r="G45" s="965">
        <f t="shared" si="39"/>
        <v>7.3978944288841664E-3</v>
      </c>
      <c r="H45" s="964">
        <f>SUM(H42:H44)</f>
        <v>2705.1059999999998</v>
      </c>
      <c r="I45" s="728">
        <f>SUM(I42:I44)</f>
        <v>2341.5049999999997</v>
      </c>
      <c r="J45" s="729">
        <f t="shared" si="29"/>
        <v>1.8948069724386674E-2</v>
      </c>
      <c r="K45" s="964">
        <f t="shared" ref="K45:P45" si="40">SUM(K42:K44)</f>
        <v>2456.42</v>
      </c>
      <c r="L45" s="728">
        <f t="shared" si="40"/>
        <v>2385.8719999999998</v>
      </c>
      <c r="M45" s="728">
        <f t="shared" si="40"/>
        <v>2396.752</v>
      </c>
      <c r="N45" s="1558">
        <f t="shared" ref="N45" si="41">SUM(N42:N44)</f>
        <v>2384.75</v>
      </c>
      <c r="O45" s="2162">
        <f t="shared" si="2"/>
        <v>4.5601775786798743E-3</v>
      </c>
      <c r="P45" s="728">
        <f t="shared" si="40"/>
        <v>2396.752</v>
      </c>
      <c r="Q45" s="1558">
        <f t="shared" ref="Q45:R45" si="42">SUM(Q42:Q44)</f>
        <v>2386.52</v>
      </c>
      <c r="R45" s="728">
        <f t="shared" si="42"/>
        <v>2396.752</v>
      </c>
      <c r="S45" s="1558">
        <f t="shared" ref="S45" si="43">SUM(S42:S44)</f>
        <v>2386.52</v>
      </c>
      <c r="T45" s="2729"/>
      <c r="U45" s="2734"/>
      <c r="V45" s="2694"/>
      <c r="W45" s="3028"/>
      <c r="X45" s="3028"/>
      <c r="Y45" s="3028"/>
      <c r="Z45" s="3028"/>
      <c r="AA45" s="3028"/>
      <c r="AB45" s="3028"/>
      <c r="AC45" s="2694"/>
      <c r="AF45" s="84"/>
      <c r="AG45" s="84"/>
    </row>
    <row r="46" spans="1:33" ht="38.4" hidden="1" customHeight="1">
      <c r="A46" s="2892" t="s">
        <v>1998</v>
      </c>
      <c r="B46" s="3054" t="s">
        <v>2779</v>
      </c>
      <c r="C46" s="3043">
        <v>188711925</v>
      </c>
      <c r="D46" s="1977"/>
      <c r="E46" s="706" t="s">
        <v>412</v>
      </c>
      <c r="F46" s="970"/>
      <c r="G46" s="970"/>
      <c r="H46" s="970"/>
      <c r="I46" s="722"/>
      <c r="J46" s="723"/>
      <c r="K46" s="970"/>
      <c r="L46" s="722"/>
      <c r="M46" s="722"/>
      <c r="N46" s="1557"/>
      <c r="O46" s="2150" t="e">
        <f t="shared" si="2"/>
        <v>#DIV/0!</v>
      </c>
      <c r="P46" s="722"/>
      <c r="Q46" s="1557"/>
      <c r="R46" s="722"/>
      <c r="S46" s="1557"/>
      <c r="T46" s="2729"/>
      <c r="U46" s="2724" t="s">
        <v>4281</v>
      </c>
      <c r="V46" s="2891" t="s">
        <v>1448</v>
      </c>
      <c r="W46" s="2891" t="s">
        <v>1414</v>
      </c>
      <c r="X46" s="2891" t="s">
        <v>324</v>
      </c>
      <c r="Y46" s="2891" t="s">
        <v>324</v>
      </c>
      <c r="Z46" s="2891" t="s">
        <v>433</v>
      </c>
      <c r="AA46" s="2891" t="s">
        <v>433</v>
      </c>
      <c r="AB46" s="2891" t="s">
        <v>433</v>
      </c>
      <c r="AC46" s="2694"/>
      <c r="AF46" s="84"/>
      <c r="AG46" s="84"/>
    </row>
    <row r="47" spans="1:33" ht="69" hidden="1" customHeight="1">
      <c r="A47" s="2892"/>
      <c r="B47" s="3054"/>
      <c r="C47" s="3043"/>
      <c r="D47" s="1977"/>
      <c r="E47" s="725" t="s">
        <v>1067</v>
      </c>
      <c r="F47" s="964">
        <f>F46</f>
        <v>0</v>
      </c>
      <c r="G47" s="964">
        <f t="shared" ref="G47:I47" si="44">G46</f>
        <v>0</v>
      </c>
      <c r="H47" s="964">
        <f t="shared" si="44"/>
        <v>0</v>
      </c>
      <c r="I47" s="728">
        <f t="shared" si="44"/>
        <v>0</v>
      </c>
      <c r="J47" s="729"/>
      <c r="K47" s="964"/>
      <c r="L47" s="728"/>
      <c r="M47" s="728"/>
      <c r="N47" s="1558"/>
      <c r="O47" s="2162" t="e">
        <f t="shared" si="2"/>
        <v>#DIV/0!</v>
      </c>
      <c r="P47" s="728"/>
      <c r="Q47" s="1558"/>
      <c r="R47" s="728"/>
      <c r="S47" s="1558"/>
      <c r="T47" s="2729"/>
      <c r="U47" s="2937"/>
      <c r="V47" s="2891"/>
      <c r="W47" s="2891"/>
      <c r="X47" s="2891"/>
      <c r="Y47" s="2891"/>
      <c r="Z47" s="2891"/>
      <c r="AA47" s="2891"/>
      <c r="AB47" s="2891"/>
      <c r="AC47" s="2694"/>
      <c r="AF47" s="84"/>
      <c r="AG47" s="84"/>
    </row>
    <row r="48" spans="1:33" ht="35.25" customHeight="1">
      <c r="A48" s="2879" t="s">
        <v>1999</v>
      </c>
      <c r="B48" s="2703" t="s">
        <v>1214</v>
      </c>
      <c r="C48" s="2700">
        <v>188711925</v>
      </c>
      <c r="D48" s="2998" t="s">
        <v>3508</v>
      </c>
      <c r="E48" s="706" t="s">
        <v>470</v>
      </c>
      <c r="F48" s="970">
        <v>150.85</v>
      </c>
      <c r="G48" s="973">
        <f t="shared" ref="G48:G49" si="45">I48/F48-1</f>
        <v>4.1962214119986907E-2</v>
      </c>
      <c r="H48" s="970"/>
      <c r="I48" s="722">
        <f>SUM(I50,I51,I52,I53,I54,I55,I56,I57,I58,)</f>
        <v>157.18</v>
      </c>
      <c r="J48" s="723">
        <f t="shared" si="29"/>
        <v>-0.10357551851380586</v>
      </c>
      <c r="K48" s="970">
        <v>156</v>
      </c>
      <c r="L48" s="722">
        <f>SUM(L50,L51,L52,L53,L54,L55,L56,L57,L58,)</f>
        <v>140.9</v>
      </c>
      <c r="M48" s="722">
        <f>SUM(M50,M51,M52,M53,M54,M55,M56,M57,M58,)</f>
        <v>142.4</v>
      </c>
      <c r="N48" s="1557">
        <f>SUM(N50,N51,N52,N53,N54,N55,N56,N57,N58,)</f>
        <v>91.495000000000005</v>
      </c>
      <c r="O48" s="2150">
        <f t="shared" si="2"/>
        <v>1.0645848119233499E-2</v>
      </c>
      <c r="P48" s="722">
        <f>SUM(P50,P51,P52,P53,P54,P55,P56,P57,P58,)</f>
        <v>147.9</v>
      </c>
      <c r="Q48" s="1557">
        <f>SUM(Q50,Q51,Q52,Q53,Q54,Q55,Q56,Q57,Q58,)</f>
        <v>92.194999999999993</v>
      </c>
      <c r="R48" s="722">
        <f>SUM(R50,R51,R52,R53,R54,R55,R56,R57,R58,)</f>
        <v>147.9</v>
      </c>
      <c r="S48" s="1557">
        <f>SUM(S50,S51,S52,S53,S54,S55,S56,S57,S58,)</f>
        <v>92.194999999999993</v>
      </c>
      <c r="T48" s="2729"/>
      <c r="U48" s="2704" t="s">
        <v>4366</v>
      </c>
      <c r="V48" s="2694" t="s">
        <v>1449</v>
      </c>
      <c r="W48" s="2694" t="s">
        <v>3555</v>
      </c>
      <c r="X48" s="2694" t="s">
        <v>308</v>
      </c>
      <c r="Y48" s="2694" t="s">
        <v>585</v>
      </c>
      <c r="Z48" s="2694" t="s">
        <v>585</v>
      </c>
      <c r="AA48" s="2694" t="s">
        <v>585</v>
      </c>
      <c r="AB48" s="3028" t="s">
        <v>585</v>
      </c>
      <c r="AC48" s="2694"/>
      <c r="AF48" s="84"/>
      <c r="AG48" s="84"/>
    </row>
    <row r="49" spans="1:33" ht="76.2" customHeight="1">
      <c r="A49" s="2879"/>
      <c r="B49" s="2703"/>
      <c r="C49" s="2700"/>
      <c r="D49" s="2999"/>
      <c r="E49" s="725" t="s">
        <v>1067</v>
      </c>
      <c r="F49" s="964">
        <f>F48</f>
        <v>150.85</v>
      </c>
      <c r="G49" s="965">
        <f t="shared" si="45"/>
        <v>4.1962214119986907E-2</v>
      </c>
      <c r="H49" s="964"/>
      <c r="I49" s="728">
        <f>I48</f>
        <v>157.18</v>
      </c>
      <c r="J49" s="911">
        <f t="shared" si="29"/>
        <v>-0.10357551851380586</v>
      </c>
      <c r="K49" s="964">
        <f t="shared" ref="K49:P49" si="46">K48</f>
        <v>156</v>
      </c>
      <c r="L49" s="728">
        <f t="shared" si="46"/>
        <v>140.9</v>
      </c>
      <c r="M49" s="728">
        <f t="shared" si="46"/>
        <v>142.4</v>
      </c>
      <c r="N49" s="1558">
        <f t="shared" ref="N49" si="47">N48</f>
        <v>91.495000000000005</v>
      </c>
      <c r="O49" s="2162">
        <f t="shared" si="2"/>
        <v>1.0645848119233499E-2</v>
      </c>
      <c r="P49" s="728">
        <f t="shared" si="46"/>
        <v>147.9</v>
      </c>
      <c r="Q49" s="1558">
        <f t="shared" ref="Q49:R49" si="48">Q48</f>
        <v>92.194999999999993</v>
      </c>
      <c r="R49" s="728">
        <f t="shared" si="48"/>
        <v>147.9</v>
      </c>
      <c r="S49" s="1558">
        <f t="shared" ref="S49" si="49">S48</f>
        <v>92.194999999999993</v>
      </c>
      <c r="T49" s="2729"/>
      <c r="U49" s="2734"/>
      <c r="V49" s="2694"/>
      <c r="W49" s="2694"/>
      <c r="X49" s="2694"/>
      <c r="Y49" s="2694"/>
      <c r="Z49" s="2694"/>
      <c r="AA49" s="2694"/>
      <c r="AB49" s="3028"/>
      <c r="AC49" s="2694"/>
      <c r="AF49" s="84"/>
      <c r="AG49" s="84"/>
    </row>
    <row r="50" spans="1:33" ht="18" hidden="1" customHeight="1">
      <c r="A50" s="913"/>
      <c r="B50" s="665" t="s">
        <v>1103</v>
      </c>
      <c r="C50" s="976"/>
      <c r="D50" s="976"/>
      <c r="E50" s="682"/>
      <c r="F50" s="681"/>
      <c r="G50" s="681"/>
      <c r="H50" s="681">
        <v>22.8</v>
      </c>
      <c r="I50" s="681">
        <v>26</v>
      </c>
      <c r="J50" s="681"/>
      <c r="K50" s="681">
        <v>25</v>
      </c>
      <c r="L50" s="681">
        <v>20.3</v>
      </c>
      <c r="M50" s="681">
        <v>15.1</v>
      </c>
      <c r="N50" s="681">
        <v>20.3</v>
      </c>
      <c r="O50" s="778">
        <f t="shared" si="2"/>
        <v>-0.25615763546798032</v>
      </c>
      <c r="P50" s="681">
        <v>21.3</v>
      </c>
      <c r="Q50" s="681">
        <v>21</v>
      </c>
      <c r="R50" s="681">
        <v>21.3</v>
      </c>
      <c r="S50" s="681">
        <v>21</v>
      </c>
      <c r="T50" s="428"/>
      <c r="U50" s="681"/>
      <c r="V50" s="681"/>
      <c r="W50" s="3029" t="s">
        <v>3240</v>
      </c>
      <c r="X50" s="734"/>
      <c r="Y50" s="975">
        <v>75</v>
      </c>
      <c r="Z50" s="734"/>
      <c r="AA50" s="734"/>
      <c r="AB50" s="946"/>
      <c r="AC50" s="734"/>
      <c r="AF50" s="84"/>
      <c r="AG50" s="84"/>
    </row>
    <row r="51" spans="1:33" ht="21" hidden="1" customHeight="1">
      <c r="A51" s="913"/>
      <c r="B51" s="665" t="s">
        <v>1104</v>
      </c>
      <c r="C51" s="976"/>
      <c r="D51" s="976"/>
      <c r="E51" s="682"/>
      <c r="F51" s="681"/>
      <c r="G51" s="681"/>
      <c r="H51" s="681">
        <v>28.5</v>
      </c>
      <c r="I51" s="681">
        <v>32.450000000000003</v>
      </c>
      <c r="J51" s="681"/>
      <c r="K51" s="681">
        <v>35.695</v>
      </c>
      <c r="L51" s="681">
        <v>26.7</v>
      </c>
      <c r="M51" s="681">
        <v>43</v>
      </c>
      <c r="N51" s="681">
        <v>35.695</v>
      </c>
      <c r="O51" s="778">
        <f t="shared" si="2"/>
        <v>0.61048689138576784</v>
      </c>
      <c r="P51" s="681">
        <v>28.04</v>
      </c>
      <c r="Q51" s="681">
        <v>35.695</v>
      </c>
      <c r="R51" s="681">
        <v>28.04</v>
      </c>
      <c r="S51" s="681">
        <v>35.695</v>
      </c>
      <c r="T51" s="428"/>
      <c r="U51" s="681"/>
      <c r="V51" s="681"/>
      <c r="W51" s="3029"/>
      <c r="X51" s="734"/>
      <c r="Y51" s="975"/>
      <c r="Z51" s="734"/>
      <c r="AA51" s="734"/>
      <c r="AB51" s="946"/>
      <c r="AC51" s="734"/>
      <c r="AF51" s="84"/>
      <c r="AG51" s="84"/>
    </row>
    <row r="52" spans="1:33" ht="17.25" hidden="1" customHeight="1">
      <c r="A52" s="913"/>
      <c r="B52" s="665" t="s">
        <v>1105</v>
      </c>
      <c r="C52" s="976"/>
      <c r="D52" s="976"/>
      <c r="E52" s="682"/>
      <c r="F52" s="681"/>
      <c r="G52" s="681"/>
      <c r="H52" s="681">
        <v>18.260000000000002</v>
      </c>
      <c r="I52" s="681">
        <v>22.5</v>
      </c>
      <c r="J52" s="681"/>
      <c r="K52" s="681">
        <v>15.4</v>
      </c>
      <c r="L52" s="681">
        <v>14.95</v>
      </c>
      <c r="M52" s="681">
        <v>15.5</v>
      </c>
      <c r="N52" s="681">
        <v>15</v>
      </c>
      <c r="O52" s="778">
        <f t="shared" si="2"/>
        <v>3.6789297658862928E-2</v>
      </c>
      <c r="P52" s="681">
        <v>15.7</v>
      </c>
      <c r="Q52" s="681">
        <v>15</v>
      </c>
      <c r="R52" s="681">
        <v>15.7</v>
      </c>
      <c r="S52" s="681">
        <v>15</v>
      </c>
      <c r="T52" s="428"/>
      <c r="U52" s="681" t="s">
        <v>3936</v>
      </c>
      <c r="V52" s="681"/>
      <c r="W52" s="3029"/>
      <c r="X52" s="734"/>
      <c r="Y52" s="975">
        <v>63</v>
      </c>
      <c r="Z52" s="734"/>
      <c r="AA52" s="734"/>
      <c r="AB52" s="946"/>
      <c r="AC52" s="734"/>
      <c r="AF52" s="84"/>
      <c r="AG52" s="84"/>
    </row>
    <row r="53" spans="1:33" ht="14.25" hidden="1" customHeight="1">
      <c r="A53" s="913"/>
      <c r="B53" s="665" t="s">
        <v>1075</v>
      </c>
      <c r="C53" s="976"/>
      <c r="D53" s="976"/>
      <c r="E53" s="682"/>
      <c r="F53" s="681"/>
      <c r="G53" s="681"/>
      <c r="H53" s="681">
        <v>21.4</v>
      </c>
      <c r="I53" s="681">
        <v>18.600000000000001</v>
      </c>
      <c r="J53" s="681"/>
      <c r="K53" s="681">
        <v>18.600000000000001</v>
      </c>
      <c r="L53" s="681">
        <v>19.7</v>
      </c>
      <c r="M53" s="681">
        <v>18.2</v>
      </c>
      <c r="N53" s="681">
        <v>20.5</v>
      </c>
      <c r="O53" s="778">
        <f t="shared" si="2"/>
        <v>-7.6142131979695438E-2</v>
      </c>
      <c r="P53" s="681">
        <v>20.69</v>
      </c>
      <c r="Q53" s="681">
        <v>20.5</v>
      </c>
      <c r="R53" s="681">
        <v>20.69</v>
      </c>
      <c r="S53" s="681">
        <v>20.5</v>
      </c>
      <c r="T53" s="428"/>
      <c r="U53" s="1677">
        <v>55</v>
      </c>
      <c r="V53" s="681"/>
      <c r="W53" s="3029"/>
      <c r="X53" s="734"/>
      <c r="Y53" s="975">
        <v>53</v>
      </c>
      <c r="Z53" s="734"/>
      <c r="AA53" s="734"/>
      <c r="AB53" s="946"/>
      <c r="AC53" s="734"/>
      <c r="AF53" s="84"/>
      <c r="AG53" s="84"/>
    </row>
    <row r="54" spans="1:33" ht="23.25" hidden="1" customHeight="1">
      <c r="A54" s="913"/>
      <c r="B54" s="665" t="s">
        <v>1106</v>
      </c>
      <c r="C54" s="976"/>
      <c r="D54" s="976"/>
      <c r="E54" s="682"/>
      <c r="F54" s="681"/>
      <c r="G54" s="681"/>
      <c r="H54" s="681">
        <v>15</v>
      </c>
      <c r="I54" s="681">
        <v>15.5</v>
      </c>
      <c r="J54" s="681"/>
      <c r="K54" s="681">
        <v>12.4</v>
      </c>
      <c r="L54" s="681">
        <v>8.5</v>
      </c>
      <c r="M54" s="681">
        <v>0</v>
      </c>
      <c r="N54" s="681"/>
      <c r="O54" s="778">
        <f t="shared" si="2"/>
        <v>-1</v>
      </c>
      <c r="P54" s="681">
        <v>8.92</v>
      </c>
      <c r="Q54" s="681"/>
      <c r="R54" s="681">
        <v>8.92</v>
      </c>
      <c r="S54" s="681"/>
      <c r="T54" s="428"/>
      <c r="U54" s="681"/>
      <c r="V54" s="681"/>
      <c r="W54" s="3029"/>
      <c r="X54" s="734"/>
      <c r="Y54" s="975">
        <v>33</v>
      </c>
      <c r="Z54" s="734"/>
      <c r="AA54" s="734"/>
      <c r="AB54" s="946"/>
      <c r="AC54" s="734"/>
      <c r="AF54" s="84"/>
      <c r="AG54" s="84"/>
    </row>
    <row r="55" spans="1:33" ht="18" hidden="1" customHeight="1">
      <c r="A55" s="913"/>
      <c r="B55" s="665" t="s">
        <v>1732</v>
      </c>
      <c r="C55" s="976"/>
      <c r="D55" s="976"/>
      <c r="E55" s="682"/>
      <c r="F55" s="1677">
        <v>700</v>
      </c>
      <c r="G55" s="681"/>
      <c r="H55" s="681"/>
      <c r="I55" s="681">
        <v>0.63</v>
      </c>
      <c r="J55" s="681"/>
      <c r="K55" s="681"/>
      <c r="L55" s="681">
        <v>0.4</v>
      </c>
      <c r="M55" s="681">
        <v>0</v>
      </c>
      <c r="N55" s="681"/>
      <c r="O55" s="778">
        <f t="shared" si="2"/>
        <v>-1</v>
      </c>
      <c r="P55" s="681">
        <v>0.42</v>
      </c>
      <c r="Q55" s="681"/>
      <c r="R55" s="681">
        <v>0.42</v>
      </c>
      <c r="S55" s="681"/>
      <c r="T55" s="428"/>
      <c r="U55" s="681"/>
      <c r="V55" s="681"/>
      <c r="W55" s="3029"/>
      <c r="X55" s="734"/>
      <c r="Y55" s="975"/>
      <c r="Z55" s="734"/>
      <c r="AA55" s="734"/>
      <c r="AB55" s="946"/>
      <c r="AC55" s="734"/>
      <c r="AF55" s="84"/>
      <c r="AG55" s="84"/>
    </row>
    <row r="56" spans="1:33" ht="17.25" hidden="1" customHeight="1">
      <c r="A56" s="913"/>
      <c r="B56" s="665" t="s">
        <v>2552</v>
      </c>
      <c r="C56" s="976"/>
      <c r="D56" s="976"/>
      <c r="E56" s="682"/>
      <c r="F56" s="1677">
        <v>107400</v>
      </c>
      <c r="G56" s="681"/>
      <c r="H56" s="681"/>
      <c r="I56" s="681">
        <v>1.5</v>
      </c>
      <c r="J56" s="681"/>
      <c r="K56" s="681"/>
      <c r="L56" s="681"/>
      <c r="M56" s="681"/>
      <c r="N56" s="681"/>
      <c r="O56" s="778" t="e">
        <f t="shared" si="2"/>
        <v>#DIV/0!</v>
      </c>
      <c r="P56" s="681"/>
      <c r="Q56" s="681"/>
      <c r="R56" s="681"/>
      <c r="S56" s="681"/>
      <c r="T56" s="879"/>
      <c r="U56" s="682"/>
      <c r="V56" s="693"/>
      <c r="W56" s="3029"/>
      <c r="X56" s="692"/>
      <c r="Y56" s="975"/>
      <c r="Z56" s="692"/>
      <c r="AA56" s="692"/>
      <c r="AB56" s="1858"/>
      <c r="AC56" s="683"/>
      <c r="AF56" s="84"/>
      <c r="AG56" s="84"/>
    </row>
    <row r="57" spans="1:33" ht="14.25" hidden="1" customHeight="1">
      <c r="A57" s="913"/>
      <c r="B57" s="665" t="s">
        <v>1733</v>
      </c>
      <c r="C57" s="976"/>
      <c r="D57" s="976"/>
      <c r="E57" s="682"/>
      <c r="F57" s="1677">
        <v>30000</v>
      </c>
      <c r="G57" s="681"/>
      <c r="H57" s="681"/>
      <c r="I57" s="681">
        <v>31.06</v>
      </c>
      <c r="J57" s="681"/>
      <c r="K57" s="681"/>
      <c r="L57" s="681">
        <v>34.729999999999997</v>
      </c>
      <c r="M57" s="681">
        <v>35</v>
      </c>
      <c r="N57" s="681"/>
      <c r="O57" s="778">
        <f t="shared" si="2"/>
        <v>7.7742585660812887E-3</v>
      </c>
      <c r="P57" s="681">
        <v>36.43</v>
      </c>
      <c r="Q57" s="681"/>
      <c r="R57" s="681">
        <v>36.43</v>
      </c>
      <c r="S57" s="681"/>
      <c r="T57" s="428"/>
      <c r="U57" s="681"/>
      <c r="V57" s="693"/>
      <c r="W57" s="3029"/>
      <c r="X57" s="692"/>
      <c r="Y57" s="975"/>
      <c r="Z57" s="692"/>
      <c r="AA57" s="692"/>
      <c r="AB57" s="1858"/>
      <c r="AC57" s="683"/>
      <c r="AF57" s="84"/>
      <c r="AG57" s="84"/>
    </row>
    <row r="58" spans="1:33" ht="17.25" hidden="1" customHeight="1">
      <c r="A58" s="913"/>
      <c r="B58" s="665" t="s">
        <v>1734</v>
      </c>
      <c r="C58" s="976"/>
      <c r="D58" s="976"/>
      <c r="E58" s="682"/>
      <c r="F58" s="1677">
        <v>12750</v>
      </c>
      <c r="G58" s="681"/>
      <c r="H58" s="681"/>
      <c r="I58" s="681">
        <v>8.94</v>
      </c>
      <c r="J58" s="681"/>
      <c r="K58" s="681"/>
      <c r="L58" s="681">
        <v>15.62</v>
      </c>
      <c r="M58" s="681">
        <v>15.6</v>
      </c>
      <c r="N58" s="681"/>
      <c r="O58" s="778">
        <f t="shared" si="2"/>
        <v>-1.2804097311139293E-3</v>
      </c>
      <c r="P58" s="681">
        <v>16.399999999999999</v>
      </c>
      <c r="Q58" s="681"/>
      <c r="R58" s="681">
        <v>16.399999999999999</v>
      </c>
      <c r="S58" s="681"/>
      <c r="T58" s="428"/>
      <c r="U58" s="681"/>
      <c r="V58" s="693"/>
      <c r="W58" s="3029"/>
      <c r="X58" s="692"/>
      <c r="Y58" s="975"/>
      <c r="Z58" s="692"/>
      <c r="AA58" s="692"/>
      <c r="AB58" s="1858"/>
      <c r="AC58" s="683"/>
      <c r="AF58" s="84"/>
      <c r="AG58" s="84"/>
    </row>
    <row r="59" spans="1:33" ht="33.75" customHeight="1">
      <c r="A59" s="2879" t="s">
        <v>2000</v>
      </c>
      <c r="B59" s="2703" t="s">
        <v>4367</v>
      </c>
      <c r="C59" s="2700">
        <v>300079075</v>
      </c>
      <c r="D59" s="1977"/>
      <c r="E59" s="706" t="s">
        <v>1410</v>
      </c>
      <c r="F59" s="970">
        <v>555.20000000000005</v>
      </c>
      <c r="G59" s="973">
        <f t="shared" ref="G59:G60" si="50">I59/F59-1</f>
        <v>2.6296829971181435E-2</v>
      </c>
      <c r="H59" s="970">
        <v>583.53800000000001</v>
      </c>
      <c r="I59" s="722">
        <f>497.4+72.4</f>
        <v>569.79999999999995</v>
      </c>
      <c r="J59" s="723">
        <f t="shared" ref="J59:J63" si="51">L59/I59-1</f>
        <v>7.7220077220079286E-3</v>
      </c>
      <c r="K59" s="970">
        <v>554.38800000000003</v>
      </c>
      <c r="L59" s="722">
        <v>574.20000000000005</v>
      </c>
      <c r="M59" s="722">
        <f>455+48</f>
        <v>503</v>
      </c>
      <c r="N59" s="1557">
        <v>574.20000000000005</v>
      </c>
      <c r="O59" s="2150">
        <f t="shared" si="2"/>
        <v>-0.12399860675722751</v>
      </c>
      <c r="P59" s="722">
        <f>455+48</f>
        <v>503</v>
      </c>
      <c r="Q59" s="1557">
        <v>574.20000000000005</v>
      </c>
      <c r="R59" s="722">
        <f>455+48</f>
        <v>503</v>
      </c>
      <c r="S59" s="1557">
        <v>574.20000000000005</v>
      </c>
      <c r="T59" s="2729" t="s">
        <v>2271</v>
      </c>
      <c r="U59" s="2704" t="s">
        <v>1714</v>
      </c>
      <c r="V59" s="2694" t="s">
        <v>1450</v>
      </c>
      <c r="W59" s="3028" t="s">
        <v>1415</v>
      </c>
      <c r="X59" s="3028" t="s">
        <v>9</v>
      </c>
      <c r="Y59" s="3028" t="s">
        <v>3526</v>
      </c>
      <c r="Z59" s="3028" t="s">
        <v>4125</v>
      </c>
      <c r="AA59" s="3028" t="s">
        <v>4125</v>
      </c>
      <c r="AB59" s="3028" t="s">
        <v>4125</v>
      </c>
      <c r="AC59" s="2694" t="s">
        <v>2219</v>
      </c>
      <c r="AF59" s="84"/>
      <c r="AG59" s="84"/>
    </row>
    <row r="60" spans="1:33" ht="43.95" customHeight="1">
      <c r="A60" s="2879"/>
      <c r="B60" s="2703"/>
      <c r="C60" s="2700"/>
      <c r="D60" s="1977"/>
      <c r="E60" s="725" t="s">
        <v>1067</v>
      </c>
      <c r="F60" s="964">
        <f>F59</f>
        <v>555.20000000000005</v>
      </c>
      <c r="G60" s="965">
        <f t="shared" si="50"/>
        <v>2.6296829971181435E-2</v>
      </c>
      <c r="H60" s="964">
        <f t="shared" ref="H60:P60" si="52">H59</f>
        <v>583.53800000000001</v>
      </c>
      <c r="I60" s="728">
        <f t="shared" si="52"/>
        <v>569.79999999999995</v>
      </c>
      <c r="J60" s="729">
        <f t="shared" si="51"/>
        <v>7.7220077220079286E-3</v>
      </c>
      <c r="K60" s="964">
        <f t="shared" si="52"/>
        <v>554.38800000000003</v>
      </c>
      <c r="L60" s="728">
        <f t="shared" si="52"/>
        <v>574.20000000000005</v>
      </c>
      <c r="M60" s="728">
        <f t="shared" si="52"/>
        <v>503</v>
      </c>
      <c r="N60" s="1558">
        <f t="shared" ref="N60" si="53">N59</f>
        <v>574.20000000000005</v>
      </c>
      <c r="O60" s="2162">
        <f t="shared" si="2"/>
        <v>-0.12399860675722751</v>
      </c>
      <c r="P60" s="728">
        <f t="shared" si="52"/>
        <v>503</v>
      </c>
      <c r="Q60" s="1558">
        <f t="shared" ref="Q60:R60" si="54">Q59</f>
        <v>574.20000000000005</v>
      </c>
      <c r="R60" s="728">
        <f t="shared" si="54"/>
        <v>503</v>
      </c>
      <c r="S60" s="1558">
        <f t="shared" ref="S60" si="55">S59</f>
        <v>574.20000000000005</v>
      </c>
      <c r="T60" s="2729"/>
      <c r="U60" s="2734"/>
      <c r="V60" s="2694"/>
      <c r="W60" s="3028"/>
      <c r="X60" s="3028"/>
      <c r="Y60" s="3028"/>
      <c r="Z60" s="3028"/>
      <c r="AA60" s="3028"/>
      <c r="AB60" s="3028"/>
      <c r="AC60" s="2694"/>
      <c r="AF60" s="84"/>
      <c r="AG60" s="84"/>
    </row>
    <row r="61" spans="1:33" ht="37.200000000000003" customHeight="1">
      <c r="A61" s="2879" t="s">
        <v>2001</v>
      </c>
      <c r="B61" s="2703" t="s">
        <v>1215</v>
      </c>
      <c r="C61" s="2700" t="s">
        <v>1071</v>
      </c>
      <c r="D61" s="1977"/>
      <c r="E61" s="706" t="s">
        <v>1410</v>
      </c>
      <c r="F61" s="970">
        <f>SUM(F64:F74)</f>
        <v>354.83</v>
      </c>
      <c r="G61" s="973">
        <f>I61/F61-1</f>
        <v>7.2513598061043405E-2</v>
      </c>
      <c r="H61" s="970">
        <f t="shared" ref="H61" si="56">SUM(H64:H74)</f>
        <v>359.41899999999998</v>
      </c>
      <c r="I61" s="722">
        <f>I64+I65+I66+I67+I68+I69+I70+I72+I73+I74</f>
        <v>380.56</v>
      </c>
      <c r="J61" s="723">
        <f>L61/I61-1</f>
        <v>0.1707483708219466</v>
      </c>
      <c r="K61" s="970">
        <f>SUM(K64,K65,K66,K67,K68,K69,K70,K71,K72,K73,K74,)</f>
        <v>376.34000000000003</v>
      </c>
      <c r="L61" s="974">
        <f>SUM(L64,L65,L66,L67,L68,L69,L70,L72,L73,L74,)</f>
        <v>445.54</v>
      </c>
      <c r="M61" s="974">
        <f>SUM(M64,M65,M66,M67,M68,M69,M70,M71,M72,M73,M74,)</f>
        <v>505.01</v>
      </c>
      <c r="N61" s="1557">
        <f>SUM(N64,N65,N66,N67,N68,N69,N70,N71,N72,N73,N74,)</f>
        <v>479.77</v>
      </c>
      <c r="O61" s="2150">
        <f t="shared" si="2"/>
        <v>0.13347847555775008</v>
      </c>
      <c r="P61" s="974">
        <f t="shared" ref="P61:R61" si="57">SUM(P64,P65,P66,P67,P68,P69,P70,P71,P72,P73,P74,)</f>
        <v>505.01</v>
      </c>
      <c r="Q61" s="1557">
        <f t="shared" si="57"/>
        <v>482.37699999999995</v>
      </c>
      <c r="R61" s="974">
        <f t="shared" si="57"/>
        <v>505.01</v>
      </c>
      <c r="S61" s="1557">
        <f>SUM(S64,S65,S66,S67,S68,S69,S70,S71,S72,S73,S74,)</f>
        <v>510.17</v>
      </c>
      <c r="T61" s="2729" t="s">
        <v>2217</v>
      </c>
      <c r="U61" s="2704" t="s">
        <v>4126</v>
      </c>
      <c r="V61" s="2694" t="s">
        <v>1451</v>
      </c>
      <c r="W61" s="3028" t="s">
        <v>1416</v>
      </c>
      <c r="X61" s="3028" t="s">
        <v>2745</v>
      </c>
      <c r="Y61" s="3028" t="s">
        <v>3527</v>
      </c>
      <c r="Z61" s="3028" t="s">
        <v>4127</v>
      </c>
      <c r="AA61" s="3028" t="s">
        <v>4128</v>
      </c>
      <c r="AB61" s="3028" t="s">
        <v>4129</v>
      </c>
      <c r="AC61" s="2694"/>
      <c r="AF61" s="84"/>
      <c r="AG61" s="84"/>
    </row>
    <row r="62" spans="1:33" ht="33.75" hidden="1" customHeight="1">
      <c r="A62" s="2879"/>
      <c r="B62" s="2703"/>
      <c r="C62" s="2700"/>
      <c r="D62" s="1977"/>
      <c r="E62" s="706" t="s">
        <v>1111</v>
      </c>
      <c r="F62" s="970"/>
      <c r="G62" s="973"/>
      <c r="H62" s="970"/>
      <c r="I62" s="722">
        <f>I71</f>
        <v>0.55200000000000005</v>
      </c>
      <c r="J62" s="723">
        <f t="shared" si="51"/>
        <v>-1</v>
      </c>
      <c r="K62" s="970"/>
      <c r="L62" s="722">
        <f>L71</f>
        <v>0</v>
      </c>
      <c r="M62" s="722">
        <f t="shared" ref="M62:P62" si="58">M71</f>
        <v>0</v>
      </c>
      <c r="N62" s="1557">
        <f t="shared" ref="N62" si="59">N71</f>
        <v>0</v>
      </c>
      <c r="O62" s="2150" t="e">
        <f t="shared" si="2"/>
        <v>#DIV/0!</v>
      </c>
      <c r="P62" s="722">
        <f t="shared" si="58"/>
        <v>0</v>
      </c>
      <c r="Q62" s="1557">
        <f t="shared" ref="Q62" si="60">Q71</f>
        <v>0</v>
      </c>
      <c r="R62" s="722">
        <f t="shared" ref="R62:S62" si="61">R71</f>
        <v>0</v>
      </c>
      <c r="S62" s="1557">
        <f t="shared" si="61"/>
        <v>0</v>
      </c>
      <c r="T62" s="2729"/>
      <c r="U62" s="2704"/>
      <c r="V62" s="2694"/>
      <c r="W62" s="3028"/>
      <c r="X62" s="3028"/>
      <c r="Y62" s="3028"/>
      <c r="Z62" s="3028"/>
      <c r="AA62" s="3028"/>
      <c r="AB62" s="3028"/>
      <c r="AC62" s="2694"/>
      <c r="AF62" s="84"/>
      <c r="AG62" s="84"/>
    </row>
    <row r="63" spans="1:33" ht="100.8" customHeight="1">
      <c r="A63" s="2879"/>
      <c r="B63" s="2703"/>
      <c r="C63" s="2700"/>
      <c r="D63" s="1977"/>
      <c r="E63" s="725" t="s">
        <v>1067</v>
      </c>
      <c r="F63" s="964">
        <f>F61</f>
        <v>354.83</v>
      </c>
      <c r="G63" s="965">
        <f>G61</f>
        <v>7.2513598061043405E-2</v>
      </c>
      <c r="H63" s="964">
        <f t="shared" ref="H63" si="62">H61</f>
        <v>359.41899999999998</v>
      </c>
      <c r="I63" s="728">
        <f>I61+I62</f>
        <v>381.11200000000002</v>
      </c>
      <c r="J63" s="729">
        <f t="shared" si="51"/>
        <v>0.16905266693255516</v>
      </c>
      <c r="K63" s="964">
        <f>K61+K62</f>
        <v>376.34000000000003</v>
      </c>
      <c r="L63" s="728">
        <f t="shared" ref="L63:P63" si="63">L61+L62</f>
        <v>445.54</v>
      </c>
      <c r="M63" s="728">
        <f>M61+M62</f>
        <v>505.01</v>
      </c>
      <c r="N63" s="1558">
        <f>N61+N62</f>
        <v>479.77</v>
      </c>
      <c r="O63" s="2162">
        <f t="shared" si="2"/>
        <v>0.13347847555775008</v>
      </c>
      <c r="P63" s="728">
        <f t="shared" si="63"/>
        <v>505.01</v>
      </c>
      <c r="Q63" s="1558">
        <f t="shared" ref="Q63:R63" si="64">Q61+Q62</f>
        <v>482.37699999999995</v>
      </c>
      <c r="R63" s="728">
        <f t="shared" si="64"/>
        <v>505.01</v>
      </c>
      <c r="S63" s="1558">
        <f t="shared" ref="S63" si="65">S61+S62</f>
        <v>510.17</v>
      </c>
      <c r="T63" s="2729"/>
      <c r="U63" s="2734"/>
      <c r="V63" s="2694"/>
      <c r="W63" s="3028"/>
      <c r="X63" s="3028"/>
      <c r="Y63" s="3028"/>
      <c r="Z63" s="3028"/>
      <c r="AA63" s="3028"/>
      <c r="AB63" s="3028"/>
      <c r="AC63" s="2694"/>
      <c r="AF63" s="84"/>
      <c r="AG63" s="84"/>
    </row>
    <row r="64" spans="1:33" s="88" customFormat="1" ht="20.100000000000001" hidden="1" customHeight="1">
      <c r="A64" s="977"/>
      <c r="B64" s="978" t="s">
        <v>1399</v>
      </c>
      <c r="C64" s="979"/>
      <c r="D64" s="979"/>
      <c r="E64" s="980"/>
      <c r="F64" s="981">
        <v>20</v>
      </c>
      <c r="G64" s="981"/>
      <c r="H64" s="981">
        <v>27.19</v>
      </c>
      <c r="I64" s="982">
        <v>25.86</v>
      </c>
      <c r="J64" s="982"/>
      <c r="K64" s="983">
        <v>32.052</v>
      </c>
      <c r="L64" s="982">
        <v>32</v>
      </c>
      <c r="M64" s="982">
        <v>40</v>
      </c>
      <c r="N64" s="1560">
        <v>34.25</v>
      </c>
      <c r="O64" s="1451">
        <f t="shared" si="2"/>
        <v>0.25</v>
      </c>
      <c r="P64" s="982">
        <v>40</v>
      </c>
      <c r="Q64" s="1560">
        <v>34.25</v>
      </c>
      <c r="R64" s="982">
        <v>40</v>
      </c>
      <c r="S64" s="1560">
        <v>34.25</v>
      </c>
      <c r="T64" s="1370"/>
      <c r="U64" s="984"/>
      <c r="V64" s="982"/>
      <c r="W64" s="3031" t="s">
        <v>3241</v>
      </c>
      <c r="X64" s="982"/>
      <c r="Y64" s="985">
        <v>63</v>
      </c>
      <c r="Z64" s="982"/>
      <c r="AA64" s="982"/>
      <c r="AB64" s="993"/>
      <c r="AC64" s="2694"/>
    </row>
    <row r="65" spans="1:33" s="88" customFormat="1" ht="20.100000000000001" hidden="1" customHeight="1">
      <c r="A65" s="977"/>
      <c r="B65" s="978" t="s">
        <v>1400</v>
      </c>
      <c r="C65" s="979"/>
      <c r="D65" s="979"/>
      <c r="E65" s="980"/>
      <c r="F65" s="981">
        <v>67</v>
      </c>
      <c r="G65" s="981"/>
      <c r="H65" s="981">
        <v>79.613</v>
      </c>
      <c r="I65" s="982">
        <v>66</v>
      </c>
      <c r="J65" s="982"/>
      <c r="K65" s="983">
        <v>63.938000000000002</v>
      </c>
      <c r="L65" s="982">
        <v>76</v>
      </c>
      <c r="M65" s="982">
        <v>71</v>
      </c>
      <c r="N65" s="1560">
        <v>75.599999999999994</v>
      </c>
      <c r="O65" s="1451">
        <f t="shared" si="2"/>
        <v>-6.5789473684210523E-2</v>
      </c>
      <c r="P65" s="982">
        <v>71</v>
      </c>
      <c r="Q65" s="1560">
        <v>68.007000000000005</v>
      </c>
      <c r="R65" s="982">
        <v>71</v>
      </c>
      <c r="S65" s="1560">
        <v>75.599999999999994</v>
      </c>
      <c r="T65" s="1370"/>
      <c r="U65" s="1670">
        <v>152</v>
      </c>
      <c r="V65" s="982"/>
      <c r="W65" s="3031"/>
      <c r="X65" s="982"/>
      <c r="Y65" s="985">
        <v>152</v>
      </c>
      <c r="Z65" s="982"/>
      <c r="AA65" s="982"/>
      <c r="AB65" s="993"/>
      <c r="AC65" s="2694"/>
    </row>
    <row r="66" spans="1:33" s="88" customFormat="1" ht="20.100000000000001" hidden="1" customHeight="1">
      <c r="A66" s="977"/>
      <c r="B66" s="978" t="s">
        <v>1401</v>
      </c>
      <c r="C66" s="979"/>
      <c r="D66" s="979"/>
      <c r="E66" s="980"/>
      <c r="F66" s="981">
        <v>108.83</v>
      </c>
      <c r="G66" s="981"/>
      <c r="H66" s="981">
        <v>86.5</v>
      </c>
      <c r="I66" s="982">
        <v>106</v>
      </c>
      <c r="J66" s="982"/>
      <c r="K66" s="983">
        <v>107.5</v>
      </c>
      <c r="L66" s="982">
        <v>110</v>
      </c>
      <c r="M66" s="982">
        <v>162.01</v>
      </c>
      <c r="N66" s="1560">
        <v>158.22999999999999</v>
      </c>
      <c r="O66" s="1451">
        <f t="shared" si="2"/>
        <v>0.47281818181818175</v>
      </c>
      <c r="P66" s="982">
        <v>162.01</v>
      </c>
      <c r="Q66" s="1560">
        <v>158.22999999999999</v>
      </c>
      <c r="R66" s="982">
        <v>162.01</v>
      </c>
      <c r="S66" s="1560">
        <v>158.22999999999999</v>
      </c>
      <c r="T66" s="1370"/>
      <c r="U66" s="1670">
        <v>245</v>
      </c>
      <c r="V66" s="982"/>
      <c r="W66" s="3031"/>
      <c r="X66" s="982"/>
      <c r="Y66" s="985">
        <v>245</v>
      </c>
      <c r="Z66" s="982"/>
      <c r="AA66" s="982"/>
      <c r="AB66" s="993"/>
      <c r="AC66" s="2694"/>
    </row>
    <row r="67" spans="1:33" s="88" customFormat="1" ht="20.100000000000001" hidden="1" customHeight="1">
      <c r="A67" s="977"/>
      <c r="B67" s="978" t="s">
        <v>1402</v>
      </c>
      <c r="C67" s="979"/>
      <c r="D67" s="979"/>
      <c r="E67" s="980"/>
      <c r="F67" s="981">
        <v>65</v>
      </c>
      <c r="G67" s="981"/>
      <c r="H67" s="981">
        <v>65</v>
      </c>
      <c r="I67" s="982">
        <v>75</v>
      </c>
      <c r="J67" s="982"/>
      <c r="K67" s="983">
        <v>77</v>
      </c>
      <c r="L67" s="982">
        <v>100</v>
      </c>
      <c r="M67" s="982">
        <v>110</v>
      </c>
      <c r="N67" s="1560">
        <v>100</v>
      </c>
      <c r="O67" s="1451">
        <f t="shared" si="2"/>
        <v>0.1</v>
      </c>
      <c r="P67" s="982">
        <v>110</v>
      </c>
      <c r="Q67" s="1560">
        <v>110</v>
      </c>
      <c r="R67" s="982">
        <v>110</v>
      </c>
      <c r="S67" s="1560">
        <v>130</v>
      </c>
      <c r="T67" s="1370"/>
      <c r="U67" s="1670">
        <v>204</v>
      </c>
      <c r="V67" s="982"/>
      <c r="W67" s="3031"/>
      <c r="X67" s="982"/>
      <c r="Y67" s="985">
        <v>190</v>
      </c>
      <c r="Z67" s="982"/>
      <c r="AA67" s="982"/>
      <c r="AB67" s="993"/>
      <c r="AC67" s="2694"/>
    </row>
    <row r="68" spans="1:33" s="88" customFormat="1" ht="20.100000000000001" hidden="1" customHeight="1">
      <c r="A68" s="977"/>
      <c r="B68" s="978" t="s">
        <v>1403</v>
      </c>
      <c r="C68" s="979"/>
      <c r="D68" s="979"/>
      <c r="E68" s="980"/>
      <c r="F68" s="981">
        <v>42</v>
      </c>
      <c r="G68" s="981"/>
      <c r="H68" s="981">
        <v>42</v>
      </c>
      <c r="I68" s="982">
        <v>49</v>
      </c>
      <c r="J68" s="982"/>
      <c r="K68" s="983">
        <v>52</v>
      </c>
      <c r="L68" s="982">
        <v>62</v>
      </c>
      <c r="M68" s="982">
        <v>66</v>
      </c>
      <c r="N68" s="1560">
        <v>65.66</v>
      </c>
      <c r="O68" s="1451">
        <f t="shared" si="2"/>
        <v>6.4516129032258063E-2</v>
      </c>
      <c r="P68" s="982">
        <v>66</v>
      </c>
      <c r="Q68" s="1560">
        <v>65.66</v>
      </c>
      <c r="R68" s="982">
        <v>66</v>
      </c>
      <c r="S68" s="1560">
        <v>65.66</v>
      </c>
      <c r="T68" s="1370"/>
      <c r="U68" s="1670">
        <v>126</v>
      </c>
      <c r="V68" s="982"/>
      <c r="W68" s="3031"/>
      <c r="X68" s="982"/>
      <c r="Y68" s="985">
        <v>132</v>
      </c>
      <c r="Z68" s="982"/>
      <c r="AA68" s="982"/>
      <c r="AB68" s="993"/>
      <c r="AC68" s="2694"/>
    </row>
    <row r="69" spans="1:33" s="88" customFormat="1" ht="20.100000000000001" hidden="1" customHeight="1">
      <c r="A69" s="977"/>
      <c r="B69" s="978" t="s">
        <v>1404</v>
      </c>
      <c r="C69" s="979"/>
      <c r="D69" s="979"/>
      <c r="E69" s="980"/>
      <c r="F69" s="986">
        <v>13</v>
      </c>
      <c r="G69" s="981"/>
      <c r="H69" s="981">
        <v>13</v>
      </c>
      <c r="I69" s="982">
        <v>16</v>
      </c>
      <c r="J69" s="982"/>
      <c r="K69" s="983">
        <v>14</v>
      </c>
      <c r="L69" s="982">
        <v>19</v>
      </c>
      <c r="M69" s="982">
        <v>24</v>
      </c>
      <c r="N69" s="1560">
        <v>12</v>
      </c>
      <c r="O69" s="1451">
        <f t="shared" si="2"/>
        <v>0.26315789473684209</v>
      </c>
      <c r="P69" s="982">
        <v>24</v>
      </c>
      <c r="Q69" s="1560">
        <v>12</v>
      </c>
      <c r="R69" s="982">
        <v>24</v>
      </c>
      <c r="S69" s="1560">
        <v>12</v>
      </c>
      <c r="T69" s="1370"/>
      <c r="U69" s="984"/>
      <c r="V69" s="984"/>
      <c r="W69" s="3031"/>
      <c r="X69" s="982"/>
      <c r="Y69" s="985">
        <v>45</v>
      </c>
      <c r="Z69" s="982">
        <v>53</v>
      </c>
      <c r="AA69" s="982"/>
      <c r="AB69" s="993"/>
      <c r="AC69" s="2694"/>
    </row>
    <row r="70" spans="1:33" s="88" customFormat="1" ht="20.100000000000001" hidden="1" customHeight="1">
      <c r="A70" s="977"/>
      <c r="B70" s="3045" t="s">
        <v>1405</v>
      </c>
      <c r="C70" s="979"/>
      <c r="D70" s="979"/>
      <c r="E70" s="980" t="s">
        <v>1410</v>
      </c>
      <c r="F70" s="981">
        <v>5</v>
      </c>
      <c r="G70" s="981"/>
      <c r="H70" s="981">
        <v>11.5</v>
      </c>
      <c r="I70" s="982">
        <v>6.7</v>
      </c>
      <c r="J70" s="982"/>
      <c r="K70" s="983"/>
      <c r="L70" s="982">
        <v>8</v>
      </c>
      <c r="M70" s="982"/>
      <c r="N70" s="1560"/>
      <c r="O70" s="1451"/>
      <c r="P70" s="982"/>
      <c r="Q70" s="1560"/>
      <c r="R70" s="982"/>
      <c r="S70" s="1560"/>
      <c r="T70" s="1370"/>
      <c r="U70" s="984"/>
      <c r="V70" s="982"/>
      <c r="W70" s="3031"/>
      <c r="X70" s="982"/>
      <c r="Y70" s="985"/>
      <c r="Z70" s="982"/>
      <c r="AA70" s="982"/>
      <c r="AB70" s="993"/>
      <c r="AC70" s="2694"/>
    </row>
    <row r="71" spans="1:33" s="88" customFormat="1" ht="20.100000000000001" hidden="1" customHeight="1">
      <c r="A71" s="977"/>
      <c r="B71" s="3045"/>
      <c r="C71" s="979"/>
      <c r="D71" s="979"/>
      <c r="E71" s="980" t="s">
        <v>1111</v>
      </c>
      <c r="F71" s="981"/>
      <c r="G71" s="981"/>
      <c r="H71" s="981"/>
      <c r="I71" s="982">
        <v>0.55200000000000005</v>
      </c>
      <c r="J71" s="982"/>
      <c r="K71" s="983"/>
      <c r="L71" s="981"/>
      <c r="M71" s="981"/>
      <c r="N71" s="1560"/>
      <c r="O71" s="1451"/>
      <c r="P71" s="981"/>
      <c r="Q71" s="1560"/>
      <c r="R71" s="982"/>
      <c r="S71" s="1560"/>
      <c r="T71" s="1370"/>
      <c r="U71" s="984"/>
      <c r="V71" s="982"/>
      <c r="W71" s="3031"/>
      <c r="X71" s="982"/>
      <c r="Y71" s="985"/>
      <c r="Z71" s="982"/>
      <c r="AA71" s="982"/>
      <c r="AB71" s="993"/>
      <c r="AC71" s="2694"/>
    </row>
    <row r="72" spans="1:33" s="88" customFormat="1" ht="20.100000000000001" hidden="1" customHeight="1">
      <c r="A72" s="977"/>
      <c r="B72" s="978" t="s">
        <v>1406</v>
      </c>
      <c r="C72" s="979"/>
      <c r="D72" s="979"/>
      <c r="E72" s="980"/>
      <c r="F72" s="981">
        <v>11</v>
      </c>
      <c r="G72" s="981"/>
      <c r="H72" s="981">
        <v>10.5</v>
      </c>
      <c r="I72" s="982">
        <v>12</v>
      </c>
      <c r="J72" s="982"/>
      <c r="K72" s="983">
        <v>6.3</v>
      </c>
      <c r="L72" s="982">
        <v>9</v>
      </c>
      <c r="M72" s="982">
        <v>9</v>
      </c>
      <c r="N72" s="1560">
        <v>10</v>
      </c>
      <c r="O72" s="1451">
        <f t="shared" si="2"/>
        <v>0</v>
      </c>
      <c r="P72" s="982">
        <v>9</v>
      </c>
      <c r="Q72" s="1560">
        <v>10</v>
      </c>
      <c r="R72" s="982">
        <v>9</v>
      </c>
      <c r="S72" s="1560">
        <v>10</v>
      </c>
      <c r="T72" s="1370"/>
      <c r="U72" s="1670">
        <v>29</v>
      </c>
      <c r="V72" s="982"/>
      <c r="W72" s="3031"/>
      <c r="X72" s="982"/>
      <c r="Y72" s="985">
        <v>17</v>
      </c>
      <c r="Z72" s="982"/>
      <c r="AA72" s="982"/>
      <c r="AB72" s="993"/>
      <c r="AC72" s="2694"/>
    </row>
    <row r="73" spans="1:33" s="88" customFormat="1" ht="20.100000000000001" hidden="1" customHeight="1">
      <c r="A73" s="977"/>
      <c r="B73" s="978" t="s">
        <v>1407</v>
      </c>
      <c r="C73" s="979"/>
      <c r="D73" s="979"/>
      <c r="E73" s="980"/>
      <c r="F73" s="981">
        <v>11</v>
      </c>
      <c r="G73" s="981"/>
      <c r="H73" s="981">
        <v>11.7</v>
      </c>
      <c r="I73" s="982">
        <v>12</v>
      </c>
      <c r="J73" s="982"/>
      <c r="K73" s="983">
        <v>11.55</v>
      </c>
      <c r="L73" s="982">
        <v>15.54</v>
      </c>
      <c r="M73" s="982">
        <v>13</v>
      </c>
      <c r="N73" s="1560">
        <v>9.6300000000000008</v>
      </c>
      <c r="O73" s="1451">
        <f t="shared" si="2"/>
        <v>-0.16344916344916341</v>
      </c>
      <c r="P73" s="982">
        <v>13</v>
      </c>
      <c r="Q73" s="1560">
        <v>9.6300000000000008</v>
      </c>
      <c r="R73" s="982">
        <v>13</v>
      </c>
      <c r="S73" s="1560">
        <v>9.6300000000000008</v>
      </c>
      <c r="T73" s="1370"/>
      <c r="U73" s="984" t="s">
        <v>3937</v>
      </c>
      <c r="V73" s="982"/>
      <c r="W73" s="3031"/>
      <c r="X73" s="982"/>
      <c r="Y73" s="985">
        <v>40</v>
      </c>
      <c r="Z73" s="982"/>
      <c r="AA73" s="982"/>
      <c r="AB73" s="993"/>
      <c r="AC73" s="2694"/>
    </row>
    <row r="74" spans="1:33" s="88" customFormat="1" ht="29.25" hidden="1" customHeight="1">
      <c r="A74" s="977"/>
      <c r="B74" s="987" t="s">
        <v>1408</v>
      </c>
      <c r="C74" s="979"/>
      <c r="D74" s="979"/>
      <c r="E74" s="980"/>
      <c r="F74" s="981">
        <v>12</v>
      </c>
      <c r="G74" s="981"/>
      <c r="H74" s="981">
        <v>12.416</v>
      </c>
      <c r="I74" s="982">
        <v>12</v>
      </c>
      <c r="J74" s="982"/>
      <c r="K74" s="983">
        <v>12</v>
      </c>
      <c r="L74" s="982">
        <v>14</v>
      </c>
      <c r="M74" s="982">
        <v>10</v>
      </c>
      <c r="N74" s="1560">
        <v>14.4</v>
      </c>
      <c r="O74" s="1451">
        <f t="shared" si="2"/>
        <v>-0.2857142857142857</v>
      </c>
      <c r="P74" s="982">
        <v>10</v>
      </c>
      <c r="Q74" s="1560">
        <v>14.6</v>
      </c>
      <c r="R74" s="982">
        <v>10</v>
      </c>
      <c r="S74" s="1560">
        <v>14.8</v>
      </c>
      <c r="T74" s="1370"/>
      <c r="U74" s="984"/>
      <c r="V74" s="982"/>
      <c r="W74" s="3031"/>
      <c r="X74" s="982"/>
      <c r="Y74" s="985">
        <v>40</v>
      </c>
      <c r="Z74" s="982"/>
      <c r="AA74" s="982"/>
      <c r="AB74" s="993"/>
      <c r="AC74" s="2694"/>
    </row>
    <row r="75" spans="1:33" ht="30.75" customHeight="1">
      <c r="A75" s="2872" t="s">
        <v>2002</v>
      </c>
      <c r="B75" s="2703" t="s">
        <v>1216</v>
      </c>
      <c r="C75" s="2700" t="s">
        <v>1071</v>
      </c>
      <c r="D75" s="1977"/>
      <c r="E75" s="706" t="s">
        <v>1410</v>
      </c>
      <c r="F75" s="970">
        <f>SUM(F78:F88)</f>
        <v>54.879999999999995</v>
      </c>
      <c r="G75" s="973">
        <f>I75/F75-1</f>
        <v>0.1024052478134112</v>
      </c>
      <c r="H75" s="970">
        <f t="shared" ref="H75:I75" si="66">SUM(H78:H88)</f>
        <v>4.5939999999999994</v>
      </c>
      <c r="I75" s="722">
        <f t="shared" si="66"/>
        <v>60.5</v>
      </c>
      <c r="J75" s="723">
        <f t="shared" ref="J75:J77" si="67">L75/I75-1</f>
        <v>0.15702479338842967</v>
      </c>
      <c r="K75" s="970">
        <f>SUM(K78,K79,K80,K81,K82,K83,K84,K85,K86,K87,K88,)</f>
        <v>3.5400000000000009</v>
      </c>
      <c r="L75" s="974">
        <f t="shared" ref="L75" si="68">SUM(L78,L79,L80,L81,L82,L83,L84,L85,L86,L87,L88,)</f>
        <v>70</v>
      </c>
      <c r="M75" s="974">
        <f>SUM(M78:M88)</f>
        <v>79.92</v>
      </c>
      <c r="N75" s="1557">
        <f>SUM(N78,N79,N80,N81,N82,N83,N84,N85,N86,N87,N88,)</f>
        <v>69.739999999999995</v>
      </c>
      <c r="O75" s="2150">
        <f>(M75-L75)/L75</f>
        <v>0.14171428571428574</v>
      </c>
      <c r="P75" s="974">
        <f>SUM(P78:P88)</f>
        <v>79.92</v>
      </c>
      <c r="Q75" s="1557">
        <f>SUM(Q78,Q79,Q80,Q81,Q82,Q83,Q84,Q85,Q86,Q87,Q88,)</f>
        <v>69.75</v>
      </c>
      <c r="R75" s="974">
        <f>SUM(R78:R88)</f>
        <v>79.92</v>
      </c>
      <c r="S75" s="1557">
        <f t="shared" ref="S75" si="69">SUM(S78,S79,S80,S81,S82,S83,S84,S85,S86,S87,S88,)</f>
        <v>69.53</v>
      </c>
      <c r="T75" s="2729" t="s">
        <v>2217</v>
      </c>
      <c r="U75" s="2704" t="s">
        <v>1715</v>
      </c>
      <c r="V75" s="3028" t="s">
        <v>1452</v>
      </c>
      <c r="W75" s="3028" t="s">
        <v>1417</v>
      </c>
      <c r="X75" s="3028" t="s">
        <v>1418</v>
      </c>
      <c r="Y75" s="3028" t="s">
        <v>2437</v>
      </c>
      <c r="Z75" s="3028" t="s">
        <v>1418</v>
      </c>
      <c r="AA75" s="3028" t="s">
        <v>1418</v>
      </c>
      <c r="AB75" s="3028" t="s">
        <v>4130</v>
      </c>
      <c r="AC75" s="2694"/>
      <c r="AF75" s="84"/>
      <c r="AG75" s="84"/>
    </row>
    <row r="76" spans="1:33" ht="30.75" hidden="1" customHeight="1">
      <c r="A76" s="3058"/>
      <c r="B76" s="3047"/>
      <c r="C76" s="3015"/>
      <c r="D76" s="1979"/>
      <c r="E76" s="706" t="s">
        <v>470</v>
      </c>
      <c r="F76" s="970"/>
      <c r="G76" s="973"/>
      <c r="H76" s="970"/>
      <c r="I76" s="722"/>
      <c r="J76" s="723"/>
      <c r="K76" s="970"/>
      <c r="L76" s="722"/>
      <c r="M76" s="722"/>
      <c r="N76" s="1557"/>
      <c r="O76" s="2150" t="e">
        <f t="shared" si="2"/>
        <v>#DIV/0!</v>
      </c>
      <c r="P76" s="722"/>
      <c r="Q76" s="1557"/>
      <c r="R76" s="722"/>
      <c r="S76" s="1557"/>
      <c r="T76" s="2729"/>
      <c r="U76" s="2734"/>
      <c r="V76" s="3028"/>
      <c r="W76" s="3028"/>
      <c r="X76" s="3028"/>
      <c r="Y76" s="3028"/>
      <c r="Z76" s="3028"/>
      <c r="AA76" s="3028"/>
      <c r="AB76" s="3028"/>
      <c r="AC76" s="2694"/>
      <c r="AF76" s="84"/>
      <c r="AG76" s="84"/>
    </row>
    <row r="77" spans="1:33" ht="27" customHeight="1">
      <c r="A77" s="3058"/>
      <c r="B77" s="3047"/>
      <c r="C77" s="3015"/>
      <c r="D77" s="1979"/>
      <c r="E77" s="725" t="s">
        <v>1067</v>
      </c>
      <c r="F77" s="964">
        <f>F75</f>
        <v>54.879999999999995</v>
      </c>
      <c r="G77" s="965">
        <f t="shared" ref="G77" si="70">I77/F77-1</f>
        <v>0.1024052478134112</v>
      </c>
      <c r="H77" s="964">
        <f t="shared" ref="H77:I77" si="71">H75</f>
        <v>4.5939999999999994</v>
      </c>
      <c r="I77" s="728">
        <f t="shared" si="71"/>
        <v>60.5</v>
      </c>
      <c r="J77" s="729">
        <f t="shared" si="67"/>
        <v>0.15702479338842967</v>
      </c>
      <c r="K77" s="964">
        <f>SUM(K75,K76,)</f>
        <v>3.5400000000000009</v>
      </c>
      <c r="L77" s="988">
        <f t="shared" ref="L77:P77" si="72">SUM(L75,L76,)</f>
        <v>70</v>
      </c>
      <c r="M77" s="988">
        <f t="shared" si="72"/>
        <v>79.92</v>
      </c>
      <c r="N77" s="1558">
        <f t="shared" ref="N77" si="73">SUM(N75,N76,)</f>
        <v>69.739999999999995</v>
      </c>
      <c r="O77" s="2162">
        <f t="shared" si="2"/>
        <v>0.14171428571428574</v>
      </c>
      <c r="P77" s="988">
        <f t="shared" si="72"/>
        <v>79.92</v>
      </c>
      <c r="Q77" s="1558">
        <f t="shared" ref="Q77:R77" si="74">SUM(Q75,Q76,)</f>
        <v>69.75</v>
      </c>
      <c r="R77" s="988">
        <f t="shared" si="74"/>
        <v>79.92</v>
      </c>
      <c r="S77" s="1558">
        <f t="shared" ref="S77" si="75">SUM(S75,S76,)</f>
        <v>69.53</v>
      </c>
      <c r="T77" s="2729"/>
      <c r="U77" s="2734"/>
      <c r="V77" s="3028"/>
      <c r="W77" s="3028"/>
      <c r="X77" s="3028"/>
      <c r="Y77" s="3028"/>
      <c r="Z77" s="3028"/>
      <c r="AA77" s="3028"/>
      <c r="AB77" s="3028"/>
      <c r="AC77" s="2694"/>
      <c r="AF77" s="84"/>
      <c r="AG77" s="84"/>
    </row>
    <row r="78" spans="1:33" s="88" customFormat="1" ht="20.100000000000001" hidden="1" customHeight="1">
      <c r="A78" s="989"/>
      <c r="B78" s="990" t="s">
        <v>1399</v>
      </c>
      <c r="C78" s="991"/>
      <c r="D78" s="991"/>
      <c r="E78" s="992"/>
      <c r="F78" s="983">
        <v>0.39200000000000002</v>
      </c>
      <c r="G78" s="983"/>
      <c r="H78" s="983"/>
      <c r="I78" s="993">
        <v>0.22</v>
      </c>
      <c r="J78" s="993"/>
      <c r="K78" s="983"/>
      <c r="L78" s="993">
        <v>0.28000000000000003</v>
      </c>
      <c r="M78" s="993">
        <v>0.29599999999999999</v>
      </c>
      <c r="N78" s="1560">
        <v>0.28000000000000003</v>
      </c>
      <c r="O78" s="1451">
        <f t="shared" si="2"/>
        <v>5.7142857142856988E-2</v>
      </c>
      <c r="P78" s="993">
        <v>0.29599999999999999</v>
      </c>
      <c r="Q78" s="1560">
        <v>0.28000000000000003</v>
      </c>
      <c r="R78" s="993">
        <v>0.29599999999999999</v>
      </c>
      <c r="S78" s="1560">
        <v>0.28000000000000003</v>
      </c>
      <c r="T78" s="1371"/>
      <c r="U78" s="1676">
        <v>60</v>
      </c>
      <c r="V78" s="993"/>
      <c r="W78" s="3030" t="s">
        <v>3242</v>
      </c>
      <c r="X78" s="993"/>
      <c r="Y78" s="995"/>
      <c r="Z78" s="993"/>
      <c r="AA78" s="993"/>
      <c r="AB78" s="993"/>
      <c r="AC78" s="2694"/>
    </row>
    <row r="79" spans="1:33" s="88" customFormat="1" ht="20.100000000000001" hidden="1" customHeight="1">
      <c r="A79" s="989"/>
      <c r="B79" s="990" t="s">
        <v>1400</v>
      </c>
      <c r="C79" s="991"/>
      <c r="D79" s="991"/>
      <c r="E79" s="992"/>
      <c r="F79" s="983">
        <v>0.88200000000000001</v>
      </c>
      <c r="G79" s="983"/>
      <c r="H79" s="983">
        <v>0.78400000000000003</v>
      </c>
      <c r="I79" s="993">
        <v>0.33</v>
      </c>
      <c r="J79" s="993"/>
      <c r="K79" s="983">
        <v>0.33</v>
      </c>
      <c r="L79" s="993">
        <v>0.7</v>
      </c>
      <c r="M79" s="993">
        <v>0.44400000000000001</v>
      </c>
      <c r="N79" s="1560">
        <v>0.44</v>
      </c>
      <c r="O79" s="1451">
        <f t="shared" si="2"/>
        <v>-0.36571428571428566</v>
      </c>
      <c r="P79" s="993">
        <v>0.44400000000000001</v>
      </c>
      <c r="Q79" s="1560">
        <v>0.44</v>
      </c>
      <c r="R79" s="993">
        <v>0.44400000000000001</v>
      </c>
      <c r="S79" s="1560">
        <v>0.22</v>
      </c>
      <c r="T79" s="1371"/>
      <c r="U79" s="1676">
        <v>4</v>
      </c>
      <c r="V79" s="993"/>
      <c r="W79" s="3030"/>
      <c r="X79" s="993"/>
      <c r="Y79" s="995">
        <v>4</v>
      </c>
      <c r="Z79" s="993"/>
      <c r="AA79" s="993"/>
      <c r="AB79" s="993"/>
      <c r="AC79" s="2694"/>
    </row>
    <row r="80" spans="1:33" s="88" customFormat="1" ht="20.100000000000001" hidden="1" customHeight="1">
      <c r="A80" s="989"/>
      <c r="B80" s="990" t="s">
        <v>1401</v>
      </c>
      <c r="C80" s="991"/>
      <c r="D80" s="991"/>
      <c r="E80" s="992"/>
      <c r="F80" s="983">
        <v>1.47</v>
      </c>
      <c r="G80" s="983"/>
      <c r="H80" s="983">
        <v>1.47</v>
      </c>
      <c r="I80" s="993">
        <v>0.55000000000000004</v>
      </c>
      <c r="J80" s="993"/>
      <c r="K80" s="983">
        <v>1.47</v>
      </c>
      <c r="L80" s="993">
        <v>1.4</v>
      </c>
      <c r="M80" s="993">
        <v>0.88800000000000001</v>
      </c>
      <c r="N80" s="1560">
        <v>1.4</v>
      </c>
      <c r="O80" s="1451">
        <f t="shared" ref="O80:O145" si="76">(M80-L80)/L80</f>
        <v>-0.36571428571428566</v>
      </c>
      <c r="P80" s="993">
        <v>0.88800000000000001</v>
      </c>
      <c r="Q80" s="1560">
        <v>1.4</v>
      </c>
      <c r="R80" s="993">
        <v>0.88800000000000001</v>
      </c>
      <c r="S80" s="1560">
        <v>1.4</v>
      </c>
      <c r="T80" s="1371"/>
      <c r="U80" s="1676">
        <v>10</v>
      </c>
      <c r="V80" s="993"/>
      <c r="W80" s="3030"/>
      <c r="X80" s="993"/>
      <c r="Y80" s="995">
        <v>13</v>
      </c>
      <c r="Z80" s="993"/>
      <c r="AA80" s="993"/>
      <c r="AB80" s="993"/>
      <c r="AC80" s="2694"/>
    </row>
    <row r="81" spans="1:33" s="88" customFormat="1" ht="20.100000000000001" hidden="1" customHeight="1">
      <c r="A81" s="989"/>
      <c r="B81" s="990" t="s">
        <v>1402</v>
      </c>
      <c r="C81" s="991"/>
      <c r="D81" s="991"/>
      <c r="E81" s="992"/>
      <c r="F81" s="983">
        <v>0.68600000000000005</v>
      </c>
      <c r="G81" s="983"/>
      <c r="H81" s="983">
        <v>0.68600000000000005</v>
      </c>
      <c r="I81" s="993">
        <v>0.55000000000000004</v>
      </c>
      <c r="J81" s="993"/>
      <c r="K81" s="983">
        <v>0.33</v>
      </c>
      <c r="L81" s="993">
        <v>0.56000000000000005</v>
      </c>
      <c r="M81" s="993">
        <v>0.44400000000000001</v>
      </c>
      <c r="N81" s="1560">
        <v>0.56000000000000005</v>
      </c>
      <c r="O81" s="1451">
        <f t="shared" si="76"/>
        <v>-0.20714285714285721</v>
      </c>
      <c r="P81" s="993">
        <v>0.44400000000000001</v>
      </c>
      <c r="Q81" s="1560">
        <v>0.56000000000000005</v>
      </c>
      <c r="R81" s="993">
        <v>0.44400000000000001</v>
      </c>
      <c r="S81" s="1560">
        <v>0.56000000000000005</v>
      </c>
      <c r="T81" s="1371"/>
      <c r="U81" s="1676">
        <v>4</v>
      </c>
      <c r="V81" s="993"/>
      <c r="W81" s="3030"/>
      <c r="X81" s="993"/>
      <c r="Y81" s="995">
        <v>3</v>
      </c>
      <c r="Z81" s="993"/>
      <c r="AA81" s="993"/>
      <c r="AB81" s="993"/>
      <c r="AC81" s="2694"/>
    </row>
    <row r="82" spans="1:33" s="88" customFormat="1" ht="20.100000000000001" hidden="1" customHeight="1">
      <c r="A82" s="989"/>
      <c r="B82" s="990" t="s">
        <v>1403</v>
      </c>
      <c r="C82" s="991"/>
      <c r="D82" s="991"/>
      <c r="E82" s="992"/>
      <c r="F82" s="983">
        <v>0.49</v>
      </c>
      <c r="G82" s="983"/>
      <c r="H82" s="983">
        <v>0.49</v>
      </c>
      <c r="I82" s="993">
        <v>0.33</v>
      </c>
      <c r="J82" s="993"/>
      <c r="K82" s="983">
        <v>0.33</v>
      </c>
      <c r="L82" s="993">
        <v>0.42</v>
      </c>
      <c r="M82" s="993">
        <v>0.44400000000000001</v>
      </c>
      <c r="N82" s="1560">
        <v>0.42</v>
      </c>
      <c r="O82" s="1451">
        <f t="shared" si="76"/>
        <v>5.7142857142857197E-2</v>
      </c>
      <c r="P82" s="993">
        <v>0.44400000000000001</v>
      </c>
      <c r="Q82" s="1560">
        <v>0.42</v>
      </c>
      <c r="R82" s="993">
        <v>0.44400000000000001</v>
      </c>
      <c r="S82" s="1560">
        <v>0.42</v>
      </c>
      <c r="T82" s="1371"/>
      <c r="U82" s="1676">
        <v>3</v>
      </c>
      <c r="V82" s="993"/>
      <c r="W82" s="3030"/>
      <c r="X82" s="993"/>
      <c r="Y82" s="995">
        <v>3</v>
      </c>
      <c r="Z82" s="993"/>
      <c r="AA82" s="993"/>
      <c r="AB82" s="993"/>
      <c r="AC82" s="2694"/>
    </row>
    <row r="83" spans="1:33" s="88" customFormat="1" ht="20.100000000000001" hidden="1" customHeight="1">
      <c r="A83" s="989"/>
      <c r="B83" s="990" t="s">
        <v>1404</v>
      </c>
      <c r="C83" s="991"/>
      <c r="D83" s="991"/>
      <c r="E83" s="992"/>
      <c r="F83" s="996">
        <v>0.19600000000000001</v>
      </c>
      <c r="G83" s="983"/>
      <c r="H83" s="996">
        <v>0.19600000000000001</v>
      </c>
      <c r="I83" s="993">
        <v>0.22</v>
      </c>
      <c r="J83" s="993"/>
      <c r="K83" s="983">
        <v>0.2</v>
      </c>
      <c r="L83" s="993">
        <v>0.14000000000000001</v>
      </c>
      <c r="M83" s="993">
        <v>0.29599999999999999</v>
      </c>
      <c r="N83" s="1560">
        <v>0.2</v>
      </c>
      <c r="O83" s="1451">
        <f t="shared" si="76"/>
        <v>1.1142857142857139</v>
      </c>
      <c r="P83" s="993">
        <v>0.29599999999999999</v>
      </c>
      <c r="Q83" s="1560">
        <v>0.2</v>
      </c>
      <c r="R83" s="993">
        <v>0.29599999999999999</v>
      </c>
      <c r="S83" s="1560">
        <v>0.2</v>
      </c>
      <c r="T83" s="1372"/>
      <c r="U83" s="994"/>
      <c r="V83" s="994"/>
      <c r="W83" s="3030"/>
      <c r="X83" s="993"/>
      <c r="Y83" s="995">
        <v>4</v>
      </c>
      <c r="Z83" s="1587">
        <v>1</v>
      </c>
      <c r="AA83" s="993"/>
      <c r="AB83" s="993"/>
      <c r="AC83" s="2694"/>
    </row>
    <row r="84" spans="1:33" s="88" customFormat="1" ht="20.100000000000001" hidden="1" customHeight="1">
      <c r="A84" s="989"/>
      <c r="B84" s="990" t="s">
        <v>1405</v>
      </c>
      <c r="C84" s="991"/>
      <c r="D84" s="991"/>
      <c r="E84" s="992"/>
      <c r="F84" s="983">
        <v>0.19600000000000001</v>
      </c>
      <c r="G84" s="983"/>
      <c r="H84" s="983">
        <v>0.39200000000000002</v>
      </c>
      <c r="I84" s="993">
        <v>0.22</v>
      </c>
      <c r="J84" s="993"/>
      <c r="K84" s="983">
        <v>0.22</v>
      </c>
      <c r="L84" s="993">
        <v>0.14000000000000001</v>
      </c>
      <c r="M84" s="993"/>
      <c r="N84" s="1560"/>
      <c r="O84" s="1451">
        <f t="shared" si="76"/>
        <v>-1</v>
      </c>
      <c r="P84" s="993"/>
      <c r="Q84" s="1560"/>
      <c r="R84" s="993"/>
      <c r="S84" s="1560"/>
      <c r="T84" s="1371"/>
      <c r="U84" s="994"/>
      <c r="V84" s="993"/>
      <c r="W84" s="3030"/>
      <c r="X84" s="993"/>
      <c r="Y84" s="995"/>
      <c r="Z84" s="993"/>
      <c r="AA84" s="993"/>
      <c r="AB84" s="993"/>
      <c r="AC84" s="2694"/>
    </row>
    <row r="85" spans="1:33" s="88" customFormat="1" ht="20.100000000000001" hidden="1" customHeight="1">
      <c r="A85" s="989"/>
      <c r="B85" s="990" t="s">
        <v>1406</v>
      </c>
      <c r="C85" s="991"/>
      <c r="D85" s="991"/>
      <c r="E85" s="992"/>
      <c r="F85" s="983">
        <v>0.19600000000000001</v>
      </c>
      <c r="G85" s="983"/>
      <c r="H85" s="983">
        <v>0.19600000000000001</v>
      </c>
      <c r="I85" s="993">
        <v>0.22</v>
      </c>
      <c r="J85" s="993"/>
      <c r="K85" s="983">
        <v>0.22</v>
      </c>
      <c r="L85" s="993">
        <v>0.28000000000000003</v>
      </c>
      <c r="M85" s="993">
        <v>0.14799999999999999</v>
      </c>
      <c r="N85" s="1560">
        <v>0.28000000000000003</v>
      </c>
      <c r="O85" s="1451">
        <f t="shared" si="76"/>
        <v>-0.47142857142857153</v>
      </c>
      <c r="P85" s="993">
        <v>0.14799999999999999</v>
      </c>
      <c r="Q85" s="1560">
        <v>0.28000000000000003</v>
      </c>
      <c r="R85" s="993">
        <v>0.14799999999999999</v>
      </c>
      <c r="S85" s="1560">
        <v>0.28000000000000003</v>
      </c>
      <c r="T85" s="1371"/>
      <c r="U85" s="1676">
        <v>2</v>
      </c>
      <c r="V85" s="993"/>
      <c r="W85" s="3030"/>
      <c r="X85" s="993"/>
      <c r="Y85" s="995">
        <v>2</v>
      </c>
      <c r="Z85" s="993"/>
      <c r="AA85" s="993"/>
      <c r="AB85" s="993"/>
      <c r="AC85" s="2694"/>
    </row>
    <row r="86" spans="1:33" s="88" customFormat="1" ht="20.100000000000001" hidden="1" customHeight="1">
      <c r="A86" s="989"/>
      <c r="B86" s="990" t="s">
        <v>1407</v>
      </c>
      <c r="C86" s="991"/>
      <c r="D86" s="991"/>
      <c r="E86" s="992"/>
      <c r="F86" s="983">
        <v>0.19600000000000001</v>
      </c>
      <c r="G86" s="983"/>
      <c r="H86" s="983">
        <v>0.184</v>
      </c>
      <c r="I86" s="993">
        <v>0.22</v>
      </c>
      <c r="J86" s="993"/>
      <c r="K86" s="983">
        <v>0.22</v>
      </c>
      <c r="L86" s="993">
        <v>0.14000000000000001</v>
      </c>
      <c r="M86" s="993">
        <v>0.14799999999999999</v>
      </c>
      <c r="N86" s="1560">
        <v>0.22</v>
      </c>
      <c r="O86" s="1451">
        <f t="shared" si="76"/>
        <v>5.7142857142856988E-2</v>
      </c>
      <c r="P86" s="993">
        <v>0.14799999999999999</v>
      </c>
      <c r="Q86" s="1560">
        <v>0.22</v>
      </c>
      <c r="R86" s="993">
        <v>0.14799999999999999</v>
      </c>
      <c r="S86" s="1560">
        <v>0.22</v>
      </c>
      <c r="T86" s="1371"/>
      <c r="U86" s="1670" t="s">
        <v>3938</v>
      </c>
      <c r="V86" s="993"/>
      <c r="W86" s="3030"/>
      <c r="X86" s="993"/>
      <c r="Y86" s="995">
        <v>3</v>
      </c>
      <c r="Z86" s="993"/>
      <c r="AA86" s="993"/>
      <c r="AB86" s="993"/>
      <c r="AC86" s="2694"/>
    </row>
    <row r="87" spans="1:33" s="88" customFormat="1" ht="30.6" hidden="1" customHeight="1">
      <c r="A87" s="989"/>
      <c r="B87" s="997" t="s">
        <v>1408</v>
      </c>
      <c r="C87" s="991"/>
      <c r="D87" s="991"/>
      <c r="E87" s="992"/>
      <c r="F87" s="983">
        <v>0.19600000000000001</v>
      </c>
      <c r="G87" s="983"/>
      <c r="H87" s="983">
        <v>0.19600000000000001</v>
      </c>
      <c r="I87" s="993">
        <v>0.22</v>
      </c>
      <c r="J87" s="993"/>
      <c r="K87" s="983">
        <v>0.22</v>
      </c>
      <c r="L87" s="993">
        <v>0.14000000000000001</v>
      </c>
      <c r="M87" s="993">
        <v>0.14799999999999999</v>
      </c>
      <c r="N87" s="1560">
        <v>0.14000000000000001</v>
      </c>
      <c r="O87" s="1451">
        <f t="shared" si="76"/>
        <v>5.7142857142856988E-2</v>
      </c>
      <c r="P87" s="993">
        <v>0.14799999999999999</v>
      </c>
      <c r="Q87" s="1560">
        <v>0.15</v>
      </c>
      <c r="R87" s="993">
        <v>0.14799999999999999</v>
      </c>
      <c r="S87" s="1560">
        <v>0.15</v>
      </c>
      <c r="T87" s="1371"/>
      <c r="U87" s="994"/>
      <c r="V87" s="993"/>
      <c r="W87" s="3030"/>
      <c r="X87" s="993"/>
      <c r="Y87" s="995">
        <v>2</v>
      </c>
      <c r="Z87" s="993"/>
      <c r="AA87" s="993"/>
      <c r="AB87" s="993"/>
      <c r="AC87" s="2694"/>
    </row>
    <row r="88" spans="1:33" s="88" customFormat="1" ht="20.100000000000001" hidden="1" customHeight="1">
      <c r="A88" s="989"/>
      <c r="B88" s="997" t="s">
        <v>1354</v>
      </c>
      <c r="C88" s="989"/>
      <c r="D88" s="989"/>
      <c r="E88" s="989"/>
      <c r="F88" s="983">
        <v>49.98</v>
      </c>
      <c r="G88" s="983"/>
      <c r="H88" s="983"/>
      <c r="I88" s="993">
        <v>57.42</v>
      </c>
      <c r="J88" s="993"/>
      <c r="K88" s="983"/>
      <c r="L88" s="993">
        <v>65.8</v>
      </c>
      <c r="M88" s="993">
        <v>76.664000000000001</v>
      </c>
      <c r="N88" s="1560">
        <v>65.8</v>
      </c>
      <c r="O88" s="1451">
        <f t="shared" si="76"/>
        <v>0.16510638297872349</v>
      </c>
      <c r="P88" s="993">
        <v>76.664000000000001</v>
      </c>
      <c r="Q88" s="1560">
        <v>65.8</v>
      </c>
      <c r="R88" s="993">
        <v>76.664000000000001</v>
      </c>
      <c r="S88" s="1560">
        <v>65.8</v>
      </c>
      <c r="T88" s="1371"/>
      <c r="U88" s="994"/>
      <c r="V88" s="993"/>
      <c r="W88" s="3030"/>
      <c r="X88" s="993"/>
      <c r="Y88" s="993"/>
      <c r="Z88" s="993"/>
      <c r="AA88" s="993"/>
      <c r="AB88" s="993"/>
      <c r="AC88" s="2694"/>
    </row>
    <row r="89" spans="1:33" ht="26.25" customHeight="1">
      <c r="A89" s="2879" t="s">
        <v>2003</v>
      </c>
      <c r="B89" s="2703" t="s">
        <v>1217</v>
      </c>
      <c r="C89" s="2700" t="s">
        <v>1071</v>
      </c>
      <c r="D89" s="1977"/>
      <c r="E89" s="706" t="s">
        <v>1410</v>
      </c>
      <c r="F89" s="970">
        <f>SUM(F91:F93)</f>
        <v>436.90000000000003</v>
      </c>
      <c r="G89" s="973">
        <f>I89/F89-1</f>
        <v>1.1688487067978941</v>
      </c>
      <c r="H89" s="970">
        <f t="shared" ref="H89:I89" si="77">SUM(H91:H93)</f>
        <v>921.48599999999999</v>
      </c>
      <c r="I89" s="722">
        <f t="shared" si="77"/>
        <v>947.56999999999994</v>
      </c>
      <c r="J89" s="723">
        <f t="shared" ref="J89:J90" si="78">L89/I89-1</f>
        <v>-0.21377840159566053</v>
      </c>
      <c r="K89" s="970">
        <v>1548.36</v>
      </c>
      <c r="L89" s="722">
        <f>L91+L92+L93</f>
        <v>744.99999999999989</v>
      </c>
      <c r="M89" s="722">
        <f>M91+M92+M93</f>
        <v>1098.1299999999999</v>
      </c>
      <c r="N89" s="1557">
        <f>N91+N92+N93</f>
        <v>1194.98</v>
      </c>
      <c r="O89" s="2150">
        <f t="shared" si="76"/>
        <v>0.47400000000000009</v>
      </c>
      <c r="P89" s="722">
        <f t="shared" ref="P89:S89" si="79">P91+P92+P93</f>
        <v>1098.1299999999999</v>
      </c>
      <c r="Q89" s="1557">
        <f t="shared" si="79"/>
        <v>1255.0160000000001</v>
      </c>
      <c r="R89" s="722">
        <f t="shared" si="79"/>
        <v>1098.1299999999999</v>
      </c>
      <c r="S89" s="1557">
        <f t="shared" si="79"/>
        <v>1255.9159999999999</v>
      </c>
      <c r="T89" s="2729" t="s">
        <v>2271</v>
      </c>
      <c r="U89" s="2704" t="s">
        <v>4282</v>
      </c>
      <c r="V89" s="3028" t="s">
        <v>1453</v>
      </c>
      <c r="W89" s="3028" t="s">
        <v>1419</v>
      </c>
      <c r="X89" s="3028" t="s">
        <v>1716</v>
      </c>
      <c r="Y89" s="3028" t="s">
        <v>3119</v>
      </c>
      <c r="Z89" s="3028" t="s">
        <v>4131</v>
      </c>
      <c r="AA89" s="3028" t="s">
        <v>1716</v>
      </c>
      <c r="AB89" s="3028" t="s">
        <v>4132</v>
      </c>
      <c r="AC89" s="2694"/>
      <c r="AF89" s="84"/>
      <c r="AG89" s="84"/>
    </row>
    <row r="90" spans="1:33" ht="27.75" customHeight="1">
      <c r="A90" s="2879"/>
      <c r="B90" s="2703"/>
      <c r="C90" s="2700"/>
      <c r="D90" s="1977"/>
      <c r="E90" s="725" t="s">
        <v>1067</v>
      </c>
      <c r="F90" s="964">
        <f>F89</f>
        <v>436.90000000000003</v>
      </c>
      <c r="G90" s="965">
        <f t="shared" ref="G90:P90" si="80">G89</f>
        <v>1.1688487067978941</v>
      </c>
      <c r="H90" s="964">
        <f t="shared" si="80"/>
        <v>921.48599999999999</v>
      </c>
      <c r="I90" s="728">
        <f t="shared" si="80"/>
        <v>947.56999999999994</v>
      </c>
      <c r="J90" s="729">
        <f t="shared" si="78"/>
        <v>-0.21377840159566053</v>
      </c>
      <c r="K90" s="964">
        <f t="shared" si="80"/>
        <v>1548.36</v>
      </c>
      <c r="L90" s="728">
        <f t="shared" si="80"/>
        <v>744.99999999999989</v>
      </c>
      <c r="M90" s="728">
        <f t="shared" si="80"/>
        <v>1098.1299999999999</v>
      </c>
      <c r="N90" s="1558">
        <f t="shared" ref="N90" si="81">N89</f>
        <v>1194.98</v>
      </c>
      <c r="O90" s="2162">
        <f t="shared" si="76"/>
        <v>0.47400000000000009</v>
      </c>
      <c r="P90" s="728">
        <f t="shared" si="80"/>
        <v>1098.1299999999999</v>
      </c>
      <c r="Q90" s="1558">
        <f t="shared" ref="Q90:R90" si="82">Q89</f>
        <v>1255.0160000000001</v>
      </c>
      <c r="R90" s="728">
        <f t="shared" si="82"/>
        <v>1098.1299999999999</v>
      </c>
      <c r="S90" s="1558">
        <f t="shared" ref="S90" si="83">S89</f>
        <v>1255.9159999999999</v>
      </c>
      <c r="T90" s="2729"/>
      <c r="U90" s="2734"/>
      <c r="V90" s="3028"/>
      <c r="W90" s="3028"/>
      <c r="X90" s="3028"/>
      <c r="Y90" s="3028"/>
      <c r="Z90" s="3028"/>
      <c r="AA90" s="3028"/>
      <c r="AB90" s="3028"/>
      <c r="AC90" s="2694"/>
      <c r="AF90" s="84"/>
      <c r="AG90" s="84"/>
    </row>
    <row r="91" spans="1:33" ht="20.100000000000001" hidden="1" customHeight="1">
      <c r="A91" s="913"/>
      <c r="B91" s="665" t="s">
        <v>339</v>
      </c>
      <c r="C91" s="976"/>
      <c r="D91" s="976"/>
      <c r="E91" s="700"/>
      <c r="F91" s="734">
        <v>357</v>
      </c>
      <c r="G91" s="734"/>
      <c r="H91" s="734">
        <v>815.83600000000001</v>
      </c>
      <c r="I91" s="681">
        <v>763</v>
      </c>
      <c r="J91" s="681"/>
      <c r="K91" s="966"/>
      <c r="L91" s="681">
        <v>579.4</v>
      </c>
      <c r="M91" s="681">
        <v>813.5</v>
      </c>
      <c r="N91" s="1559">
        <v>950.52</v>
      </c>
      <c r="O91" s="2146">
        <f t="shared" si="76"/>
        <v>0.40403866068346572</v>
      </c>
      <c r="P91" s="681">
        <v>813.5</v>
      </c>
      <c r="Q91" s="1559">
        <v>994.09</v>
      </c>
      <c r="R91" s="681">
        <v>813.5</v>
      </c>
      <c r="S91" s="1559">
        <v>994.99</v>
      </c>
      <c r="T91" s="499"/>
      <c r="U91" s="681"/>
      <c r="V91" s="693"/>
      <c r="W91" s="693"/>
      <c r="X91" s="693" t="s">
        <v>142</v>
      </c>
      <c r="Y91" s="693" t="s">
        <v>142</v>
      </c>
      <c r="Z91" s="693" t="s">
        <v>142</v>
      </c>
      <c r="AA91" s="693"/>
      <c r="AB91" s="1858"/>
      <c r="AC91" s="672"/>
      <c r="AF91" s="84"/>
      <c r="AG91" s="84"/>
    </row>
    <row r="92" spans="1:33" ht="20.100000000000001" hidden="1" customHeight="1">
      <c r="A92" s="913"/>
      <c r="B92" s="665" t="s">
        <v>1409</v>
      </c>
      <c r="C92" s="976"/>
      <c r="D92" s="976"/>
      <c r="E92" s="700"/>
      <c r="F92" s="734">
        <v>40.6</v>
      </c>
      <c r="G92" s="734"/>
      <c r="H92" s="734"/>
      <c r="I92" s="681">
        <v>78.92</v>
      </c>
      <c r="J92" s="681"/>
      <c r="K92" s="966"/>
      <c r="L92" s="681">
        <v>85.8</v>
      </c>
      <c r="M92" s="681">
        <v>154.30000000000001</v>
      </c>
      <c r="N92" s="1559">
        <v>164.66</v>
      </c>
      <c r="O92" s="2146">
        <f t="shared" si="76"/>
        <v>0.79836829836829859</v>
      </c>
      <c r="P92" s="681">
        <v>154.30000000000001</v>
      </c>
      <c r="Q92" s="1559">
        <v>181.126</v>
      </c>
      <c r="R92" s="681">
        <v>154.30000000000001</v>
      </c>
      <c r="S92" s="1559">
        <v>181.126</v>
      </c>
      <c r="T92" s="499"/>
      <c r="U92" s="681"/>
      <c r="V92" s="693"/>
      <c r="W92" s="693"/>
      <c r="X92" s="693"/>
      <c r="Y92" s="693"/>
      <c r="Z92" s="693"/>
      <c r="AA92" s="693"/>
      <c r="AB92" s="1858"/>
      <c r="AC92" s="672"/>
      <c r="AF92" s="84"/>
      <c r="AG92" s="84"/>
    </row>
    <row r="93" spans="1:33" ht="20.100000000000001" hidden="1" customHeight="1">
      <c r="A93" s="913"/>
      <c r="B93" s="665" t="s">
        <v>3349</v>
      </c>
      <c r="C93" s="976"/>
      <c r="D93" s="976"/>
      <c r="E93" s="700"/>
      <c r="F93" s="734">
        <v>39.299999999999997</v>
      </c>
      <c r="G93" s="734"/>
      <c r="H93" s="734">
        <v>105.65</v>
      </c>
      <c r="I93" s="681">
        <v>105.65</v>
      </c>
      <c r="J93" s="681"/>
      <c r="K93" s="966"/>
      <c r="L93" s="681">
        <v>79.8</v>
      </c>
      <c r="M93" s="681">
        <v>130.33000000000001</v>
      </c>
      <c r="N93" s="1559">
        <v>79.8</v>
      </c>
      <c r="O93" s="2146">
        <f t="shared" si="76"/>
        <v>0.63320802005012555</v>
      </c>
      <c r="P93" s="681">
        <v>130.33000000000001</v>
      </c>
      <c r="Q93" s="1559">
        <v>79.8</v>
      </c>
      <c r="R93" s="681">
        <v>130.33000000000001</v>
      </c>
      <c r="S93" s="1559">
        <v>79.8</v>
      </c>
      <c r="T93" s="499"/>
      <c r="U93" s="681"/>
      <c r="V93" s="693"/>
      <c r="W93" s="693"/>
      <c r="X93" s="693"/>
      <c r="Y93" s="693"/>
      <c r="Z93" s="693"/>
      <c r="AA93" s="693"/>
      <c r="AB93" s="1858"/>
      <c r="AC93" s="672"/>
      <c r="AF93" s="84"/>
      <c r="AG93" s="84"/>
    </row>
    <row r="94" spans="1:33" ht="27" customHeight="1">
      <c r="A94" s="2879" t="s">
        <v>2004</v>
      </c>
      <c r="B94" s="2703" t="s">
        <v>3698</v>
      </c>
      <c r="C94" s="2700">
        <v>188711925</v>
      </c>
      <c r="D94" s="2998" t="s">
        <v>3508</v>
      </c>
      <c r="E94" s="706" t="s">
        <v>470</v>
      </c>
      <c r="F94" s="970">
        <v>28</v>
      </c>
      <c r="G94" s="973">
        <f t="shared" ref="G94:G101" si="84">I94/F94-1</f>
        <v>0.35714285714285721</v>
      </c>
      <c r="H94" s="970">
        <v>38.9</v>
      </c>
      <c r="I94" s="722">
        <v>38</v>
      </c>
      <c r="J94" s="723">
        <f t="shared" ref="J94:J111" si="85">L94/I94-1</f>
        <v>-7.8947368421052655E-2</v>
      </c>
      <c r="K94" s="970">
        <v>45</v>
      </c>
      <c r="L94" s="722">
        <v>35</v>
      </c>
      <c r="M94" s="722">
        <v>48.52</v>
      </c>
      <c r="N94" s="1557">
        <v>48.52</v>
      </c>
      <c r="O94" s="2150">
        <f t="shared" si="76"/>
        <v>0.3862857142857144</v>
      </c>
      <c r="P94" s="722">
        <v>65.52</v>
      </c>
      <c r="Q94" s="1557">
        <v>65.52</v>
      </c>
      <c r="R94" s="722">
        <v>70</v>
      </c>
      <c r="S94" s="1557">
        <v>70</v>
      </c>
      <c r="T94" s="2729" t="s">
        <v>2271</v>
      </c>
      <c r="U94" s="2704" t="s">
        <v>4283</v>
      </c>
      <c r="V94" s="2694" t="s">
        <v>1454</v>
      </c>
      <c r="W94" s="2694" t="s">
        <v>3350</v>
      </c>
      <c r="X94" s="2694" t="s">
        <v>392</v>
      </c>
      <c r="Y94" s="2694" t="s">
        <v>1315</v>
      </c>
      <c r="Z94" s="3028" t="s">
        <v>1420</v>
      </c>
      <c r="AA94" s="3028" t="s">
        <v>1332</v>
      </c>
      <c r="AB94" s="3028" t="s">
        <v>1332</v>
      </c>
      <c r="AC94" s="2695" t="s">
        <v>2219</v>
      </c>
      <c r="AF94" s="84"/>
      <c r="AG94" s="84"/>
    </row>
    <row r="95" spans="1:33" ht="42" customHeight="1">
      <c r="A95" s="2879"/>
      <c r="B95" s="2703"/>
      <c r="C95" s="2700"/>
      <c r="D95" s="2999"/>
      <c r="E95" s="725" t="s">
        <v>1067</v>
      </c>
      <c r="F95" s="964">
        <f>SUM(F94:F94)</f>
        <v>28</v>
      </c>
      <c r="G95" s="965">
        <f t="shared" si="84"/>
        <v>0.35714285714285721</v>
      </c>
      <c r="H95" s="964">
        <f t="shared" ref="H95:P95" si="86">SUM(H94:H94)</f>
        <v>38.9</v>
      </c>
      <c r="I95" s="728">
        <f t="shared" si="86"/>
        <v>38</v>
      </c>
      <c r="J95" s="729">
        <f t="shared" si="85"/>
        <v>-7.8947368421052655E-2</v>
      </c>
      <c r="K95" s="964">
        <f t="shared" si="86"/>
        <v>45</v>
      </c>
      <c r="L95" s="728">
        <f t="shared" si="86"/>
        <v>35</v>
      </c>
      <c r="M95" s="728">
        <f t="shared" si="86"/>
        <v>48.52</v>
      </c>
      <c r="N95" s="1558">
        <f t="shared" ref="N95" si="87">SUM(N94:N94)</f>
        <v>48.52</v>
      </c>
      <c r="O95" s="2162">
        <f t="shared" si="76"/>
        <v>0.3862857142857144</v>
      </c>
      <c r="P95" s="728">
        <f t="shared" si="86"/>
        <v>65.52</v>
      </c>
      <c r="Q95" s="1558">
        <f t="shared" ref="Q95:R95" si="88">SUM(Q94:Q94)</f>
        <v>65.52</v>
      </c>
      <c r="R95" s="728">
        <f t="shared" si="88"/>
        <v>70</v>
      </c>
      <c r="S95" s="1558">
        <f t="shared" ref="S95" si="89">SUM(S94:S94)</f>
        <v>70</v>
      </c>
      <c r="T95" s="2729"/>
      <c r="U95" s="2734"/>
      <c r="V95" s="2694"/>
      <c r="W95" s="2694"/>
      <c r="X95" s="2694"/>
      <c r="Y95" s="2694"/>
      <c r="Z95" s="3028"/>
      <c r="AA95" s="3028"/>
      <c r="AB95" s="3028"/>
      <c r="AC95" s="2695"/>
      <c r="AF95" s="84"/>
      <c r="AG95" s="84"/>
    </row>
    <row r="96" spans="1:33" ht="63.6" customHeight="1">
      <c r="A96" s="3044" t="s">
        <v>2005</v>
      </c>
      <c r="B96" s="3044" t="s">
        <v>2777</v>
      </c>
      <c r="C96" s="3032"/>
      <c r="D96" s="3001"/>
      <c r="E96" s="3032"/>
      <c r="F96" s="690">
        <f>SUM(F100,F102,F105,F108,F111,F116,F119,F121,F123,F129,F134,F140,F142,F147,F149,F151,F155,F159,)</f>
        <v>713.99700000000007</v>
      </c>
      <c r="G96" s="717">
        <f t="shared" si="84"/>
        <v>0.34957149679900601</v>
      </c>
      <c r="H96" s="690">
        <f>SUM(H100,H102,H105,H108,H111,H116,H119,H121,H123,H129,H134,H140,H142,H147,H149,H151,H155,H159,)</f>
        <v>785.47</v>
      </c>
      <c r="I96" s="3003">
        <f>SUM(I100,I102,I105,I108,I111,I116,I119,I121,I123,I129,I134,I140,I142,I147,I149,I151,I155,I159,)</f>
        <v>963.58999999999992</v>
      </c>
      <c r="J96" s="3008">
        <f t="shared" si="85"/>
        <v>1.2716445791259767</v>
      </c>
      <c r="K96" s="3003">
        <f t="shared" ref="K96:S96" si="90">SUM(K100,K102,K105,K108,K111,K116,K119,K121,K123,K129,K134,K140,K142,K147,K149,K151,K155,K159,)</f>
        <v>2088.4829999999997</v>
      </c>
      <c r="L96" s="3003">
        <f t="shared" si="90"/>
        <v>2188.9339999999997</v>
      </c>
      <c r="M96" s="3003">
        <f t="shared" si="90"/>
        <v>3205.3620000000001</v>
      </c>
      <c r="N96" s="3007">
        <f t="shared" si="90"/>
        <v>3102.085</v>
      </c>
      <c r="O96" s="3005">
        <f>(M96-L96)/L96</f>
        <v>0.46434839972333586</v>
      </c>
      <c r="P96" s="3003">
        <f t="shared" si="90"/>
        <v>2044.8369999999998</v>
      </c>
      <c r="Q96" s="3007">
        <f t="shared" si="90"/>
        <v>1924.92</v>
      </c>
      <c r="R96" s="3003">
        <f t="shared" si="90"/>
        <v>1415.7169999999999</v>
      </c>
      <c r="S96" s="3007">
        <f t="shared" si="90"/>
        <v>1394.5320000000002</v>
      </c>
      <c r="T96" s="3046" t="s">
        <v>938</v>
      </c>
      <c r="U96" s="3012"/>
      <c r="V96" s="3033" t="s">
        <v>2851</v>
      </c>
      <c r="W96" s="998" t="s">
        <v>1729</v>
      </c>
      <c r="X96" s="998">
        <v>26</v>
      </c>
      <c r="Y96" s="998">
        <v>26</v>
      </c>
      <c r="Z96" s="998">
        <v>28</v>
      </c>
      <c r="AA96" s="663">
        <v>28</v>
      </c>
      <c r="AB96" s="663">
        <v>29</v>
      </c>
      <c r="AC96" s="2695" t="s">
        <v>1729</v>
      </c>
      <c r="AF96" s="84"/>
      <c r="AG96" s="84"/>
    </row>
    <row r="97" spans="1:33" ht="51" customHeight="1">
      <c r="A97" s="3044"/>
      <c r="B97" s="3044"/>
      <c r="C97" s="3032"/>
      <c r="D97" s="3002"/>
      <c r="E97" s="3032"/>
      <c r="F97" s="690"/>
      <c r="G97" s="717"/>
      <c r="H97" s="690"/>
      <c r="I97" s="3003"/>
      <c r="J97" s="3008"/>
      <c r="K97" s="3003"/>
      <c r="L97" s="3003"/>
      <c r="M97" s="3003"/>
      <c r="N97" s="3007"/>
      <c r="O97" s="3006" t="e">
        <f t="shared" si="76"/>
        <v>#DIV/0!</v>
      </c>
      <c r="P97" s="3003"/>
      <c r="Q97" s="3007"/>
      <c r="R97" s="3003"/>
      <c r="S97" s="3007"/>
      <c r="T97" s="3046"/>
      <c r="U97" s="3012"/>
      <c r="V97" s="3033"/>
      <c r="W97" s="998" t="s">
        <v>3550</v>
      </c>
      <c r="X97" s="998">
        <v>90</v>
      </c>
      <c r="Y97" s="998">
        <v>90</v>
      </c>
      <c r="Z97" s="998">
        <v>95</v>
      </c>
      <c r="AA97" s="663">
        <v>96</v>
      </c>
      <c r="AB97" s="1092">
        <v>96</v>
      </c>
      <c r="AC97" s="2695"/>
      <c r="AF97" s="84"/>
      <c r="AG97" s="84"/>
    </row>
    <row r="98" spans="1:33" ht="37.200000000000003" customHeight="1">
      <c r="A98" s="2879" t="s">
        <v>2006</v>
      </c>
      <c r="B98" s="2703" t="s">
        <v>1218</v>
      </c>
      <c r="C98" s="2700">
        <v>188711925</v>
      </c>
      <c r="D98" s="2998" t="s">
        <v>3508</v>
      </c>
      <c r="E98" s="706" t="s">
        <v>470</v>
      </c>
      <c r="F98" s="970">
        <v>42</v>
      </c>
      <c r="G98" s="973">
        <f t="shared" si="84"/>
        <v>-0.2857142857142857</v>
      </c>
      <c r="H98" s="970">
        <v>42.5</v>
      </c>
      <c r="I98" s="722">
        <v>30</v>
      </c>
      <c r="J98" s="723">
        <f t="shared" si="85"/>
        <v>0.66666666666666674</v>
      </c>
      <c r="K98" s="970">
        <v>80</v>
      </c>
      <c r="L98" s="722">
        <v>50</v>
      </c>
      <c r="M98" s="722">
        <v>70</v>
      </c>
      <c r="N98" s="1557">
        <v>70</v>
      </c>
      <c r="O98" s="2150">
        <f t="shared" si="76"/>
        <v>0.4</v>
      </c>
      <c r="P98" s="722">
        <v>80</v>
      </c>
      <c r="Q98" s="1557">
        <v>80</v>
      </c>
      <c r="R98" s="722">
        <v>90</v>
      </c>
      <c r="S98" s="1557">
        <v>90</v>
      </c>
      <c r="T98" s="2729" t="s">
        <v>2272</v>
      </c>
      <c r="U98" s="2704" t="s">
        <v>4284</v>
      </c>
      <c r="V98" s="2694" t="s">
        <v>1455</v>
      </c>
      <c r="W98" s="2694" t="s">
        <v>554</v>
      </c>
      <c r="X98" s="2694" t="s">
        <v>1421</v>
      </c>
      <c r="Y98" s="2694" t="s">
        <v>1306</v>
      </c>
      <c r="Z98" s="2694" t="s">
        <v>142</v>
      </c>
      <c r="AA98" s="2694" t="s">
        <v>1427</v>
      </c>
      <c r="AB98" s="3028" t="s">
        <v>1427</v>
      </c>
      <c r="AC98" s="2694" t="s">
        <v>2212</v>
      </c>
      <c r="AF98" s="84"/>
      <c r="AG98" s="84"/>
    </row>
    <row r="99" spans="1:33" ht="25.2" customHeight="1">
      <c r="A99" s="2879"/>
      <c r="B99" s="2703"/>
      <c r="C99" s="2700"/>
      <c r="D99" s="3000"/>
      <c r="E99" s="706" t="s">
        <v>1111</v>
      </c>
      <c r="F99" s="970">
        <v>29.369</v>
      </c>
      <c r="G99" s="973">
        <f t="shared" si="84"/>
        <v>0.59743266709796039</v>
      </c>
      <c r="H99" s="970">
        <v>57.1</v>
      </c>
      <c r="I99" s="722">
        <v>46.914999999999999</v>
      </c>
      <c r="J99" s="723">
        <f t="shared" si="85"/>
        <v>0.69606735585633595</v>
      </c>
      <c r="K99" s="970">
        <v>120</v>
      </c>
      <c r="L99" s="722">
        <v>79.570999999999998</v>
      </c>
      <c r="M99" s="722">
        <v>132.96899999999999</v>
      </c>
      <c r="N99" s="1557">
        <v>103</v>
      </c>
      <c r="O99" s="2150">
        <f t="shared" si="76"/>
        <v>0.6710736323534956</v>
      </c>
      <c r="P99" s="722">
        <v>132.96899999999999</v>
      </c>
      <c r="Q99" s="1557">
        <v>100</v>
      </c>
      <c r="R99" s="722">
        <v>132.96899999999999</v>
      </c>
      <c r="S99" s="1557">
        <v>110</v>
      </c>
      <c r="T99" s="2729"/>
      <c r="U99" s="2734"/>
      <c r="V99" s="2694"/>
      <c r="W99" s="2694"/>
      <c r="X99" s="2694"/>
      <c r="Y99" s="2694"/>
      <c r="Z99" s="2694"/>
      <c r="AA99" s="2694"/>
      <c r="AB99" s="3028"/>
      <c r="AC99" s="2694"/>
      <c r="AF99" s="84"/>
      <c r="AG99" s="84"/>
    </row>
    <row r="100" spans="1:33" ht="34.5" customHeight="1">
      <c r="A100" s="2879"/>
      <c r="B100" s="2703"/>
      <c r="C100" s="2700"/>
      <c r="D100" s="2999"/>
      <c r="E100" s="725" t="s">
        <v>1067</v>
      </c>
      <c r="F100" s="964">
        <f>SUM(F98:F99)</f>
        <v>71.369</v>
      </c>
      <c r="G100" s="965">
        <f t="shared" si="84"/>
        <v>7.7708809146828317E-2</v>
      </c>
      <c r="H100" s="964">
        <f t="shared" ref="H100:P100" si="91">SUM(H98:H99)</f>
        <v>99.6</v>
      </c>
      <c r="I100" s="728">
        <f t="shared" si="91"/>
        <v>76.914999999999992</v>
      </c>
      <c r="J100" s="729">
        <f t="shared" si="85"/>
        <v>0.68459988298771379</v>
      </c>
      <c r="K100" s="964">
        <f t="shared" si="91"/>
        <v>200</v>
      </c>
      <c r="L100" s="728">
        <f t="shared" si="91"/>
        <v>129.571</v>
      </c>
      <c r="M100" s="728">
        <f t="shared" si="91"/>
        <v>202.96899999999999</v>
      </c>
      <c r="N100" s="1558">
        <f t="shared" ref="N100" si="92">SUM(N98:N99)</f>
        <v>173</v>
      </c>
      <c r="O100" s="2162">
        <f t="shared" si="76"/>
        <v>0.56646934885120892</v>
      </c>
      <c r="P100" s="728">
        <f t="shared" si="91"/>
        <v>212.96899999999999</v>
      </c>
      <c r="Q100" s="1558">
        <f t="shared" ref="Q100:R100" si="93">SUM(Q98:Q99)</f>
        <v>180</v>
      </c>
      <c r="R100" s="728">
        <f t="shared" si="93"/>
        <v>222.96899999999999</v>
      </c>
      <c r="S100" s="1558">
        <f t="shared" ref="S100" si="94">SUM(S98:S99)</f>
        <v>200</v>
      </c>
      <c r="T100" s="2729"/>
      <c r="U100" s="2734"/>
      <c r="V100" s="2694"/>
      <c r="W100" s="2694"/>
      <c r="X100" s="2694"/>
      <c r="Y100" s="2694"/>
      <c r="Z100" s="2694"/>
      <c r="AA100" s="2694"/>
      <c r="AB100" s="3028"/>
      <c r="AC100" s="2694"/>
      <c r="AF100" s="84"/>
      <c r="AG100" s="84"/>
    </row>
    <row r="101" spans="1:33" ht="33" customHeight="1">
      <c r="A101" s="2879" t="s">
        <v>2007</v>
      </c>
      <c r="B101" s="2703" t="s">
        <v>4368</v>
      </c>
      <c r="C101" s="2700">
        <v>188711925</v>
      </c>
      <c r="D101" s="2998" t="s">
        <v>3508</v>
      </c>
      <c r="E101" s="706" t="s">
        <v>470</v>
      </c>
      <c r="F101" s="970">
        <v>60</v>
      </c>
      <c r="G101" s="972">
        <f t="shared" si="84"/>
        <v>-0.13933333333333331</v>
      </c>
      <c r="H101" s="970">
        <v>70</v>
      </c>
      <c r="I101" s="722">
        <v>51.64</v>
      </c>
      <c r="J101" s="723">
        <f t="shared" si="85"/>
        <v>-0.58365608055770724</v>
      </c>
      <c r="K101" s="970">
        <v>12</v>
      </c>
      <c r="L101" s="722">
        <v>21.5</v>
      </c>
      <c r="M101" s="722">
        <v>15</v>
      </c>
      <c r="N101" s="1557">
        <f>N103</f>
        <v>15</v>
      </c>
      <c r="O101" s="2150">
        <f t="shared" si="76"/>
        <v>-0.30232558139534882</v>
      </c>
      <c r="P101" s="722">
        <v>15</v>
      </c>
      <c r="Q101" s="1557">
        <f>Q103</f>
        <v>15</v>
      </c>
      <c r="R101" s="722">
        <v>15</v>
      </c>
      <c r="S101" s="1557">
        <f>S103</f>
        <v>15</v>
      </c>
      <c r="T101" s="2729" t="s">
        <v>3366</v>
      </c>
      <c r="U101" s="2704" t="s">
        <v>4285</v>
      </c>
      <c r="V101" s="2694" t="s">
        <v>1456</v>
      </c>
      <c r="W101" s="2694" t="s">
        <v>4107</v>
      </c>
      <c r="X101" s="2694" t="s">
        <v>324</v>
      </c>
      <c r="Y101" s="2694" t="s">
        <v>432</v>
      </c>
      <c r="Z101" s="2694" t="s">
        <v>585</v>
      </c>
      <c r="AA101" s="2694" t="s">
        <v>585</v>
      </c>
      <c r="AB101" s="3028" t="s">
        <v>585</v>
      </c>
      <c r="AC101" s="2891"/>
      <c r="AD101" s="84">
        <v>49140</v>
      </c>
      <c r="AE101" s="84" t="s">
        <v>2553</v>
      </c>
      <c r="AF101" s="84"/>
      <c r="AG101" s="84"/>
    </row>
    <row r="102" spans="1:33" ht="39.75" customHeight="1">
      <c r="A102" s="2879"/>
      <c r="B102" s="2703"/>
      <c r="C102" s="2700"/>
      <c r="D102" s="3000"/>
      <c r="E102" s="725" t="s">
        <v>1067</v>
      </c>
      <c r="F102" s="964">
        <f>F101</f>
        <v>60</v>
      </c>
      <c r="G102" s="965">
        <f t="shared" ref="G102:P102" si="95">G101</f>
        <v>-0.13933333333333331</v>
      </c>
      <c r="H102" s="964">
        <f t="shared" si="95"/>
        <v>70</v>
      </c>
      <c r="I102" s="728">
        <f t="shared" si="95"/>
        <v>51.64</v>
      </c>
      <c r="J102" s="729">
        <f t="shared" si="85"/>
        <v>-0.58365608055770724</v>
      </c>
      <c r="K102" s="964">
        <f>K101</f>
        <v>12</v>
      </c>
      <c r="L102" s="728">
        <f t="shared" si="95"/>
        <v>21.5</v>
      </c>
      <c r="M102" s="728">
        <f t="shared" si="95"/>
        <v>15</v>
      </c>
      <c r="N102" s="1558">
        <f t="shared" ref="N102" si="96">N101</f>
        <v>15</v>
      </c>
      <c r="O102" s="2162">
        <f t="shared" si="76"/>
        <v>-0.30232558139534882</v>
      </c>
      <c r="P102" s="728">
        <f t="shared" si="95"/>
        <v>15</v>
      </c>
      <c r="Q102" s="1558">
        <f t="shared" ref="Q102:R102" si="97">Q101</f>
        <v>15</v>
      </c>
      <c r="R102" s="728">
        <f t="shared" si="97"/>
        <v>15</v>
      </c>
      <c r="S102" s="1558">
        <f t="shared" ref="S102" si="98">S101</f>
        <v>15</v>
      </c>
      <c r="T102" s="2729"/>
      <c r="U102" s="2734"/>
      <c r="V102" s="2694"/>
      <c r="W102" s="2694"/>
      <c r="X102" s="2694"/>
      <c r="Y102" s="2694"/>
      <c r="Z102" s="2694"/>
      <c r="AA102" s="2694"/>
      <c r="AB102" s="3028"/>
      <c r="AC102" s="2891"/>
      <c r="AD102" s="84">
        <v>2500</v>
      </c>
      <c r="AE102" s="84" t="s">
        <v>2554</v>
      </c>
      <c r="AF102" s="84"/>
      <c r="AG102" s="84"/>
    </row>
    <row r="103" spans="1:33" ht="39.75" hidden="1" customHeight="1">
      <c r="A103" s="913" t="s">
        <v>3837</v>
      </c>
      <c r="B103" s="665" t="s">
        <v>3838</v>
      </c>
      <c r="C103" s="976"/>
      <c r="D103" s="2999"/>
      <c r="E103" s="700"/>
      <c r="F103" s="755"/>
      <c r="G103" s="1180"/>
      <c r="H103" s="755"/>
      <c r="I103" s="737"/>
      <c r="J103" s="733"/>
      <c r="K103" s="755"/>
      <c r="L103" s="737"/>
      <c r="M103" s="737"/>
      <c r="N103" s="1559">
        <v>15</v>
      </c>
      <c r="O103" s="2146" t="e">
        <f t="shared" si="76"/>
        <v>#DIV/0!</v>
      </c>
      <c r="P103" s="737"/>
      <c r="Q103" s="1559">
        <v>15</v>
      </c>
      <c r="R103" s="681"/>
      <c r="S103" s="1559">
        <v>15</v>
      </c>
      <c r="T103" s="170"/>
      <c r="U103" s="657"/>
      <c r="V103" s="656"/>
      <c r="W103" s="656"/>
      <c r="X103" s="656"/>
      <c r="Y103" s="656"/>
      <c r="Z103" s="656"/>
      <c r="AA103" s="656"/>
      <c r="AB103" s="971"/>
      <c r="AC103" s="656"/>
      <c r="AF103" s="84"/>
      <c r="AG103" s="84"/>
    </row>
    <row r="104" spans="1:33" ht="58.2" customHeight="1">
      <c r="A104" s="2879" t="s">
        <v>2008</v>
      </c>
      <c r="B104" s="2703" t="s">
        <v>4162</v>
      </c>
      <c r="C104" s="2700">
        <v>188711925</v>
      </c>
      <c r="D104" s="2998" t="s">
        <v>3508</v>
      </c>
      <c r="E104" s="706" t="s">
        <v>470</v>
      </c>
      <c r="F104" s="970">
        <v>3</v>
      </c>
      <c r="G104" s="973">
        <f>I104/F104-1</f>
        <v>0</v>
      </c>
      <c r="H104" s="970">
        <v>3</v>
      </c>
      <c r="I104" s="722">
        <v>3</v>
      </c>
      <c r="J104" s="723">
        <f t="shared" si="85"/>
        <v>0</v>
      </c>
      <c r="K104" s="970">
        <v>3</v>
      </c>
      <c r="L104" s="722">
        <v>3</v>
      </c>
      <c r="M104" s="722">
        <v>3.2</v>
      </c>
      <c r="N104" s="1557">
        <v>3.2</v>
      </c>
      <c r="O104" s="2150">
        <f t="shared" si="76"/>
        <v>6.6666666666666721E-2</v>
      </c>
      <c r="P104" s="722">
        <v>3.4</v>
      </c>
      <c r="Q104" s="1557">
        <v>3.4</v>
      </c>
      <c r="R104" s="974">
        <v>3.6</v>
      </c>
      <c r="S104" s="1557">
        <v>3.6</v>
      </c>
      <c r="T104" s="2729" t="s">
        <v>2221</v>
      </c>
      <c r="U104" s="2704" t="s">
        <v>4286</v>
      </c>
      <c r="V104" s="2694" t="s">
        <v>1457</v>
      </c>
      <c r="W104" s="2694" t="s">
        <v>1422</v>
      </c>
      <c r="X104" s="2694" t="s">
        <v>1423</v>
      </c>
      <c r="Y104" s="2694" t="s">
        <v>1423</v>
      </c>
      <c r="Z104" s="2694" t="s">
        <v>1423</v>
      </c>
      <c r="AA104" s="2694" t="s">
        <v>1423</v>
      </c>
      <c r="AB104" s="3028" t="s">
        <v>1423</v>
      </c>
      <c r="AC104" s="2694" t="s">
        <v>2222</v>
      </c>
      <c r="AF104" s="84"/>
      <c r="AG104" s="84"/>
    </row>
    <row r="105" spans="1:33" ht="40.200000000000003" customHeight="1">
      <c r="A105" s="3011"/>
      <c r="B105" s="2703"/>
      <c r="C105" s="3015"/>
      <c r="D105" s="2999"/>
      <c r="E105" s="725" t="s">
        <v>1067</v>
      </c>
      <c r="F105" s="964">
        <f>F104</f>
        <v>3</v>
      </c>
      <c r="G105" s="964">
        <f t="shared" ref="G105:P105" si="99">G104</f>
        <v>0</v>
      </c>
      <c r="H105" s="964">
        <f t="shared" si="99"/>
        <v>3</v>
      </c>
      <c r="I105" s="728">
        <f t="shared" si="99"/>
        <v>3</v>
      </c>
      <c r="J105" s="729">
        <f t="shared" si="85"/>
        <v>0</v>
      </c>
      <c r="K105" s="964">
        <f t="shared" si="99"/>
        <v>3</v>
      </c>
      <c r="L105" s="728">
        <f t="shared" si="99"/>
        <v>3</v>
      </c>
      <c r="M105" s="728">
        <f t="shared" si="99"/>
        <v>3.2</v>
      </c>
      <c r="N105" s="1558">
        <f t="shared" ref="N105" si="100">N104</f>
        <v>3.2</v>
      </c>
      <c r="O105" s="2162">
        <f t="shared" si="76"/>
        <v>6.6666666666666721E-2</v>
      </c>
      <c r="P105" s="728">
        <f t="shared" si="99"/>
        <v>3.4</v>
      </c>
      <c r="Q105" s="1558">
        <f t="shared" ref="Q105:R105" si="101">Q104</f>
        <v>3.4</v>
      </c>
      <c r="R105" s="728">
        <f t="shared" si="101"/>
        <v>3.6</v>
      </c>
      <c r="S105" s="1558">
        <f t="shared" ref="S105" si="102">S104</f>
        <v>3.6</v>
      </c>
      <c r="T105" s="2729"/>
      <c r="U105" s="2734"/>
      <c r="V105" s="2694"/>
      <c r="W105" s="2694"/>
      <c r="X105" s="2694"/>
      <c r="Y105" s="2694"/>
      <c r="Z105" s="2694"/>
      <c r="AA105" s="2694"/>
      <c r="AB105" s="3028"/>
      <c r="AC105" s="2694"/>
      <c r="AF105" s="84"/>
      <c r="AG105" s="84"/>
    </row>
    <row r="106" spans="1:33" ht="44.4" customHeight="1">
      <c r="A106" s="2879" t="s">
        <v>2009</v>
      </c>
      <c r="B106" s="2699" t="s">
        <v>1219</v>
      </c>
      <c r="C106" s="2700">
        <v>188711925</v>
      </c>
      <c r="D106" s="2998" t="s">
        <v>3508</v>
      </c>
      <c r="E106" s="706" t="s">
        <v>470</v>
      </c>
      <c r="F106" s="970">
        <v>28</v>
      </c>
      <c r="G106" s="973">
        <f>I106/F106-1</f>
        <v>0.34285714285714297</v>
      </c>
      <c r="H106" s="970">
        <f>34.6+3</f>
        <v>37.6</v>
      </c>
      <c r="I106" s="722">
        <f>34.6+3</f>
        <v>37.6</v>
      </c>
      <c r="J106" s="723">
        <f t="shared" si="85"/>
        <v>1.2606382978723403</v>
      </c>
      <c r="K106" s="970">
        <v>70.2</v>
      </c>
      <c r="L106" s="722">
        <f>82+L109</f>
        <v>85</v>
      </c>
      <c r="M106" s="722">
        <v>98.5</v>
      </c>
      <c r="N106" s="1557">
        <v>93.5</v>
      </c>
      <c r="O106" s="2150">
        <f t="shared" si="76"/>
        <v>0.1588235294117647</v>
      </c>
      <c r="P106" s="974">
        <v>102.85</v>
      </c>
      <c r="Q106" s="1557">
        <v>102.85</v>
      </c>
      <c r="R106" s="974">
        <v>102.85</v>
      </c>
      <c r="S106" s="1557">
        <v>102.85</v>
      </c>
      <c r="T106" s="2729"/>
      <c r="U106" s="2704" t="s">
        <v>4287</v>
      </c>
      <c r="V106" s="2694" t="s">
        <v>1458</v>
      </c>
      <c r="W106" s="2694" t="s">
        <v>1424</v>
      </c>
      <c r="X106" s="2694" t="s">
        <v>1425</v>
      </c>
      <c r="Y106" s="2694" t="s">
        <v>3120</v>
      </c>
      <c r="Z106" s="2694" t="s">
        <v>3121</v>
      </c>
      <c r="AA106" s="2694" t="s">
        <v>3121</v>
      </c>
      <c r="AB106" s="3028" t="s">
        <v>3121</v>
      </c>
      <c r="AC106" s="2694"/>
      <c r="AD106" s="153" t="s">
        <v>2601</v>
      </c>
      <c r="AF106" s="84"/>
      <c r="AG106" s="84"/>
    </row>
    <row r="107" spans="1:33" ht="34.950000000000003" customHeight="1">
      <c r="A107" s="2879"/>
      <c r="B107" s="2699"/>
      <c r="C107" s="2700"/>
      <c r="D107" s="3000"/>
      <c r="E107" s="706" t="s">
        <v>1111</v>
      </c>
      <c r="F107" s="970">
        <v>0.44900000000000001</v>
      </c>
      <c r="G107" s="973">
        <f>I107/F107-1</f>
        <v>4.0868596881959904</v>
      </c>
      <c r="H107" s="970"/>
      <c r="I107" s="722">
        <f>I109</f>
        <v>2.2839999999999998</v>
      </c>
      <c r="J107" s="723">
        <f t="shared" si="85"/>
        <v>-0.80735551663747807</v>
      </c>
      <c r="K107" s="970"/>
      <c r="L107" s="722">
        <v>0.44</v>
      </c>
      <c r="M107" s="722">
        <v>1.353</v>
      </c>
      <c r="N107" s="1557"/>
      <c r="O107" s="2150">
        <f t="shared" si="76"/>
        <v>2.0750000000000002</v>
      </c>
      <c r="P107" s="722">
        <v>1.353</v>
      </c>
      <c r="Q107" s="1557"/>
      <c r="R107" s="722">
        <v>1.353</v>
      </c>
      <c r="S107" s="1557"/>
      <c r="T107" s="2729"/>
      <c r="U107" s="2704"/>
      <c r="V107" s="2694"/>
      <c r="W107" s="2694"/>
      <c r="X107" s="2694"/>
      <c r="Y107" s="2694"/>
      <c r="Z107" s="2694"/>
      <c r="AA107" s="2694"/>
      <c r="AB107" s="3028"/>
      <c r="AC107" s="2694"/>
      <c r="AF107" s="84"/>
      <c r="AG107" s="84"/>
    </row>
    <row r="108" spans="1:33" ht="45.75" customHeight="1">
      <c r="A108" s="3011"/>
      <c r="B108" s="2699"/>
      <c r="C108" s="3015"/>
      <c r="D108" s="2999"/>
      <c r="E108" s="725" t="s">
        <v>1067</v>
      </c>
      <c r="F108" s="964">
        <f>SUM(F106:F107)</f>
        <v>28.449000000000002</v>
      </c>
      <c r="G108" s="965">
        <f>I108/F108-1</f>
        <v>0.40194734437062807</v>
      </c>
      <c r="H108" s="964">
        <f t="shared" ref="H108:P108" si="103">SUM(H106:H107)</f>
        <v>37.6</v>
      </c>
      <c r="I108" s="728">
        <f t="shared" si="103"/>
        <v>39.884</v>
      </c>
      <c r="J108" s="911">
        <f t="shared" si="85"/>
        <v>1.1422124160064184</v>
      </c>
      <c r="K108" s="964">
        <f t="shared" si="103"/>
        <v>70.2</v>
      </c>
      <c r="L108" s="728">
        <f t="shared" si="103"/>
        <v>85.44</v>
      </c>
      <c r="M108" s="728">
        <f t="shared" si="103"/>
        <v>99.852999999999994</v>
      </c>
      <c r="N108" s="1558">
        <f t="shared" ref="N108" si="104">SUM(N106:N107)</f>
        <v>93.5</v>
      </c>
      <c r="O108" s="2162">
        <f t="shared" si="76"/>
        <v>0.16869147940074902</v>
      </c>
      <c r="P108" s="728">
        <f t="shared" si="103"/>
        <v>104.20299999999999</v>
      </c>
      <c r="Q108" s="1558">
        <f t="shared" ref="Q108:R108" si="105">SUM(Q106:Q107)</f>
        <v>102.85</v>
      </c>
      <c r="R108" s="728">
        <f t="shared" si="105"/>
        <v>104.20299999999999</v>
      </c>
      <c r="S108" s="1558">
        <f t="shared" ref="S108" si="106">SUM(S106:S107)</f>
        <v>102.85</v>
      </c>
      <c r="T108" s="2729"/>
      <c r="U108" s="2704"/>
      <c r="V108" s="2694"/>
      <c r="W108" s="2694"/>
      <c r="X108" s="2694"/>
      <c r="Y108" s="2694"/>
      <c r="Z108" s="2694"/>
      <c r="AA108" s="2694"/>
      <c r="AB108" s="3028"/>
      <c r="AC108" s="2694"/>
      <c r="AF108" s="84"/>
      <c r="AG108" s="84"/>
    </row>
    <row r="109" spans="1:33" s="88" customFormat="1" ht="93" customHeight="1">
      <c r="A109" s="999" t="s">
        <v>3351</v>
      </c>
      <c r="B109" s="1000" t="s">
        <v>4205</v>
      </c>
      <c r="C109" s="1001"/>
      <c r="D109" s="1001"/>
      <c r="E109" s="1109" t="s">
        <v>470</v>
      </c>
      <c r="F109" s="1002"/>
      <c r="G109" s="1002"/>
      <c r="H109" s="1002"/>
      <c r="I109" s="1373">
        <f>0.641+1.643</f>
        <v>2.2839999999999998</v>
      </c>
      <c r="J109" s="1003">
        <f t="shared" si="85"/>
        <v>0.31348511383537669</v>
      </c>
      <c r="K109" s="1004"/>
      <c r="L109" s="1005">
        <v>3</v>
      </c>
      <c r="M109" s="1005"/>
      <c r="N109" s="1561"/>
      <c r="O109" s="2147"/>
      <c r="P109" s="1005"/>
      <c r="Q109" s="1561"/>
      <c r="R109" s="1005"/>
      <c r="S109" s="1561">
        <v>2</v>
      </c>
      <c r="T109" s="2729"/>
      <c r="U109" s="2704"/>
      <c r="V109" s="2694"/>
      <c r="W109" s="2694"/>
      <c r="X109" s="2694"/>
      <c r="Y109" s="2694"/>
      <c r="Z109" s="2694"/>
      <c r="AA109" s="2694"/>
      <c r="AB109" s="3028"/>
      <c r="AC109" s="2694"/>
    </row>
    <row r="110" spans="1:33" ht="26.25" customHeight="1">
      <c r="A110" s="2879" t="s">
        <v>2010</v>
      </c>
      <c r="B110" s="2703" t="s">
        <v>1220</v>
      </c>
      <c r="C110" s="2700" t="s">
        <v>1071</v>
      </c>
      <c r="D110" s="2998" t="s">
        <v>3508</v>
      </c>
      <c r="E110" s="706" t="s">
        <v>470</v>
      </c>
      <c r="F110" s="970">
        <v>3.5</v>
      </c>
      <c r="G110" s="973">
        <f>I110/F110-1</f>
        <v>0</v>
      </c>
      <c r="H110" s="970">
        <f>H112+H113</f>
        <v>3.5</v>
      </c>
      <c r="I110" s="722">
        <v>3.5</v>
      </c>
      <c r="J110" s="723">
        <f t="shared" si="85"/>
        <v>0</v>
      </c>
      <c r="K110" s="970">
        <v>3.5</v>
      </c>
      <c r="L110" s="722">
        <f>SUM(L112,L113)</f>
        <v>3.5</v>
      </c>
      <c r="M110" s="722">
        <f>SUM(M112,M113)</f>
        <v>3.5</v>
      </c>
      <c r="N110" s="1557">
        <f>SUM(N112,N113)</f>
        <v>3.5</v>
      </c>
      <c r="O110" s="2150">
        <f t="shared" si="76"/>
        <v>0</v>
      </c>
      <c r="P110" s="722">
        <v>3.8</v>
      </c>
      <c r="Q110" s="1557">
        <f t="shared" ref="Q110:S110" si="107">SUM(Q112,Q113)</f>
        <v>3.8</v>
      </c>
      <c r="R110" s="722">
        <v>4</v>
      </c>
      <c r="S110" s="1557">
        <f t="shared" si="107"/>
        <v>4</v>
      </c>
      <c r="T110" s="2729" t="s">
        <v>2229</v>
      </c>
      <c r="U110" s="2704" t="s">
        <v>4288</v>
      </c>
      <c r="V110" s="2694" t="s">
        <v>1459</v>
      </c>
      <c r="W110" s="2694" t="s">
        <v>2555</v>
      </c>
      <c r="X110" s="2694" t="s">
        <v>2746</v>
      </c>
      <c r="Y110" s="2694" t="s">
        <v>2746</v>
      </c>
      <c r="Z110" s="2694" t="s">
        <v>2746</v>
      </c>
      <c r="AA110" s="2694" t="s">
        <v>2746</v>
      </c>
      <c r="AB110" s="3028" t="s">
        <v>2746</v>
      </c>
      <c r="AC110" s="2694" t="s">
        <v>2223</v>
      </c>
      <c r="AF110" s="84"/>
      <c r="AG110" s="84"/>
    </row>
    <row r="111" spans="1:33" ht="39.6" customHeight="1">
      <c r="A111" s="2879"/>
      <c r="B111" s="2703"/>
      <c r="C111" s="2700"/>
      <c r="D111" s="2999"/>
      <c r="E111" s="725" t="s">
        <v>1067</v>
      </c>
      <c r="F111" s="964">
        <f>F110</f>
        <v>3.5</v>
      </c>
      <c r="G111" s="965">
        <f t="shared" ref="G111:P111" si="108">G110</f>
        <v>0</v>
      </c>
      <c r="H111" s="964">
        <f t="shared" si="108"/>
        <v>3.5</v>
      </c>
      <c r="I111" s="728">
        <f t="shared" si="108"/>
        <v>3.5</v>
      </c>
      <c r="J111" s="729">
        <f t="shared" si="85"/>
        <v>0</v>
      </c>
      <c r="K111" s="964">
        <f t="shared" si="108"/>
        <v>3.5</v>
      </c>
      <c r="L111" s="728">
        <f t="shared" si="108"/>
        <v>3.5</v>
      </c>
      <c r="M111" s="728">
        <f t="shared" si="108"/>
        <v>3.5</v>
      </c>
      <c r="N111" s="1558">
        <f t="shared" ref="N111" si="109">N110</f>
        <v>3.5</v>
      </c>
      <c r="O111" s="2162">
        <f t="shared" si="76"/>
        <v>0</v>
      </c>
      <c r="P111" s="728">
        <f t="shared" si="108"/>
        <v>3.8</v>
      </c>
      <c r="Q111" s="1558">
        <f t="shared" ref="Q111:R111" si="110">Q110</f>
        <v>3.8</v>
      </c>
      <c r="R111" s="728">
        <f t="shared" si="110"/>
        <v>4</v>
      </c>
      <c r="S111" s="1558">
        <f t="shared" ref="S111" si="111">S110</f>
        <v>4</v>
      </c>
      <c r="T111" s="2729"/>
      <c r="U111" s="2734"/>
      <c r="V111" s="2694"/>
      <c r="W111" s="2694"/>
      <c r="X111" s="2694"/>
      <c r="Y111" s="2694"/>
      <c r="Z111" s="2694"/>
      <c r="AA111" s="2694"/>
      <c r="AB111" s="3028"/>
      <c r="AC111" s="2694"/>
      <c r="AF111" s="84"/>
      <c r="AG111" s="84"/>
    </row>
    <row r="112" spans="1:33" ht="27" hidden="1" customHeight="1">
      <c r="A112" s="913"/>
      <c r="B112" s="665" t="s">
        <v>339</v>
      </c>
      <c r="C112" s="976"/>
      <c r="D112" s="976"/>
      <c r="E112" s="700"/>
      <c r="F112" s="734">
        <v>2</v>
      </c>
      <c r="G112" s="734"/>
      <c r="H112" s="734">
        <v>2</v>
      </c>
      <c r="I112" s="681"/>
      <c r="J112" s="681"/>
      <c r="K112" s="966"/>
      <c r="L112" s="681">
        <v>2</v>
      </c>
      <c r="M112" s="681">
        <v>2</v>
      </c>
      <c r="N112" s="1559">
        <v>2</v>
      </c>
      <c r="O112" s="2146">
        <f t="shared" si="76"/>
        <v>0</v>
      </c>
      <c r="P112" s="681">
        <v>2</v>
      </c>
      <c r="Q112" s="1559">
        <v>2.2999999999999998</v>
      </c>
      <c r="R112" s="681">
        <v>2</v>
      </c>
      <c r="S112" s="1559">
        <v>2.5</v>
      </c>
      <c r="T112" s="2729"/>
      <c r="U112" s="3065"/>
      <c r="V112" s="3066"/>
      <c r="W112" s="3066"/>
      <c r="X112" s="3066"/>
      <c r="Y112" s="3066"/>
      <c r="Z112" s="3066"/>
      <c r="AA112" s="3066"/>
      <c r="AB112" s="3067"/>
      <c r="AC112" s="2694"/>
      <c r="AF112" s="84"/>
      <c r="AG112" s="84"/>
    </row>
    <row r="113" spans="1:33" ht="26.4" hidden="1" customHeight="1">
      <c r="A113" s="913"/>
      <c r="B113" s="665" t="s">
        <v>2551</v>
      </c>
      <c r="C113" s="976"/>
      <c r="D113" s="976"/>
      <c r="E113" s="700"/>
      <c r="F113" s="734"/>
      <c r="G113" s="734"/>
      <c r="H113" s="734">
        <v>1.5</v>
      </c>
      <c r="I113" s="681"/>
      <c r="J113" s="681"/>
      <c r="K113" s="966"/>
      <c r="L113" s="681">
        <v>1.5</v>
      </c>
      <c r="M113" s="681">
        <v>1.5</v>
      </c>
      <c r="N113" s="1559">
        <v>1.5</v>
      </c>
      <c r="O113" s="2146">
        <f t="shared" si="76"/>
        <v>0</v>
      </c>
      <c r="P113" s="681">
        <v>1.6</v>
      </c>
      <c r="Q113" s="1559">
        <v>1.5</v>
      </c>
      <c r="R113" s="681">
        <v>1.6</v>
      </c>
      <c r="S113" s="1559">
        <v>1.5</v>
      </c>
      <c r="T113" s="2729"/>
      <c r="U113" s="3068"/>
      <c r="V113" s="3069"/>
      <c r="W113" s="3069"/>
      <c r="X113" s="3069"/>
      <c r="Y113" s="3069"/>
      <c r="Z113" s="3069"/>
      <c r="AA113" s="3069"/>
      <c r="AB113" s="3070"/>
      <c r="AC113" s="2694"/>
      <c r="AF113" s="84"/>
      <c r="AG113" s="84"/>
    </row>
    <row r="114" spans="1:33" ht="29.25" customHeight="1">
      <c r="A114" s="2879" t="s">
        <v>2011</v>
      </c>
      <c r="B114" s="2703" t="s">
        <v>1221</v>
      </c>
      <c r="C114" s="2700">
        <v>300079075</v>
      </c>
      <c r="D114" s="1980" t="s">
        <v>3508</v>
      </c>
      <c r="E114" s="706" t="s">
        <v>470</v>
      </c>
      <c r="F114" s="970">
        <v>0.7</v>
      </c>
      <c r="G114" s="973">
        <f t="shared" ref="G114" si="112">(H114-F114)/F114</f>
        <v>0</v>
      </c>
      <c r="H114" s="970">
        <v>0.7</v>
      </c>
      <c r="I114" s="722">
        <v>0.7</v>
      </c>
      <c r="J114" s="723">
        <f t="shared" ref="J114:J123" si="113">L114/I114-1</f>
        <v>0</v>
      </c>
      <c r="K114" s="970"/>
      <c r="L114" s="722">
        <v>0.7</v>
      </c>
      <c r="M114" s="722">
        <v>0.7</v>
      </c>
      <c r="N114" s="1557">
        <v>0.9</v>
      </c>
      <c r="O114" s="2150">
        <f t="shared" si="76"/>
        <v>0</v>
      </c>
      <c r="P114" s="722">
        <v>0.9</v>
      </c>
      <c r="Q114" s="1557">
        <v>0.9</v>
      </c>
      <c r="R114" s="722">
        <v>0.9</v>
      </c>
      <c r="S114" s="1557">
        <v>0.9</v>
      </c>
      <c r="T114" s="2729"/>
      <c r="U114" s="2704" t="s">
        <v>4289</v>
      </c>
      <c r="V114" s="2694" t="s">
        <v>1460</v>
      </c>
      <c r="W114" s="2694" t="s">
        <v>1426</v>
      </c>
      <c r="X114" s="2694" t="s">
        <v>1725</v>
      </c>
      <c r="Y114" s="2694" t="s">
        <v>142</v>
      </c>
      <c r="Z114" s="2694" t="s">
        <v>142</v>
      </c>
      <c r="AA114" s="2694" t="s">
        <v>142</v>
      </c>
      <c r="AB114" s="3028" t="s">
        <v>142</v>
      </c>
      <c r="AC114" s="2694"/>
      <c r="AF114" s="84"/>
      <c r="AG114" s="84"/>
    </row>
    <row r="115" spans="1:33" ht="29.25" customHeight="1">
      <c r="A115" s="2879"/>
      <c r="B115" s="2703"/>
      <c r="C115" s="2700"/>
      <c r="D115" s="1977"/>
      <c r="E115" s="706" t="s">
        <v>1070</v>
      </c>
      <c r="F115" s="1010">
        <v>1.9</v>
      </c>
      <c r="G115" s="973">
        <f t="shared" ref="G115:G122" si="114">I115/F115-1</f>
        <v>0.45789473684210535</v>
      </c>
      <c r="H115" s="1010">
        <v>2.77</v>
      </c>
      <c r="I115" s="722">
        <v>2.77</v>
      </c>
      <c r="J115" s="723">
        <f t="shared" si="113"/>
        <v>0.26353790613718409</v>
      </c>
      <c r="K115" s="970">
        <v>2.9430000000000001</v>
      </c>
      <c r="L115" s="722">
        <v>3.5</v>
      </c>
      <c r="M115" s="722">
        <v>2.9</v>
      </c>
      <c r="N115" s="1557">
        <v>2.9</v>
      </c>
      <c r="O115" s="2150">
        <f t="shared" si="76"/>
        <v>-0.17142857142857146</v>
      </c>
      <c r="P115" s="722">
        <f>Q115</f>
        <v>3</v>
      </c>
      <c r="Q115" s="1557">
        <v>3</v>
      </c>
      <c r="R115" s="722">
        <v>3.1</v>
      </c>
      <c r="S115" s="1557">
        <v>3.1</v>
      </c>
      <c r="T115" s="2729"/>
      <c r="U115" s="2734"/>
      <c r="V115" s="2694"/>
      <c r="W115" s="2694"/>
      <c r="X115" s="2694"/>
      <c r="Y115" s="2694"/>
      <c r="Z115" s="2694"/>
      <c r="AA115" s="2694"/>
      <c r="AB115" s="3028"/>
      <c r="AC115" s="2694"/>
      <c r="AF115" s="84"/>
      <c r="AG115" s="84"/>
    </row>
    <row r="116" spans="1:33" ht="36.75" customHeight="1">
      <c r="A116" s="2879"/>
      <c r="B116" s="2703"/>
      <c r="C116" s="2700"/>
      <c r="D116" s="1977"/>
      <c r="E116" s="725" t="s">
        <v>1067</v>
      </c>
      <c r="F116" s="964">
        <f>SUM(F114:F115)</f>
        <v>2.5999999999999996</v>
      </c>
      <c r="G116" s="965">
        <f t="shared" si="114"/>
        <v>0.33461538461538476</v>
      </c>
      <c r="H116" s="964">
        <f t="shared" ref="H116:P116" si="115">SUM(H114:H115)</f>
        <v>3.4699999999999998</v>
      </c>
      <c r="I116" s="728">
        <f t="shared" si="115"/>
        <v>3.4699999999999998</v>
      </c>
      <c r="J116" s="729">
        <f t="shared" si="113"/>
        <v>0.21037463976945259</v>
      </c>
      <c r="K116" s="964">
        <f>K115</f>
        <v>2.9430000000000001</v>
      </c>
      <c r="L116" s="728">
        <f t="shared" si="115"/>
        <v>4.2</v>
      </c>
      <c r="M116" s="728">
        <f t="shared" si="115"/>
        <v>3.5999999999999996</v>
      </c>
      <c r="N116" s="1558">
        <f t="shared" ref="N116" si="116">SUM(N114:N115)</f>
        <v>3.8</v>
      </c>
      <c r="O116" s="2162">
        <f t="shared" si="76"/>
        <v>-0.14285714285714299</v>
      </c>
      <c r="P116" s="728">
        <f t="shared" si="115"/>
        <v>3.9</v>
      </c>
      <c r="Q116" s="1558">
        <f t="shared" ref="Q116:R116" si="117">SUM(Q114:Q115)</f>
        <v>3.9</v>
      </c>
      <c r="R116" s="728">
        <f t="shared" si="117"/>
        <v>4</v>
      </c>
      <c r="S116" s="1558">
        <f t="shared" ref="S116" si="118">SUM(S114:S115)</f>
        <v>4</v>
      </c>
      <c r="T116" s="2729"/>
      <c r="U116" s="2734"/>
      <c r="V116" s="2694"/>
      <c r="W116" s="2694"/>
      <c r="X116" s="2694"/>
      <c r="Y116" s="2694"/>
      <c r="Z116" s="2694"/>
      <c r="AA116" s="2694"/>
      <c r="AB116" s="3028"/>
      <c r="AC116" s="2694"/>
      <c r="AF116" s="84"/>
      <c r="AG116" s="84"/>
    </row>
    <row r="117" spans="1:33" ht="27.75" customHeight="1">
      <c r="A117" s="2879" t="s">
        <v>2012</v>
      </c>
      <c r="B117" s="2703" t="s">
        <v>1222</v>
      </c>
      <c r="C117" s="2700">
        <v>188711925</v>
      </c>
      <c r="D117" s="2998" t="s">
        <v>3508</v>
      </c>
      <c r="E117" s="706" t="s">
        <v>470</v>
      </c>
      <c r="F117" s="970">
        <v>106</v>
      </c>
      <c r="G117" s="972">
        <f t="shared" si="114"/>
        <v>0</v>
      </c>
      <c r="H117" s="970">
        <v>150</v>
      </c>
      <c r="I117" s="722">
        <v>106</v>
      </c>
      <c r="J117" s="723">
        <f t="shared" si="113"/>
        <v>0.46226415094339623</v>
      </c>
      <c r="K117" s="970">
        <v>155</v>
      </c>
      <c r="L117" s="722">
        <v>155</v>
      </c>
      <c r="M117" s="722"/>
      <c r="N117" s="1557">
        <v>155</v>
      </c>
      <c r="O117" s="2163">
        <f t="shared" si="76"/>
        <v>-1</v>
      </c>
      <c r="P117" s="722">
        <f>Q117</f>
        <v>155</v>
      </c>
      <c r="Q117" s="1557">
        <v>155</v>
      </c>
      <c r="R117" s="722">
        <f>S117</f>
        <v>155</v>
      </c>
      <c r="S117" s="1557">
        <v>155</v>
      </c>
      <c r="T117" s="2729" t="s">
        <v>2220</v>
      </c>
      <c r="U117" s="2704" t="s">
        <v>4290</v>
      </c>
      <c r="V117" s="2694" t="s">
        <v>1461</v>
      </c>
      <c r="W117" s="2694" t="s">
        <v>1428</v>
      </c>
      <c r="X117" s="2694" t="s">
        <v>1306</v>
      </c>
      <c r="Y117" s="2694" t="s">
        <v>403</v>
      </c>
      <c r="Z117" s="2694" t="s">
        <v>403</v>
      </c>
      <c r="AA117" s="2694" t="s">
        <v>403</v>
      </c>
      <c r="AB117" s="3028" t="s">
        <v>403</v>
      </c>
      <c r="AC117" s="2694" t="s">
        <v>2224</v>
      </c>
      <c r="AF117" s="84"/>
      <c r="AG117" s="84"/>
    </row>
    <row r="118" spans="1:33" ht="27.75" customHeight="1">
      <c r="A118" s="2879"/>
      <c r="B118" s="2703"/>
      <c r="C118" s="2700"/>
      <c r="D118" s="3000"/>
      <c r="E118" s="706" t="s">
        <v>4688</v>
      </c>
      <c r="F118" s="970"/>
      <c r="G118" s="972"/>
      <c r="H118" s="970"/>
      <c r="I118" s="722"/>
      <c r="J118" s="723"/>
      <c r="K118" s="970"/>
      <c r="L118" s="722"/>
      <c r="M118" s="722">
        <v>155</v>
      </c>
      <c r="N118" s="1557"/>
      <c r="O118" s="2163"/>
      <c r="P118" s="722"/>
      <c r="Q118" s="1557"/>
      <c r="R118" s="722"/>
      <c r="S118" s="1557"/>
      <c r="T118" s="2729"/>
      <c r="U118" s="2704"/>
      <c r="V118" s="2694"/>
      <c r="W118" s="2694"/>
      <c r="X118" s="2694"/>
      <c r="Y118" s="2694"/>
      <c r="Z118" s="2694"/>
      <c r="AA118" s="2694"/>
      <c r="AB118" s="3028"/>
      <c r="AC118" s="2694"/>
      <c r="AF118" s="84"/>
      <c r="AG118" s="84"/>
    </row>
    <row r="119" spans="1:33" ht="40.950000000000003" customHeight="1">
      <c r="A119" s="3011"/>
      <c r="B119" s="2703"/>
      <c r="C119" s="3015"/>
      <c r="D119" s="2999"/>
      <c r="E119" s="725" t="s">
        <v>1067</v>
      </c>
      <c r="F119" s="964">
        <f>F117</f>
        <v>106</v>
      </c>
      <c r="G119" s="965">
        <f t="shared" si="114"/>
        <v>0</v>
      </c>
      <c r="H119" s="964">
        <f t="shared" ref="H119:P119" si="119">H117</f>
        <v>150</v>
      </c>
      <c r="I119" s="728">
        <f t="shared" si="119"/>
        <v>106</v>
      </c>
      <c r="J119" s="729">
        <f t="shared" si="113"/>
        <v>0.46226415094339623</v>
      </c>
      <c r="K119" s="964">
        <f t="shared" si="119"/>
        <v>155</v>
      </c>
      <c r="L119" s="728">
        <f t="shared" si="119"/>
        <v>155</v>
      </c>
      <c r="M119" s="728">
        <f>SUM(M117,M118)</f>
        <v>155</v>
      </c>
      <c r="N119" s="1558">
        <f t="shared" ref="N119" si="120">N117</f>
        <v>155</v>
      </c>
      <c r="O119" s="2162">
        <f t="shared" si="76"/>
        <v>0</v>
      </c>
      <c r="P119" s="728">
        <f t="shared" si="119"/>
        <v>155</v>
      </c>
      <c r="Q119" s="1558">
        <f t="shared" ref="Q119:R119" si="121">Q117</f>
        <v>155</v>
      </c>
      <c r="R119" s="728">
        <f t="shared" si="121"/>
        <v>155</v>
      </c>
      <c r="S119" s="1558">
        <f t="shared" ref="S119" si="122">S117</f>
        <v>155</v>
      </c>
      <c r="T119" s="2729"/>
      <c r="U119" s="2734"/>
      <c r="V119" s="2694"/>
      <c r="W119" s="2694"/>
      <c r="X119" s="2694"/>
      <c r="Y119" s="2694"/>
      <c r="Z119" s="2694"/>
      <c r="AA119" s="2694"/>
      <c r="AB119" s="3028"/>
      <c r="AC119" s="2694"/>
      <c r="AF119" s="84"/>
      <c r="AG119" s="84"/>
    </row>
    <row r="120" spans="1:33" ht="37.950000000000003" customHeight="1">
      <c r="A120" s="2879" t="s">
        <v>2013</v>
      </c>
      <c r="B120" s="2699" t="s">
        <v>1223</v>
      </c>
      <c r="C120" s="2700">
        <v>300079075</v>
      </c>
      <c r="D120" s="2998" t="s">
        <v>3508</v>
      </c>
      <c r="E120" s="706" t="s">
        <v>470</v>
      </c>
      <c r="F120" s="970">
        <v>0.7</v>
      </c>
      <c r="G120" s="973">
        <f t="shared" si="114"/>
        <v>0</v>
      </c>
      <c r="H120" s="970">
        <v>1.1000000000000001</v>
      </c>
      <c r="I120" s="722">
        <v>0.7</v>
      </c>
      <c r="J120" s="723">
        <f t="shared" si="113"/>
        <v>0</v>
      </c>
      <c r="K120" s="970">
        <v>0.7</v>
      </c>
      <c r="L120" s="722">
        <v>0.7</v>
      </c>
      <c r="M120" s="722">
        <v>1.02</v>
      </c>
      <c r="N120" s="1557">
        <v>1.02</v>
      </c>
      <c r="O120" s="2150">
        <f t="shared" si="76"/>
        <v>0.45714285714285724</v>
      </c>
      <c r="P120" s="722">
        <v>1.08</v>
      </c>
      <c r="Q120" s="1557">
        <v>1.08</v>
      </c>
      <c r="R120" s="722">
        <v>1.1299999999999999</v>
      </c>
      <c r="S120" s="1557">
        <v>1.1299999999999999</v>
      </c>
      <c r="T120" s="2729" t="s">
        <v>2227</v>
      </c>
      <c r="U120" s="2704" t="s">
        <v>4291</v>
      </c>
      <c r="V120" s="2694" t="s">
        <v>1462</v>
      </c>
      <c r="W120" s="2694" t="s">
        <v>1429</v>
      </c>
      <c r="X120" s="2694" t="s">
        <v>1508</v>
      </c>
      <c r="Y120" s="2694" t="s">
        <v>1508</v>
      </c>
      <c r="Z120" s="2694" t="s">
        <v>1508</v>
      </c>
      <c r="AA120" s="2694" t="s">
        <v>1508</v>
      </c>
      <c r="AB120" s="3028" t="s">
        <v>1508</v>
      </c>
      <c r="AC120" s="2694" t="s">
        <v>2225</v>
      </c>
      <c r="AF120" s="84"/>
      <c r="AG120" s="84"/>
    </row>
    <row r="121" spans="1:33" ht="36" customHeight="1">
      <c r="A121" s="3011"/>
      <c r="B121" s="2699"/>
      <c r="C121" s="3015"/>
      <c r="D121" s="2999"/>
      <c r="E121" s="725" t="s">
        <v>1067</v>
      </c>
      <c r="F121" s="964">
        <f>F120</f>
        <v>0.7</v>
      </c>
      <c r="G121" s="965">
        <f t="shared" si="114"/>
        <v>0</v>
      </c>
      <c r="H121" s="964">
        <f>H120</f>
        <v>1.1000000000000001</v>
      </c>
      <c r="I121" s="728">
        <f>I120</f>
        <v>0.7</v>
      </c>
      <c r="J121" s="729">
        <f t="shared" si="113"/>
        <v>0</v>
      </c>
      <c r="K121" s="964">
        <f t="shared" ref="K121:S121" si="123">K120</f>
        <v>0.7</v>
      </c>
      <c r="L121" s="728">
        <f t="shared" si="123"/>
        <v>0.7</v>
      </c>
      <c r="M121" s="728">
        <f t="shared" si="123"/>
        <v>1.02</v>
      </c>
      <c r="N121" s="1558">
        <f t="shared" si="123"/>
        <v>1.02</v>
      </c>
      <c r="O121" s="2162">
        <f t="shared" si="76"/>
        <v>0.45714285714285724</v>
      </c>
      <c r="P121" s="728">
        <f t="shared" si="123"/>
        <v>1.08</v>
      </c>
      <c r="Q121" s="1558">
        <f t="shared" si="123"/>
        <v>1.08</v>
      </c>
      <c r="R121" s="728">
        <f t="shared" si="123"/>
        <v>1.1299999999999999</v>
      </c>
      <c r="S121" s="1558">
        <f t="shared" si="123"/>
        <v>1.1299999999999999</v>
      </c>
      <c r="T121" s="2729"/>
      <c r="U121" s="2734"/>
      <c r="V121" s="2694"/>
      <c r="W121" s="2694"/>
      <c r="X121" s="2694"/>
      <c r="Y121" s="2694"/>
      <c r="Z121" s="2694"/>
      <c r="AA121" s="2694"/>
      <c r="AB121" s="3028"/>
      <c r="AC121" s="2694"/>
      <c r="AF121" s="84"/>
      <c r="AG121" s="84"/>
    </row>
    <row r="122" spans="1:33" ht="44.4" customHeight="1">
      <c r="A122" s="2879" t="s">
        <v>2014</v>
      </c>
      <c r="B122" s="2703" t="s">
        <v>1224</v>
      </c>
      <c r="C122" s="2700" t="s">
        <v>1071</v>
      </c>
      <c r="D122" s="2998" t="s">
        <v>3508</v>
      </c>
      <c r="E122" s="706" t="s">
        <v>470</v>
      </c>
      <c r="F122" s="970">
        <v>45</v>
      </c>
      <c r="G122" s="973">
        <f t="shared" si="114"/>
        <v>1.2666666666666666</v>
      </c>
      <c r="H122" s="970"/>
      <c r="I122" s="722">
        <v>102</v>
      </c>
      <c r="J122" s="723">
        <f t="shared" si="113"/>
        <v>0.98754901960784314</v>
      </c>
      <c r="K122" s="970">
        <f>SUM(K124,K125)</f>
        <v>127.565</v>
      </c>
      <c r="L122" s="722">
        <f>SUM(L124,L125)</f>
        <v>202.73</v>
      </c>
      <c r="M122" s="722">
        <f>SUM(M124,M125)</f>
        <v>266</v>
      </c>
      <c r="N122" s="1557">
        <f t="shared" ref="N122" si="124">SUM(N124,N125)</f>
        <v>273.89999999999998</v>
      </c>
      <c r="O122" s="2150">
        <f t="shared" si="76"/>
        <v>0.3120899718837864</v>
      </c>
      <c r="P122" s="722">
        <f>Q122</f>
        <v>293.34500000000003</v>
      </c>
      <c r="Q122" s="1557">
        <f>SUM(Q124,Q125)</f>
        <v>293.34500000000003</v>
      </c>
      <c r="R122" s="722">
        <f>S122</f>
        <v>301.68799999999999</v>
      </c>
      <c r="S122" s="1557">
        <f>SUM(S124,S125)</f>
        <v>301.68799999999999</v>
      </c>
      <c r="T122" s="2729"/>
      <c r="U122" s="2704" t="s">
        <v>3434</v>
      </c>
      <c r="V122" s="2694" t="s">
        <v>1463</v>
      </c>
      <c r="W122" s="2694" t="s">
        <v>3115</v>
      </c>
      <c r="X122" s="2694" t="s">
        <v>1332</v>
      </c>
      <c r="Y122" s="2694" t="s">
        <v>3116</v>
      </c>
      <c r="Z122" s="2694" t="s">
        <v>4133</v>
      </c>
      <c r="AA122" s="2694" t="s">
        <v>3116</v>
      </c>
      <c r="AB122" s="2694" t="s">
        <v>3117</v>
      </c>
      <c r="AC122" s="2694"/>
      <c r="AF122" s="84"/>
      <c r="AG122" s="84"/>
    </row>
    <row r="123" spans="1:33" ht="33" customHeight="1">
      <c r="A123" s="2879"/>
      <c r="B123" s="2703"/>
      <c r="C123" s="2700"/>
      <c r="D123" s="2999"/>
      <c r="E123" s="725" t="s">
        <v>1067</v>
      </c>
      <c r="F123" s="964">
        <f>F122</f>
        <v>45</v>
      </c>
      <c r="G123" s="965">
        <f t="shared" ref="G123:P123" si="125">G122</f>
        <v>1.2666666666666666</v>
      </c>
      <c r="H123" s="964">
        <f t="shared" si="125"/>
        <v>0</v>
      </c>
      <c r="I123" s="728">
        <f t="shared" si="125"/>
        <v>102</v>
      </c>
      <c r="J123" s="729">
        <f t="shared" si="113"/>
        <v>0.98754901960784314</v>
      </c>
      <c r="K123" s="964">
        <f t="shared" si="125"/>
        <v>127.565</v>
      </c>
      <c r="L123" s="728">
        <f t="shared" si="125"/>
        <v>202.73</v>
      </c>
      <c r="M123" s="728">
        <f t="shared" si="125"/>
        <v>266</v>
      </c>
      <c r="N123" s="1558">
        <f t="shared" ref="N123" si="126">N122</f>
        <v>273.89999999999998</v>
      </c>
      <c r="O123" s="2162">
        <f t="shared" si="76"/>
        <v>0.3120899718837864</v>
      </c>
      <c r="P123" s="728">
        <f t="shared" si="125"/>
        <v>293.34500000000003</v>
      </c>
      <c r="Q123" s="1558">
        <f t="shared" ref="Q123:R123" si="127">Q122</f>
        <v>293.34500000000003</v>
      </c>
      <c r="R123" s="728">
        <f t="shared" si="127"/>
        <v>301.68799999999999</v>
      </c>
      <c r="S123" s="1558">
        <f t="shared" ref="S123" si="128">S122</f>
        <v>301.68799999999999</v>
      </c>
      <c r="T123" s="2729"/>
      <c r="U123" s="2734"/>
      <c r="V123" s="2694"/>
      <c r="W123" s="2694"/>
      <c r="X123" s="2694"/>
      <c r="Y123" s="2694"/>
      <c r="Z123" s="2694"/>
      <c r="AA123" s="2694"/>
      <c r="AB123" s="2694"/>
      <c r="AC123" s="2694"/>
      <c r="AF123" s="84"/>
      <c r="AG123" s="84"/>
    </row>
    <row r="124" spans="1:33" ht="27" hidden="1" customHeight="1">
      <c r="A124" s="899"/>
      <c r="B124" s="665" t="s">
        <v>2540</v>
      </c>
      <c r="C124" s="1024"/>
      <c r="D124" s="1024"/>
      <c r="E124" s="780"/>
      <c r="F124" s="1011"/>
      <c r="G124" s="1012"/>
      <c r="H124" s="1011"/>
      <c r="I124" s="689"/>
      <c r="J124" s="689"/>
      <c r="K124" s="1011">
        <v>127.565</v>
      </c>
      <c r="L124" s="681">
        <v>95.13</v>
      </c>
      <c r="M124" s="681">
        <v>136</v>
      </c>
      <c r="N124" s="1559">
        <v>158.9</v>
      </c>
      <c r="O124" s="2146">
        <f t="shared" si="76"/>
        <v>0.42962262167560189</v>
      </c>
      <c r="P124" s="681">
        <v>106.679</v>
      </c>
      <c r="Q124" s="1559">
        <v>166.845</v>
      </c>
      <c r="R124" s="681">
        <v>106.679</v>
      </c>
      <c r="S124" s="1559">
        <v>175.18799999999999</v>
      </c>
      <c r="T124" s="2729"/>
      <c r="U124" s="686"/>
      <c r="V124" s="688"/>
      <c r="W124" s="688"/>
      <c r="X124" s="688"/>
      <c r="Y124" s="688"/>
      <c r="Z124" s="688"/>
      <c r="AA124" s="688"/>
      <c r="AB124" s="1105"/>
      <c r="AC124" s="2694"/>
      <c r="AF124" s="84"/>
      <c r="AG124" s="84"/>
    </row>
    <row r="125" spans="1:33" ht="29.25" hidden="1" customHeight="1">
      <c r="A125" s="899"/>
      <c r="B125" s="665" t="s">
        <v>1409</v>
      </c>
      <c r="C125" s="1024"/>
      <c r="D125" s="1024"/>
      <c r="E125" s="780"/>
      <c r="F125" s="1011"/>
      <c r="G125" s="1012"/>
      <c r="H125" s="1011"/>
      <c r="I125" s="689"/>
      <c r="J125" s="689"/>
      <c r="K125" s="1011"/>
      <c r="L125" s="681">
        <v>107.6</v>
      </c>
      <c r="M125" s="681">
        <v>130</v>
      </c>
      <c r="N125" s="1559">
        <v>115</v>
      </c>
      <c r="O125" s="2146">
        <f t="shared" si="76"/>
        <v>0.2081784386617101</v>
      </c>
      <c r="P125" s="681">
        <v>107.6</v>
      </c>
      <c r="Q125" s="1559">
        <v>126.5</v>
      </c>
      <c r="R125" s="681">
        <v>107.6</v>
      </c>
      <c r="S125" s="1559">
        <v>126.5</v>
      </c>
      <c r="T125" s="2729"/>
      <c r="U125" s="686"/>
      <c r="V125" s="688"/>
      <c r="W125" s="688"/>
      <c r="X125" s="688"/>
      <c r="Y125" s="688"/>
      <c r="Z125" s="688"/>
      <c r="AA125" s="688"/>
      <c r="AB125" s="1105"/>
      <c r="AC125" s="2694"/>
      <c r="AF125" s="84"/>
      <c r="AG125" s="84"/>
    </row>
    <row r="126" spans="1:33" ht="29.25" hidden="1" customHeight="1">
      <c r="A126" s="2879" t="s">
        <v>2015</v>
      </c>
      <c r="B126" s="2703" t="s">
        <v>3123</v>
      </c>
      <c r="C126" s="2700">
        <v>188711925</v>
      </c>
      <c r="D126" s="1977"/>
      <c r="E126" s="706" t="s">
        <v>470</v>
      </c>
      <c r="F126" s="970"/>
      <c r="G126" s="970"/>
      <c r="H126" s="970">
        <v>0</v>
      </c>
      <c r="I126" s="722"/>
      <c r="J126" s="723"/>
      <c r="K126" s="970"/>
      <c r="L126" s="722"/>
      <c r="M126" s="722"/>
      <c r="N126" s="1557"/>
      <c r="O126" s="2150" t="e">
        <f t="shared" si="76"/>
        <v>#DIV/0!</v>
      </c>
      <c r="P126" s="722"/>
      <c r="Q126" s="1557"/>
      <c r="R126" s="722"/>
      <c r="S126" s="1557"/>
      <c r="T126" s="2729"/>
      <c r="U126" s="2704" t="s">
        <v>4292</v>
      </c>
      <c r="V126" s="2694" t="s">
        <v>1464</v>
      </c>
      <c r="W126" s="2694" t="s">
        <v>2857</v>
      </c>
      <c r="X126" s="2694" t="s">
        <v>2858</v>
      </c>
      <c r="Y126" s="2694" t="s">
        <v>3528</v>
      </c>
      <c r="Z126" s="2694" t="s">
        <v>4134</v>
      </c>
      <c r="AA126" s="2694" t="s">
        <v>4134</v>
      </c>
      <c r="AB126" s="2694" t="s">
        <v>4134</v>
      </c>
      <c r="AC126" s="2694"/>
      <c r="AF126" s="84"/>
      <c r="AG126" s="84"/>
    </row>
    <row r="127" spans="1:33" ht="27" hidden="1" customHeight="1">
      <c r="A127" s="2879"/>
      <c r="B127" s="2703"/>
      <c r="C127" s="2700"/>
      <c r="D127" s="1977"/>
      <c r="E127" s="706" t="s">
        <v>1070</v>
      </c>
      <c r="F127" s="1010"/>
      <c r="G127" s="1010"/>
      <c r="H127" s="1010"/>
      <c r="I127" s="655"/>
      <c r="J127" s="1013" t="e">
        <f t="shared" ref="J127:J163" si="129">L127/I127-1</f>
        <v>#DIV/0!</v>
      </c>
      <c r="K127" s="1010"/>
      <c r="L127" s="722"/>
      <c r="M127" s="722"/>
      <c r="N127" s="1557"/>
      <c r="O127" s="2150" t="e">
        <f t="shared" si="76"/>
        <v>#DIV/0!</v>
      </c>
      <c r="P127" s="722"/>
      <c r="Q127" s="1557"/>
      <c r="R127" s="722"/>
      <c r="S127" s="1557"/>
      <c r="T127" s="2729"/>
      <c r="U127" s="2734"/>
      <c r="V127" s="2694"/>
      <c r="W127" s="2694"/>
      <c r="X127" s="2694"/>
      <c r="Y127" s="2694"/>
      <c r="Z127" s="2694"/>
      <c r="AA127" s="2694"/>
      <c r="AB127" s="2694"/>
      <c r="AC127" s="2694"/>
      <c r="AF127" s="84"/>
      <c r="AG127" s="84"/>
    </row>
    <row r="128" spans="1:33" ht="46.2" customHeight="1">
      <c r="A128" s="2879"/>
      <c r="B128" s="2703"/>
      <c r="C128" s="2700"/>
      <c r="D128" s="1977"/>
      <c r="E128" s="706" t="s">
        <v>246</v>
      </c>
      <c r="F128" s="1010"/>
      <c r="G128" s="1010"/>
      <c r="H128" s="1010"/>
      <c r="I128" s="722">
        <v>6.7</v>
      </c>
      <c r="J128" s="723">
        <f t="shared" si="129"/>
        <v>0.11940298507462677</v>
      </c>
      <c r="K128" s="970">
        <v>7.5</v>
      </c>
      <c r="L128" s="722">
        <v>7.5</v>
      </c>
      <c r="M128" s="722">
        <v>156.05000000000001</v>
      </c>
      <c r="N128" s="1557">
        <v>156.05000000000001</v>
      </c>
      <c r="O128" s="2150">
        <f t="shared" si="76"/>
        <v>19.806666666666668</v>
      </c>
      <c r="P128" s="974">
        <v>160</v>
      </c>
      <c r="Q128" s="1557">
        <v>160</v>
      </c>
      <c r="R128" s="974">
        <v>160</v>
      </c>
      <c r="S128" s="1557">
        <v>160</v>
      </c>
      <c r="T128" s="2729"/>
      <c r="U128" s="2734"/>
      <c r="V128" s="2694"/>
      <c r="W128" s="2694"/>
      <c r="X128" s="2694"/>
      <c r="Y128" s="2694"/>
      <c r="Z128" s="2694"/>
      <c r="AA128" s="2694"/>
      <c r="AB128" s="2694"/>
      <c r="AC128" s="2694"/>
      <c r="AF128" s="84"/>
      <c r="AG128" s="84"/>
    </row>
    <row r="129" spans="1:33" ht="107.25" customHeight="1">
      <c r="A129" s="2879"/>
      <c r="B129" s="2703"/>
      <c r="C129" s="2700"/>
      <c r="D129" s="1977"/>
      <c r="E129" s="725" t="s">
        <v>1067</v>
      </c>
      <c r="F129" s="964">
        <f>F126</f>
        <v>0</v>
      </c>
      <c r="G129" s="964">
        <f t="shared" ref="G129:H129" si="130">G126</f>
        <v>0</v>
      </c>
      <c r="H129" s="964">
        <f t="shared" si="130"/>
        <v>0</v>
      </c>
      <c r="I129" s="728">
        <f>I128</f>
        <v>6.7</v>
      </c>
      <c r="J129" s="729">
        <f t="shared" si="129"/>
        <v>0.11940298507462677</v>
      </c>
      <c r="K129" s="964">
        <f t="shared" ref="K129:P129" si="131">K128</f>
        <v>7.5</v>
      </c>
      <c r="L129" s="728">
        <f t="shared" si="131"/>
        <v>7.5</v>
      </c>
      <c r="M129" s="728">
        <f t="shared" si="131"/>
        <v>156.05000000000001</v>
      </c>
      <c r="N129" s="1558">
        <f t="shared" ref="N129" si="132">N128</f>
        <v>156.05000000000001</v>
      </c>
      <c r="O129" s="2162">
        <f t="shared" si="76"/>
        <v>19.806666666666668</v>
      </c>
      <c r="P129" s="728">
        <f t="shared" si="131"/>
        <v>160</v>
      </c>
      <c r="Q129" s="1558">
        <f t="shared" ref="Q129:R129" si="133">Q128</f>
        <v>160</v>
      </c>
      <c r="R129" s="728">
        <f t="shared" si="133"/>
        <v>160</v>
      </c>
      <c r="S129" s="1558">
        <f t="shared" ref="S129" si="134">S128</f>
        <v>160</v>
      </c>
      <c r="T129" s="2729"/>
      <c r="U129" s="2734"/>
      <c r="V129" s="2694"/>
      <c r="W129" s="2694"/>
      <c r="X129" s="2694"/>
      <c r="Y129" s="2694"/>
      <c r="Z129" s="2694"/>
      <c r="AA129" s="2694"/>
      <c r="AB129" s="2694"/>
      <c r="AC129" s="2694"/>
      <c r="AF129" s="84"/>
      <c r="AG129" s="84"/>
    </row>
    <row r="130" spans="1:33" ht="36.6" customHeight="1">
      <c r="A130" s="2879" t="s">
        <v>2016</v>
      </c>
      <c r="B130" s="2703" t="s">
        <v>3730</v>
      </c>
      <c r="C130" s="2700">
        <v>188711925</v>
      </c>
      <c r="D130" s="1980" t="s">
        <v>3508</v>
      </c>
      <c r="E130" s="706" t="s">
        <v>470</v>
      </c>
      <c r="F130" s="970">
        <v>41.5</v>
      </c>
      <c r="G130" s="973">
        <f>I130/F130-1</f>
        <v>1.4156626506024095</v>
      </c>
      <c r="H130" s="970">
        <v>49.3</v>
      </c>
      <c r="I130" s="722">
        <f>50.25+50</f>
        <v>100.25</v>
      </c>
      <c r="J130" s="723">
        <f t="shared" si="129"/>
        <v>7.4812967581048273E-3</v>
      </c>
      <c r="K130" s="970">
        <v>200</v>
      </c>
      <c r="L130" s="722">
        <v>101</v>
      </c>
      <c r="M130" s="722"/>
      <c r="N130" s="1557">
        <v>100</v>
      </c>
      <c r="O130" s="2150">
        <f t="shared" si="76"/>
        <v>-1</v>
      </c>
      <c r="P130" s="722">
        <v>100</v>
      </c>
      <c r="Q130" s="1557">
        <v>100</v>
      </c>
      <c r="R130" s="974">
        <v>100</v>
      </c>
      <c r="S130" s="1557">
        <v>100</v>
      </c>
      <c r="T130" s="2729" t="s">
        <v>2220</v>
      </c>
      <c r="U130" s="2704" t="s">
        <v>4294</v>
      </c>
      <c r="V130" s="2694" t="s">
        <v>1465</v>
      </c>
      <c r="W130" s="2694" t="s">
        <v>4293</v>
      </c>
      <c r="X130" s="2694" t="s">
        <v>324</v>
      </c>
      <c r="Y130" s="2694" t="s">
        <v>324</v>
      </c>
      <c r="Z130" s="2694" t="s">
        <v>585</v>
      </c>
      <c r="AA130" s="2694" t="s">
        <v>585</v>
      </c>
      <c r="AB130" s="2694" t="s">
        <v>585</v>
      </c>
      <c r="AC130" s="2694" t="s">
        <v>2212</v>
      </c>
      <c r="AF130" s="84"/>
      <c r="AG130" s="84"/>
    </row>
    <row r="131" spans="1:33" ht="36.6" customHeight="1">
      <c r="A131" s="2879"/>
      <c r="B131" s="2703"/>
      <c r="C131" s="2700"/>
      <c r="D131" s="1980"/>
      <c r="E131" s="706" t="s">
        <v>2747</v>
      </c>
      <c r="F131" s="970"/>
      <c r="G131" s="973"/>
      <c r="H131" s="970"/>
      <c r="I131" s="722"/>
      <c r="J131" s="723"/>
      <c r="K131" s="970"/>
      <c r="L131" s="722"/>
      <c r="M131" s="722">
        <v>100</v>
      </c>
      <c r="N131" s="1557"/>
      <c r="O131" s="2150"/>
      <c r="P131" s="722"/>
      <c r="Q131" s="1557"/>
      <c r="R131" s="974"/>
      <c r="S131" s="1557"/>
      <c r="T131" s="2729"/>
      <c r="U131" s="2704"/>
      <c r="V131" s="2694"/>
      <c r="W131" s="2694"/>
      <c r="X131" s="2694"/>
      <c r="Y131" s="2694"/>
      <c r="Z131" s="2694"/>
      <c r="AA131" s="2694"/>
      <c r="AB131" s="2694"/>
      <c r="AC131" s="2694"/>
      <c r="AF131" s="84"/>
      <c r="AG131" s="84"/>
    </row>
    <row r="132" spans="1:33" ht="33" customHeight="1">
      <c r="A132" s="3011"/>
      <c r="B132" s="2703"/>
      <c r="C132" s="3015"/>
      <c r="D132" s="1979"/>
      <c r="E132" s="706" t="s">
        <v>1353</v>
      </c>
      <c r="F132" s="970">
        <v>91.7</v>
      </c>
      <c r="G132" s="973">
        <f>I132/F132-1</f>
        <v>8.2878953107960784E-2</v>
      </c>
      <c r="H132" s="970">
        <v>95.9</v>
      </c>
      <c r="I132" s="722">
        <v>99.3</v>
      </c>
      <c r="J132" s="723">
        <f t="shared" si="129"/>
        <v>0.45367573011077544</v>
      </c>
      <c r="K132" s="970"/>
      <c r="L132" s="722">
        <v>144.35</v>
      </c>
      <c r="M132" s="722">
        <v>186.7</v>
      </c>
      <c r="N132" s="1557">
        <v>175</v>
      </c>
      <c r="O132" s="2150">
        <f t="shared" si="76"/>
        <v>0.29338413578108763</v>
      </c>
      <c r="P132" s="722">
        <f>Q132</f>
        <v>186.7</v>
      </c>
      <c r="Q132" s="1557">
        <v>186.7</v>
      </c>
      <c r="R132" s="974">
        <f>S132</f>
        <v>186.7</v>
      </c>
      <c r="S132" s="1557">
        <v>186.7</v>
      </c>
      <c r="T132" s="2729"/>
      <c r="U132" s="2734"/>
      <c r="V132" s="2694"/>
      <c r="W132" s="2694"/>
      <c r="X132" s="2694"/>
      <c r="Y132" s="2694"/>
      <c r="Z132" s="2694"/>
      <c r="AA132" s="2694"/>
      <c r="AB132" s="2694"/>
      <c r="AC132" s="2694"/>
      <c r="AF132" s="84"/>
      <c r="AG132" s="84"/>
    </row>
    <row r="133" spans="1:33" ht="30.6" customHeight="1">
      <c r="A133" s="3011"/>
      <c r="B133" s="2703"/>
      <c r="C133" s="3015"/>
      <c r="D133" s="1979"/>
      <c r="E133" s="706" t="s">
        <v>2824</v>
      </c>
      <c r="F133" s="970"/>
      <c r="G133" s="973"/>
      <c r="H133" s="970"/>
      <c r="I133" s="722"/>
      <c r="J133" s="723"/>
      <c r="K133" s="970"/>
      <c r="L133" s="722">
        <v>13.198</v>
      </c>
      <c r="M133" s="722">
        <v>64.935000000000002</v>
      </c>
      <c r="N133" s="1557"/>
      <c r="O133" s="2150">
        <f t="shared" si="76"/>
        <v>3.9200636460069709</v>
      </c>
      <c r="P133" s="722"/>
      <c r="Q133" s="1557"/>
      <c r="R133" s="722"/>
      <c r="S133" s="1557"/>
      <c r="T133" s="2729"/>
      <c r="U133" s="2734"/>
      <c r="V133" s="2694"/>
      <c r="W133" s="2694"/>
      <c r="X133" s="2694"/>
      <c r="Y133" s="2694"/>
      <c r="Z133" s="2694"/>
      <c r="AA133" s="2694"/>
      <c r="AB133" s="2694"/>
      <c r="AC133" s="2694"/>
      <c r="AF133" s="84"/>
      <c r="AG133" s="84"/>
    </row>
    <row r="134" spans="1:33" ht="37.200000000000003" customHeight="1">
      <c r="A134" s="3011"/>
      <c r="B134" s="2703"/>
      <c r="C134" s="3015"/>
      <c r="D134" s="1979"/>
      <c r="E134" s="725" t="s">
        <v>1067</v>
      </c>
      <c r="F134" s="964">
        <f>SUM(F130:F132)</f>
        <v>133.19999999999999</v>
      </c>
      <c r="G134" s="965">
        <f>I134/F134-1</f>
        <v>0.49812312312312335</v>
      </c>
      <c r="H134" s="964">
        <f t="shared" ref="H134:P134" si="135">SUM(H130:H132)</f>
        <v>145.19999999999999</v>
      </c>
      <c r="I134" s="728">
        <f t="shared" si="135"/>
        <v>199.55</v>
      </c>
      <c r="J134" s="729">
        <f t="shared" si="129"/>
        <v>0.29565522425457269</v>
      </c>
      <c r="K134" s="964">
        <f t="shared" si="135"/>
        <v>200</v>
      </c>
      <c r="L134" s="728">
        <f>SUM(L130:L133)</f>
        <v>258.548</v>
      </c>
      <c r="M134" s="728">
        <f>SUM(M130:M133)</f>
        <v>351.63499999999999</v>
      </c>
      <c r="N134" s="1558">
        <f>SUM(N130:N132)</f>
        <v>275</v>
      </c>
      <c r="O134" s="2162">
        <f t="shared" si="76"/>
        <v>0.36003759456657947</v>
      </c>
      <c r="P134" s="728">
        <f t="shared" si="135"/>
        <v>286.7</v>
      </c>
      <c r="Q134" s="1558">
        <f t="shared" ref="Q134:R134" si="136">SUM(Q130:Q132)</f>
        <v>286.7</v>
      </c>
      <c r="R134" s="728">
        <f t="shared" si="136"/>
        <v>286.7</v>
      </c>
      <c r="S134" s="1558">
        <f t="shared" ref="S134" si="137">SUM(S130:S132)</f>
        <v>286.7</v>
      </c>
      <c r="T134" s="2729"/>
      <c r="U134" s="2734"/>
      <c r="V134" s="2694"/>
      <c r="W134" s="2694"/>
      <c r="X134" s="2694"/>
      <c r="Y134" s="2694"/>
      <c r="Z134" s="2694"/>
      <c r="AA134" s="2694"/>
      <c r="AB134" s="2694"/>
      <c r="AC134" s="2694"/>
      <c r="AF134" s="84"/>
      <c r="AG134" s="84"/>
    </row>
    <row r="135" spans="1:33" ht="32.4" customHeight="1">
      <c r="A135" s="2879" t="s">
        <v>3367</v>
      </c>
      <c r="B135" s="2703" t="s">
        <v>3712</v>
      </c>
      <c r="C135" s="2700">
        <v>188711925</v>
      </c>
      <c r="D135" s="1977"/>
      <c r="E135" s="706" t="s">
        <v>2747</v>
      </c>
      <c r="F135" s="970">
        <v>179.874</v>
      </c>
      <c r="G135" s="973">
        <f t="shared" ref="G135" si="138">I135/F135-1</f>
        <v>-0.73592625949275603</v>
      </c>
      <c r="H135" s="970">
        <v>47.5</v>
      </c>
      <c r="I135" s="722">
        <v>47.5</v>
      </c>
      <c r="J135" s="723">
        <f t="shared" si="129"/>
        <v>10.752884210526314</v>
      </c>
      <c r="K135" s="970">
        <v>618.26199999999994</v>
      </c>
      <c r="L135" s="722">
        <f>618.262-60</f>
        <v>558.26199999999994</v>
      </c>
      <c r="M135" s="722">
        <v>333.01299999999998</v>
      </c>
      <c r="N135" s="1557"/>
      <c r="O135" s="2150">
        <f>(M136-L135)/L135</f>
        <v>-0.89252358211735705</v>
      </c>
      <c r="P135" s="722"/>
      <c r="Q135" s="1557"/>
      <c r="R135" s="722"/>
      <c r="S135" s="1557"/>
      <c r="T135" s="2729"/>
      <c r="U135" s="2704" t="s">
        <v>4369</v>
      </c>
      <c r="V135" s="3071" t="s">
        <v>1466</v>
      </c>
      <c r="W135" s="2694" t="s">
        <v>1737</v>
      </c>
      <c r="X135" s="656" t="s">
        <v>433</v>
      </c>
      <c r="Y135" s="2694" t="s">
        <v>433</v>
      </c>
      <c r="Z135" s="2694"/>
      <c r="AA135" s="2694" t="s">
        <v>1738</v>
      </c>
      <c r="AB135" s="3028" t="s">
        <v>433</v>
      </c>
      <c r="AC135" s="2694"/>
      <c r="AF135" s="84"/>
      <c r="AG135" s="84"/>
    </row>
    <row r="136" spans="1:33" ht="30" customHeight="1">
      <c r="A136" s="2879"/>
      <c r="B136" s="2703"/>
      <c r="C136" s="2700"/>
      <c r="D136" s="1977"/>
      <c r="E136" s="706" t="s">
        <v>470</v>
      </c>
      <c r="F136" s="970"/>
      <c r="G136" s="973"/>
      <c r="H136" s="970"/>
      <c r="I136" s="722"/>
      <c r="J136" s="723"/>
      <c r="K136" s="970">
        <v>0</v>
      </c>
      <c r="L136" s="722">
        <v>60</v>
      </c>
      <c r="M136" s="722">
        <v>60</v>
      </c>
      <c r="N136" s="1557">
        <v>979.03800000000001</v>
      </c>
      <c r="O136" s="2150">
        <f t="shared" si="76"/>
        <v>0</v>
      </c>
      <c r="P136" s="722"/>
      <c r="Q136" s="1557">
        <v>559.28099999999995</v>
      </c>
      <c r="R136" s="722"/>
      <c r="S136" s="1557"/>
      <c r="T136" s="2729"/>
      <c r="U136" s="2704"/>
      <c r="V136" s="3075"/>
      <c r="W136" s="2694"/>
      <c r="X136" s="656"/>
      <c r="Y136" s="2694"/>
      <c r="Z136" s="2694"/>
      <c r="AA136" s="2694"/>
      <c r="AB136" s="3028"/>
      <c r="AC136" s="2694"/>
      <c r="AF136" s="84"/>
      <c r="AG136" s="84"/>
    </row>
    <row r="137" spans="1:33" ht="36" customHeight="1">
      <c r="A137" s="2879"/>
      <c r="B137" s="2703"/>
      <c r="C137" s="2700"/>
      <c r="D137" s="1977"/>
      <c r="E137" s="706" t="s">
        <v>1358</v>
      </c>
      <c r="F137" s="970"/>
      <c r="G137" s="972"/>
      <c r="H137" s="970"/>
      <c r="I137" s="722"/>
      <c r="J137" s="1014"/>
      <c r="K137" s="970"/>
      <c r="L137" s="722"/>
      <c r="M137" s="722">
        <v>586.02499999999998</v>
      </c>
      <c r="N137" s="1557"/>
      <c r="O137" s="2150"/>
      <c r="P137" s="722">
        <v>559.28099999999995</v>
      </c>
      <c r="Q137" s="1557"/>
      <c r="R137" s="722"/>
      <c r="S137" s="1557"/>
      <c r="T137" s="2729"/>
      <c r="U137" s="2704"/>
      <c r="V137" s="3075"/>
      <c r="W137" s="2694"/>
      <c r="X137" s="656"/>
      <c r="Y137" s="2694"/>
      <c r="Z137" s="2694"/>
      <c r="AA137" s="2694"/>
      <c r="AB137" s="3028"/>
      <c r="AC137" s="2694"/>
      <c r="AF137" s="84"/>
      <c r="AG137" s="84"/>
    </row>
    <row r="138" spans="1:33" ht="38.25" hidden="1" customHeight="1">
      <c r="A138" s="2879"/>
      <c r="B138" s="2703"/>
      <c r="C138" s="2700"/>
      <c r="D138" s="1977"/>
      <c r="E138" s="706" t="s">
        <v>1111</v>
      </c>
      <c r="F138" s="970"/>
      <c r="G138" s="973"/>
      <c r="H138" s="970"/>
      <c r="I138" s="722"/>
      <c r="J138" s="723"/>
      <c r="K138" s="970"/>
      <c r="L138" s="722"/>
      <c r="M138" s="722"/>
      <c r="N138" s="1557"/>
      <c r="O138" s="2150" t="e">
        <f t="shared" si="76"/>
        <v>#DIV/0!</v>
      </c>
      <c r="P138" s="722"/>
      <c r="Q138" s="1557"/>
      <c r="R138" s="722"/>
      <c r="S138" s="1557"/>
      <c r="T138" s="2729"/>
      <c r="U138" s="2704"/>
      <c r="V138" s="3075"/>
      <c r="W138" s="656" t="s">
        <v>1739</v>
      </c>
      <c r="X138" s="656" t="s">
        <v>433</v>
      </c>
      <c r="Y138" s="656" t="s">
        <v>433</v>
      </c>
      <c r="Z138" s="656"/>
      <c r="AA138" s="656" t="s">
        <v>1738</v>
      </c>
      <c r="AB138" s="971" t="s">
        <v>433</v>
      </c>
      <c r="AC138" s="2694"/>
      <c r="AF138" s="84"/>
      <c r="AG138" s="84"/>
    </row>
    <row r="139" spans="1:33" ht="35.4" customHeight="1">
      <c r="A139" s="2879"/>
      <c r="B139" s="2703"/>
      <c r="C139" s="2700"/>
      <c r="D139" s="1977"/>
      <c r="E139" s="706" t="s">
        <v>246</v>
      </c>
      <c r="F139" s="970"/>
      <c r="G139" s="973"/>
      <c r="H139" s="970">
        <v>212.5</v>
      </c>
      <c r="I139" s="722">
        <v>212.5</v>
      </c>
      <c r="J139" s="723">
        <f t="shared" si="129"/>
        <v>1.7614729411764705</v>
      </c>
      <c r="K139" s="970">
        <v>586.81299999999999</v>
      </c>
      <c r="L139" s="722">
        <v>586.81299999999999</v>
      </c>
      <c r="M139" s="722">
        <v>818.03200000000004</v>
      </c>
      <c r="N139" s="1557">
        <v>818.03200000000004</v>
      </c>
      <c r="O139" s="2150">
        <f t="shared" si="76"/>
        <v>0.39402501307912413</v>
      </c>
      <c r="P139" s="722">
        <v>88.731999999999999</v>
      </c>
      <c r="R139" s="1557"/>
      <c r="S139" s="1557"/>
      <c r="T139" s="2729"/>
      <c r="U139" s="2704"/>
      <c r="V139" s="3075"/>
      <c r="W139" s="2694" t="s">
        <v>4295</v>
      </c>
      <c r="X139" s="656" t="s">
        <v>433</v>
      </c>
      <c r="Y139" s="656" t="s">
        <v>433</v>
      </c>
      <c r="Z139" s="3071"/>
      <c r="AA139" s="3071" t="s">
        <v>1738</v>
      </c>
      <c r="AB139" s="3073" t="s">
        <v>433</v>
      </c>
      <c r="AC139" s="2694"/>
      <c r="AF139" s="84"/>
      <c r="AG139" s="84"/>
    </row>
    <row r="140" spans="1:33" ht="41.4" customHeight="1">
      <c r="A140" s="3011"/>
      <c r="B140" s="2703"/>
      <c r="C140" s="3015"/>
      <c r="D140" s="1979"/>
      <c r="E140" s="725" t="s">
        <v>1067</v>
      </c>
      <c r="F140" s="964">
        <f t="shared" ref="F140:P140" si="139">SUM(F135:F139)</f>
        <v>179.874</v>
      </c>
      <c r="G140" s="965">
        <f t="shared" si="139"/>
        <v>-0.73592625949275603</v>
      </c>
      <c r="H140" s="964">
        <f t="shared" si="139"/>
        <v>260</v>
      </c>
      <c r="I140" s="728">
        <f t="shared" si="139"/>
        <v>260</v>
      </c>
      <c r="J140" s="729">
        <f t="shared" si="129"/>
        <v>3.6349038461538452</v>
      </c>
      <c r="K140" s="964">
        <f>SUM(K135:K139)</f>
        <v>1205.0749999999998</v>
      </c>
      <c r="L140" s="728">
        <f>SUM(L135:L139)</f>
        <v>1205.0749999999998</v>
      </c>
      <c r="M140" s="728">
        <f>SUM(M135:M139)</f>
        <v>1797.0700000000002</v>
      </c>
      <c r="N140" s="1558">
        <f>SUM(N135:N139)</f>
        <v>1797.0700000000002</v>
      </c>
      <c r="O140" s="2162">
        <f t="shared" si="76"/>
        <v>0.49125158185175233</v>
      </c>
      <c r="P140" s="728">
        <f t="shared" si="139"/>
        <v>648.01299999999992</v>
      </c>
      <c r="Q140" s="1558">
        <f t="shared" ref="Q140" si="140">SUM(Q135:Q139)</f>
        <v>559.28099999999995</v>
      </c>
      <c r="R140" s="728">
        <f>SUM(R135:R139)</f>
        <v>0</v>
      </c>
      <c r="S140" s="1558">
        <f t="shared" ref="S140" si="141">SUM(S135:S139)</f>
        <v>0</v>
      </c>
      <c r="T140" s="2729"/>
      <c r="U140" s="2734"/>
      <c r="V140" s="3072"/>
      <c r="W140" s="2694"/>
      <c r="X140" s="656" t="s">
        <v>433</v>
      </c>
      <c r="Y140" s="656" t="s">
        <v>433</v>
      </c>
      <c r="Z140" s="3072"/>
      <c r="AA140" s="3072"/>
      <c r="AB140" s="3074"/>
      <c r="AC140" s="2694"/>
      <c r="AF140" s="84"/>
      <c r="AG140" s="84"/>
    </row>
    <row r="141" spans="1:33" ht="48" hidden="1" customHeight="1">
      <c r="A141" s="2872" t="s">
        <v>2017</v>
      </c>
      <c r="B141" s="2703" t="s">
        <v>1225</v>
      </c>
      <c r="C141" s="2700">
        <v>188711925</v>
      </c>
      <c r="D141" s="1977"/>
      <c r="E141" s="706" t="s">
        <v>470</v>
      </c>
      <c r="F141" s="970"/>
      <c r="G141" s="970"/>
      <c r="H141" s="970"/>
      <c r="I141" s="722"/>
      <c r="J141" s="723" t="e">
        <f t="shared" si="129"/>
        <v>#DIV/0!</v>
      </c>
      <c r="K141" s="970"/>
      <c r="L141" s="722"/>
      <c r="M141" s="722"/>
      <c r="N141" s="1557"/>
      <c r="O141" s="2150" t="e">
        <f t="shared" si="76"/>
        <v>#DIV/0!</v>
      </c>
      <c r="P141" s="722"/>
      <c r="Q141" s="1557"/>
      <c r="R141" s="722"/>
      <c r="S141" s="1557"/>
      <c r="T141" s="170"/>
      <c r="U141" s="2724" t="s">
        <v>2273</v>
      </c>
      <c r="V141" s="2695" t="s">
        <v>1467</v>
      </c>
      <c r="W141" s="2694"/>
      <c r="X141" s="2694"/>
      <c r="Y141" s="2694"/>
      <c r="Z141" s="2694"/>
      <c r="AA141" s="656"/>
      <c r="AB141" s="971"/>
      <c r="AC141" s="672" t="s">
        <v>2225</v>
      </c>
      <c r="AF141" s="84"/>
      <c r="AG141" s="84"/>
    </row>
    <row r="142" spans="1:33" ht="48" hidden="1" customHeight="1">
      <c r="A142" s="2872"/>
      <c r="B142" s="2703"/>
      <c r="C142" s="2700"/>
      <c r="D142" s="1977"/>
      <c r="E142" s="725" t="s">
        <v>1067</v>
      </c>
      <c r="F142" s="964">
        <f>F141</f>
        <v>0</v>
      </c>
      <c r="G142" s="964">
        <f t="shared" ref="G142:M142" si="142">G141</f>
        <v>0</v>
      </c>
      <c r="H142" s="964">
        <f t="shared" si="142"/>
        <v>0</v>
      </c>
      <c r="I142" s="728">
        <f t="shared" si="142"/>
        <v>0</v>
      </c>
      <c r="J142" s="729" t="e">
        <f t="shared" si="129"/>
        <v>#DIV/0!</v>
      </c>
      <c r="K142" s="964"/>
      <c r="L142" s="728">
        <f t="shared" si="142"/>
        <v>0</v>
      </c>
      <c r="M142" s="728">
        <f t="shared" si="142"/>
        <v>0</v>
      </c>
      <c r="N142" s="1558">
        <f t="shared" ref="N142" si="143">N141</f>
        <v>0</v>
      </c>
      <c r="O142" s="2162" t="e">
        <f t="shared" si="76"/>
        <v>#DIV/0!</v>
      </c>
      <c r="P142" s="728"/>
      <c r="Q142" s="1558"/>
      <c r="R142" s="728"/>
      <c r="S142" s="1558"/>
      <c r="T142" s="170"/>
      <c r="U142" s="2937"/>
      <c r="V142" s="2695"/>
      <c r="W142" s="2694"/>
      <c r="X142" s="2694"/>
      <c r="Y142" s="2694"/>
      <c r="Z142" s="2694"/>
      <c r="AA142" s="656"/>
      <c r="AB142" s="971"/>
      <c r="AC142" s="672"/>
      <c r="AF142" s="84"/>
      <c r="AG142" s="84"/>
    </row>
    <row r="143" spans="1:33" ht="27" customHeight="1">
      <c r="A143" s="2879" t="s">
        <v>2577</v>
      </c>
      <c r="B143" s="2703" t="s">
        <v>2575</v>
      </c>
      <c r="C143" s="2700">
        <v>190230824</v>
      </c>
      <c r="D143" s="1977"/>
      <c r="E143" s="706" t="s">
        <v>470</v>
      </c>
      <c r="F143" s="970"/>
      <c r="G143" s="973"/>
      <c r="H143" s="970"/>
      <c r="I143" s="722"/>
      <c r="J143" s="723"/>
      <c r="K143" s="970">
        <v>13</v>
      </c>
      <c r="L143" s="722"/>
      <c r="M143" s="722"/>
      <c r="N143" s="1557"/>
      <c r="O143" s="2150"/>
      <c r="P143" s="722"/>
      <c r="Q143" s="1557"/>
      <c r="R143" s="722"/>
      <c r="S143" s="1557"/>
      <c r="T143" s="2729" t="s">
        <v>2271</v>
      </c>
      <c r="U143" s="2704" t="s">
        <v>4370</v>
      </c>
      <c r="V143" s="2694" t="s">
        <v>1468</v>
      </c>
      <c r="W143" s="2694" t="s">
        <v>4296</v>
      </c>
      <c r="X143" s="2694" t="s">
        <v>1431</v>
      </c>
      <c r="Y143" s="2694" t="s">
        <v>1425</v>
      </c>
      <c r="Z143" s="2694" t="s">
        <v>4135</v>
      </c>
      <c r="AA143" s="2694" t="s">
        <v>4135</v>
      </c>
      <c r="AB143" s="2694" t="s">
        <v>4135</v>
      </c>
      <c r="AC143" s="2694" t="s">
        <v>3628</v>
      </c>
      <c r="AF143" s="84"/>
      <c r="AG143" s="84"/>
    </row>
    <row r="144" spans="1:33" ht="30" customHeight="1">
      <c r="A144" s="2879"/>
      <c r="B144" s="2703"/>
      <c r="C144" s="2700"/>
      <c r="D144" s="1977"/>
      <c r="E144" s="706" t="s">
        <v>246</v>
      </c>
      <c r="F144" s="1010"/>
      <c r="G144" s="1015"/>
      <c r="H144" s="1010"/>
      <c r="I144" s="722">
        <v>45.8</v>
      </c>
      <c r="J144" s="723">
        <f t="shared" si="129"/>
        <v>0.35371179039301315</v>
      </c>
      <c r="K144" s="970">
        <v>65</v>
      </c>
      <c r="L144" s="722">
        <v>62</v>
      </c>
      <c r="M144" s="974">
        <v>69.62</v>
      </c>
      <c r="N144" s="1557">
        <v>69.62</v>
      </c>
      <c r="O144" s="2150">
        <f t="shared" si="76"/>
        <v>0.12290322580645169</v>
      </c>
      <c r="P144" s="974">
        <v>76.581999999999994</v>
      </c>
      <c r="Q144" s="1557">
        <v>76.581999999999994</v>
      </c>
      <c r="R144" s="974">
        <v>76.581999999999994</v>
      </c>
      <c r="S144" s="1557">
        <v>76.581999999999994</v>
      </c>
      <c r="T144" s="2729"/>
      <c r="U144" s="2734"/>
      <c r="V144" s="2694"/>
      <c r="W144" s="2694"/>
      <c r="X144" s="2694"/>
      <c r="Y144" s="2694"/>
      <c r="Z144" s="2694"/>
      <c r="AA144" s="2694"/>
      <c r="AB144" s="2694"/>
      <c r="AC144" s="2694"/>
      <c r="AF144" s="84"/>
      <c r="AG144" s="84"/>
    </row>
    <row r="145" spans="1:37" ht="26.25" customHeight="1">
      <c r="A145" s="2879"/>
      <c r="B145" s="2703"/>
      <c r="C145" s="2700"/>
      <c r="D145" s="1977"/>
      <c r="E145" s="706" t="s">
        <v>1111</v>
      </c>
      <c r="F145" s="970">
        <v>12.34</v>
      </c>
      <c r="G145" s="973">
        <f t="shared" ref="G145:G147" si="144">I145/F145-1</f>
        <v>1.296596434359798E-2</v>
      </c>
      <c r="H145" s="1010"/>
      <c r="I145" s="722">
        <v>12.5</v>
      </c>
      <c r="J145" s="723">
        <f t="shared" si="129"/>
        <v>0.1120000000000001</v>
      </c>
      <c r="K145" s="970">
        <v>0</v>
      </c>
      <c r="L145" s="722">
        <v>13.9</v>
      </c>
      <c r="M145" s="974">
        <v>13.96</v>
      </c>
      <c r="N145" s="1557">
        <v>15.57</v>
      </c>
      <c r="O145" s="2150">
        <f t="shared" si="76"/>
        <v>4.3165467625899635E-3</v>
      </c>
      <c r="P145" s="974">
        <v>13.96</v>
      </c>
      <c r="Q145" s="1557">
        <v>17.126999999999999</v>
      </c>
      <c r="R145" s="974">
        <v>13.96</v>
      </c>
      <c r="S145" s="1557">
        <v>17.126999999999999</v>
      </c>
      <c r="T145" s="2729"/>
      <c r="U145" s="2734"/>
      <c r="V145" s="2694"/>
      <c r="W145" s="2694"/>
      <c r="X145" s="2694"/>
      <c r="Y145" s="2694"/>
      <c r="Z145" s="2694"/>
      <c r="AA145" s="2694"/>
      <c r="AB145" s="2694"/>
      <c r="AC145" s="2694"/>
      <c r="AF145" s="84"/>
      <c r="AG145" s="84"/>
    </row>
    <row r="146" spans="1:37" ht="27" customHeight="1">
      <c r="A146" s="2879"/>
      <c r="B146" s="2703"/>
      <c r="C146" s="2700"/>
      <c r="D146" s="1977"/>
      <c r="E146" s="706" t="s">
        <v>412</v>
      </c>
      <c r="F146" s="1010"/>
      <c r="G146" s="1015"/>
      <c r="H146" s="1010"/>
      <c r="I146" s="722">
        <v>10.199999999999999</v>
      </c>
      <c r="J146" s="723">
        <f t="shared" si="129"/>
        <v>7.8431372549019773E-2</v>
      </c>
      <c r="K146" s="970">
        <v>11</v>
      </c>
      <c r="L146" s="722">
        <v>11</v>
      </c>
      <c r="M146" s="722"/>
      <c r="N146" s="1557"/>
      <c r="O146" s="2150">
        <f t="shared" ref="O146:O206" si="145">(M146-L146)/L146</f>
        <v>-1</v>
      </c>
      <c r="P146" s="722"/>
      <c r="Q146" s="1557"/>
      <c r="R146" s="722"/>
      <c r="S146" s="1557"/>
      <c r="T146" s="2729"/>
      <c r="U146" s="2734"/>
      <c r="V146" s="2694"/>
      <c r="W146" s="2694"/>
      <c r="X146" s="2694"/>
      <c r="Y146" s="2694"/>
      <c r="Z146" s="2694"/>
      <c r="AA146" s="2694"/>
      <c r="AB146" s="2694"/>
      <c r="AC146" s="2694"/>
      <c r="AF146" s="84"/>
      <c r="AG146" s="84"/>
    </row>
    <row r="147" spans="1:37" ht="37.5" customHeight="1">
      <c r="A147" s="2879"/>
      <c r="B147" s="2703"/>
      <c r="C147" s="2700"/>
      <c r="D147" s="1977"/>
      <c r="E147" s="725" t="s">
        <v>1067</v>
      </c>
      <c r="F147" s="964">
        <f>SUM(F143:F145)</f>
        <v>12.34</v>
      </c>
      <c r="G147" s="965">
        <f t="shared" si="144"/>
        <v>4.5510534846029174</v>
      </c>
      <c r="H147" s="964">
        <f t="shared" ref="H147" si="146">SUM(H143:H145)</f>
        <v>0</v>
      </c>
      <c r="I147" s="728">
        <f>SUM(I143:I146)</f>
        <v>68.5</v>
      </c>
      <c r="J147" s="729">
        <f t="shared" si="129"/>
        <v>0.26861313868613146</v>
      </c>
      <c r="K147" s="964">
        <f>SUM(K143:K146)</f>
        <v>89</v>
      </c>
      <c r="L147" s="728">
        <f t="shared" ref="L147" si="147">SUM(L143:L146)</f>
        <v>86.9</v>
      </c>
      <c r="M147" s="728">
        <f t="shared" ref="M147:S147" si="148">SUM(M143:M146)</f>
        <v>83.580000000000013</v>
      </c>
      <c r="N147" s="1558">
        <f t="shared" si="148"/>
        <v>85.19</v>
      </c>
      <c r="O147" s="2162">
        <f t="shared" si="145"/>
        <v>-3.8204833141541925E-2</v>
      </c>
      <c r="P147" s="728">
        <f t="shared" si="148"/>
        <v>90.542000000000002</v>
      </c>
      <c r="Q147" s="1558">
        <f t="shared" si="148"/>
        <v>93.708999999999989</v>
      </c>
      <c r="R147" s="728">
        <f t="shared" si="148"/>
        <v>90.542000000000002</v>
      </c>
      <c r="S147" s="1558">
        <f t="shared" si="148"/>
        <v>93.708999999999989</v>
      </c>
      <c r="T147" s="2729"/>
      <c r="U147" s="2734"/>
      <c r="V147" s="2694"/>
      <c r="W147" s="2694"/>
      <c r="X147" s="2694"/>
      <c r="Y147" s="2694"/>
      <c r="Z147" s="2694"/>
      <c r="AA147" s="2694"/>
      <c r="AB147" s="2694"/>
      <c r="AC147" s="2694"/>
      <c r="AF147" s="84"/>
      <c r="AG147" s="84"/>
    </row>
    <row r="148" spans="1:37" ht="37.200000000000003" customHeight="1">
      <c r="A148" s="2879" t="s">
        <v>2018</v>
      </c>
      <c r="B148" s="2703" t="s">
        <v>1226</v>
      </c>
      <c r="C148" s="2700">
        <v>188711925</v>
      </c>
      <c r="D148" s="2998" t="s">
        <v>3508</v>
      </c>
      <c r="E148" s="706" t="s">
        <v>470</v>
      </c>
      <c r="F148" s="722"/>
      <c r="G148" s="722"/>
      <c r="H148" s="722"/>
      <c r="I148" s="722"/>
      <c r="J148" s="723"/>
      <c r="K148" s="970"/>
      <c r="L148" s="722"/>
      <c r="M148" s="1818">
        <v>37</v>
      </c>
      <c r="N148" s="1557">
        <v>37</v>
      </c>
      <c r="O148" s="2150"/>
      <c r="P148" s="974">
        <v>37</v>
      </c>
      <c r="Q148" s="1557">
        <v>37</v>
      </c>
      <c r="R148" s="974">
        <v>37</v>
      </c>
      <c r="S148" s="1557">
        <v>37</v>
      </c>
      <c r="T148" s="2729" t="s">
        <v>2217</v>
      </c>
      <c r="U148" s="2704" t="s">
        <v>4371</v>
      </c>
      <c r="V148" s="2694" t="s">
        <v>1469</v>
      </c>
      <c r="W148" s="2694" t="s">
        <v>4446</v>
      </c>
      <c r="X148" s="2694"/>
      <c r="Y148" s="2694"/>
      <c r="Z148" s="2694" t="s">
        <v>392</v>
      </c>
      <c r="AA148" s="2694" t="s">
        <v>403</v>
      </c>
      <c r="AB148" s="3028" t="s">
        <v>9</v>
      </c>
      <c r="AC148" s="2694"/>
      <c r="AF148" s="84"/>
      <c r="AG148" s="84"/>
    </row>
    <row r="149" spans="1:37" ht="74.400000000000006" customHeight="1">
      <c r="A149" s="2879"/>
      <c r="B149" s="2703"/>
      <c r="C149" s="2700"/>
      <c r="D149" s="2999"/>
      <c r="E149" s="725" t="s">
        <v>1067</v>
      </c>
      <c r="F149" s="728">
        <f>F148</f>
        <v>0</v>
      </c>
      <c r="G149" s="728">
        <f t="shared" ref="G149:P149" si="149">G148</f>
        <v>0</v>
      </c>
      <c r="H149" s="728">
        <f t="shared" si="149"/>
        <v>0</v>
      </c>
      <c r="I149" s="728">
        <f t="shared" si="149"/>
        <v>0</v>
      </c>
      <c r="J149" s="729"/>
      <c r="K149" s="964"/>
      <c r="L149" s="728">
        <f t="shared" si="149"/>
        <v>0</v>
      </c>
      <c r="M149" s="728">
        <f t="shared" si="149"/>
        <v>37</v>
      </c>
      <c r="N149" s="1558">
        <f t="shared" ref="N149" si="150">N148</f>
        <v>37</v>
      </c>
      <c r="O149" s="2162" t="e">
        <f t="shared" si="145"/>
        <v>#DIV/0!</v>
      </c>
      <c r="P149" s="728">
        <f t="shared" si="149"/>
        <v>37</v>
      </c>
      <c r="Q149" s="1558">
        <f t="shared" ref="Q149:R149" si="151">Q148</f>
        <v>37</v>
      </c>
      <c r="R149" s="728">
        <f t="shared" si="151"/>
        <v>37</v>
      </c>
      <c r="S149" s="1558">
        <f t="shared" ref="S149" si="152">S148</f>
        <v>37</v>
      </c>
      <c r="T149" s="2729"/>
      <c r="U149" s="2734"/>
      <c r="V149" s="2694"/>
      <c r="W149" s="2694"/>
      <c r="X149" s="2694"/>
      <c r="Y149" s="2694"/>
      <c r="Z149" s="2694"/>
      <c r="AA149" s="2694"/>
      <c r="AB149" s="3028"/>
      <c r="AC149" s="2694"/>
      <c r="AF149" s="84"/>
      <c r="AG149" s="84"/>
    </row>
    <row r="150" spans="1:37" ht="57" customHeight="1">
      <c r="A150" s="2879" t="s">
        <v>2019</v>
      </c>
      <c r="B150" s="2703" t="s">
        <v>1227</v>
      </c>
      <c r="C150" s="2700">
        <v>188711925</v>
      </c>
      <c r="D150" s="2998" t="s">
        <v>3508</v>
      </c>
      <c r="E150" s="706" t="s">
        <v>470</v>
      </c>
      <c r="F150" s="970">
        <v>12</v>
      </c>
      <c r="G150" s="973">
        <f t="shared" ref="G150:G155" si="153">I150/F150-1</f>
        <v>0</v>
      </c>
      <c r="H150" s="970">
        <v>12</v>
      </c>
      <c r="I150" s="722">
        <v>12</v>
      </c>
      <c r="J150" s="723">
        <f t="shared" si="129"/>
        <v>0</v>
      </c>
      <c r="K150" s="970">
        <v>12</v>
      </c>
      <c r="L150" s="722">
        <v>12</v>
      </c>
      <c r="M150" s="722">
        <v>12</v>
      </c>
      <c r="N150" s="1557">
        <v>12</v>
      </c>
      <c r="O150" s="2150">
        <f t="shared" si="145"/>
        <v>0</v>
      </c>
      <c r="P150" s="722">
        <v>12</v>
      </c>
      <c r="Q150" s="1557">
        <v>12</v>
      </c>
      <c r="R150" s="974">
        <v>12</v>
      </c>
      <c r="S150" s="1557">
        <v>12</v>
      </c>
      <c r="T150" s="2729"/>
      <c r="U150" s="2704" t="s">
        <v>1717</v>
      </c>
      <c r="V150" s="2694" t="s">
        <v>1470</v>
      </c>
      <c r="W150" s="2694" t="s">
        <v>1433</v>
      </c>
      <c r="X150" s="2694" t="s">
        <v>1306</v>
      </c>
      <c r="Y150" s="2694" t="s">
        <v>1306</v>
      </c>
      <c r="Z150" s="2694" t="s">
        <v>1306</v>
      </c>
      <c r="AA150" s="2694" t="s">
        <v>1306</v>
      </c>
      <c r="AB150" s="3028" t="s">
        <v>1306</v>
      </c>
      <c r="AC150" s="2694"/>
      <c r="AF150" s="84"/>
      <c r="AG150" s="84"/>
      <c r="AK150" s="113">
        <f>P48+P94+P98+P101+P104+P106+P110+P114+P117+P120+P122+P130+P148+P150+P162+P186+P193+P224</f>
        <v>1232.9950000000001</v>
      </c>
    </row>
    <row r="151" spans="1:37" ht="45.75" customHeight="1">
      <c r="A151" s="2879"/>
      <c r="B151" s="2703"/>
      <c r="C151" s="2700"/>
      <c r="D151" s="2999"/>
      <c r="E151" s="725" t="s">
        <v>1067</v>
      </c>
      <c r="F151" s="964">
        <f>F150</f>
        <v>12</v>
      </c>
      <c r="G151" s="964">
        <f t="shared" si="153"/>
        <v>0</v>
      </c>
      <c r="H151" s="964">
        <f t="shared" ref="H151:P151" si="154">H150</f>
        <v>12</v>
      </c>
      <c r="I151" s="728">
        <f t="shared" si="154"/>
        <v>12</v>
      </c>
      <c r="J151" s="729">
        <f t="shared" si="129"/>
        <v>0</v>
      </c>
      <c r="K151" s="964">
        <f t="shared" si="154"/>
        <v>12</v>
      </c>
      <c r="L151" s="728">
        <f t="shared" si="154"/>
        <v>12</v>
      </c>
      <c r="M151" s="728">
        <f t="shared" si="154"/>
        <v>12</v>
      </c>
      <c r="N151" s="1558">
        <f t="shared" ref="N151" si="155">N150</f>
        <v>12</v>
      </c>
      <c r="O151" s="2162">
        <f t="shared" si="145"/>
        <v>0</v>
      </c>
      <c r="P151" s="728">
        <f t="shared" si="154"/>
        <v>12</v>
      </c>
      <c r="Q151" s="1558">
        <f t="shared" ref="Q151:R151" si="156">Q150</f>
        <v>12</v>
      </c>
      <c r="R151" s="728">
        <f t="shared" si="156"/>
        <v>12</v>
      </c>
      <c r="S151" s="1558">
        <f t="shared" ref="S151" si="157">S150</f>
        <v>12</v>
      </c>
      <c r="T151" s="2729"/>
      <c r="U151" s="2734"/>
      <c r="V151" s="2694"/>
      <c r="W151" s="2694"/>
      <c r="X151" s="2694"/>
      <c r="Y151" s="2694"/>
      <c r="Z151" s="2694"/>
      <c r="AA151" s="2694"/>
      <c r="AB151" s="3028"/>
      <c r="AC151" s="2694"/>
      <c r="AF151" s="84"/>
      <c r="AG151" s="84"/>
    </row>
    <row r="152" spans="1:37" ht="30" hidden="1" customHeight="1">
      <c r="A152" s="2879" t="s">
        <v>2020</v>
      </c>
      <c r="B152" s="2703" t="s">
        <v>1228</v>
      </c>
      <c r="C152" s="2700">
        <v>188711925</v>
      </c>
      <c r="D152" s="1977"/>
      <c r="E152" s="706" t="s">
        <v>470</v>
      </c>
      <c r="F152" s="970"/>
      <c r="G152" s="970"/>
      <c r="H152" s="970"/>
      <c r="I152" s="722"/>
      <c r="J152" s="723"/>
      <c r="K152" s="970"/>
      <c r="L152" s="722"/>
      <c r="M152" s="722"/>
      <c r="N152" s="1557"/>
      <c r="O152" s="2150"/>
      <c r="P152" s="722"/>
      <c r="Q152" s="1557"/>
      <c r="R152" s="722"/>
      <c r="S152" s="1557"/>
      <c r="T152" s="2729"/>
      <c r="U152" s="2704" t="s">
        <v>1413</v>
      </c>
      <c r="V152" s="2694" t="s">
        <v>1471</v>
      </c>
      <c r="W152" s="2694" t="s">
        <v>1434</v>
      </c>
      <c r="X152" s="2694" t="s">
        <v>432</v>
      </c>
      <c r="Y152" s="2694" t="s">
        <v>432</v>
      </c>
      <c r="Z152" s="2694" t="s">
        <v>432</v>
      </c>
      <c r="AA152" s="2694" t="s">
        <v>432</v>
      </c>
      <c r="AB152" s="3028" t="s">
        <v>432</v>
      </c>
      <c r="AC152" s="2694"/>
      <c r="AF152" s="84"/>
      <c r="AG152" s="84"/>
    </row>
    <row r="153" spans="1:37" ht="34.200000000000003" customHeight="1">
      <c r="A153" s="2879"/>
      <c r="B153" s="2703"/>
      <c r="C153" s="2700"/>
      <c r="D153" s="1977"/>
      <c r="E153" s="706" t="s">
        <v>1410</v>
      </c>
      <c r="F153" s="970">
        <v>11.54</v>
      </c>
      <c r="G153" s="973">
        <f t="shared" si="153"/>
        <v>-0.5164644714038128</v>
      </c>
      <c r="H153" s="1010"/>
      <c r="I153" s="722">
        <v>5.58</v>
      </c>
      <c r="J153" s="723">
        <f t="shared" si="129"/>
        <v>1.3781362007168458</v>
      </c>
      <c r="K153" s="970"/>
      <c r="L153" s="722">
        <v>13.27</v>
      </c>
      <c r="M153" s="722">
        <v>17.885000000000002</v>
      </c>
      <c r="N153" s="1557">
        <v>17.855</v>
      </c>
      <c r="O153" s="2150">
        <f>(M153-L153)/L153</f>
        <v>0.34777694046721946</v>
      </c>
      <c r="P153" s="722">
        <v>17.885000000000002</v>
      </c>
      <c r="Q153" s="1557">
        <v>17.855</v>
      </c>
      <c r="R153" s="722">
        <v>17.885000000000002</v>
      </c>
      <c r="S153" s="1557">
        <v>17.855</v>
      </c>
      <c r="T153" s="2729"/>
      <c r="U153" s="2734"/>
      <c r="V153" s="2694"/>
      <c r="W153" s="2694"/>
      <c r="X153" s="2694"/>
      <c r="Y153" s="2694"/>
      <c r="Z153" s="2694"/>
      <c r="AA153" s="2694"/>
      <c r="AB153" s="3028"/>
      <c r="AC153" s="2694"/>
      <c r="AF153" s="84"/>
      <c r="AG153" s="84"/>
    </row>
    <row r="154" spans="1:37" ht="28.5" hidden="1" customHeight="1">
      <c r="A154" s="2879"/>
      <c r="B154" s="2703"/>
      <c r="C154" s="2700"/>
      <c r="D154" s="1977"/>
      <c r="E154" s="706" t="s">
        <v>1111</v>
      </c>
      <c r="F154" s="970">
        <v>5.7</v>
      </c>
      <c r="G154" s="973">
        <f t="shared" si="153"/>
        <v>-1</v>
      </c>
      <c r="H154" s="1010"/>
      <c r="I154" s="722">
        <f>I156</f>
        <v>0</v>
      </c>
      <c r="J154" s="723"/>
      <c r="K154" s="970"/>
      <c r="L154" s="722"/>
      <c r="M154" s="722"/>
      <c r="N154" s="1557"/>
      <c r="O154" s="2150"/>
      <c r="P154" s="722"/>
      <c r="Q154" s="1557"/>
      <c r="R154" s="722"/>
      <c r="S154" s="1557"/>
      <c r="T154" s="2729"/>
      <c r="U154" s="2734"/>
      <c r="V154" s="2694"/>
      <c r="W154" s="2694"/>
      <c r="X154" s="2694"/>
      <c r="Y154" s="2694"/>
      <c r="Z154" s="2694"/>
      <c r="AA154" s="2694"/>
      <c r="AB154" s="3028"/>
      <c r="AC154" s="2694"/>
      <c r="AF154" s="84"/>
      <c r="AG154" s="84"/>
    </row>
    <row r="155" spans="1:37" ht="40.799999999999997" customHeight="1">
      <c r="A155" s="2879"/>
      <c r="B155" s="2703"/>
      <c r="C155" s="2700"/>
      <c r="D155" s="1977"/>
      <c r="E155" s="725" t="s">
        <v>1067</v>
      </c>
      <c r="F155" s="964">
        <f>SUM(F152:F154)</f>
        <v>17.239999999999998</v>
      </c>
      <c r="G155" s="965">
        <f t="shared" si="153"/>
        <v>-0.67633410672853822</v>
      </c>
      <c r="H155" s="964">
        <f t="shared" ref="H155:P155" si="158">SUM(H152:H154)</f>
        <v>0</v>
      </c>
      <c r="I155" s="728">
        <f t="shared" si="158"/>
        <v>5.58</v>
      </c>
      <c r="J155" s="729">
        <f t="shared" si="129"/>
        <v>1.3781362007168458</v>
      </c>
      <c r="K155" s="964">
        <f t="shared" si="158"/>
        <v>0</v>
      </c>
      <c r="L155" s="728">
        <f t="shared" si="158"/>
        <v>13.27</v>
      </c>
      <c r="M155" s="728">
        <f t="shared" si="158"/>
        <v>17.885000000000002</v>
      </c>
      <c r="N155" s="1558">
        <f t="shared" ref="N155" si="159">SUM(N152:N154)</f>
        <v>17.855</v>
      </c>
      <c r="O155" s="2162">
        <f t="shared" si="145"/>
        <v>0.34777694046721946</v>
      </c>
      <c r="P155" s="728">
        <f t="shared" si="158"/>
        <v>17.885000000000002</v>
      </c>
      <c r="Q155" s="1558">
        <f t="shared" ref="Q155:R155" si="160">SUM(Q152:Q154)</f>
        <v>17.855</v>
      </c>
      <c r="R155" s="728">
        <f t="shared" si="160"/>
        <v>17.885000000000002</v>
      </c>
      <c r="S155" s="1558">
        <f t="shared" ref="S155" si="161">SUM(S152:S154)</f>
        <v>17.855</v>
      </c>
      <c r="T155" s="2729"/>
      <c r="U155" s="2734"/>
      <c r="V155" s="2694"/>
      <c r="W155" s="2694"/>
      <c r="X155" s="2694"/>
      <c r="Y155" s="2694"/>
      <c r="Z155" s="2694"/>
      <c r="AA155" s="2694"/>
      <c r="AB155" s="3028"/>
      <c r="AC155" s="2694"/>
      <c r="AF155" s="84"/>
      <c r="AG155" s="84"/>
      <c r="AK155" s="113">
        <f>P136+P143+P164+P212+P232+P238+P254+P268</f>
        <v>128.29499999999999</v>
      </c>
    </row>
    <row r="156" spans="1:37" ht="48" hidden="1" customHeight="1">
      <c r="A156" s="899"/>
      <c r="B156" s="901" t="s">
        <v>1411</v>
      </c>
      <c r="C156" s="1024"/>
      <c r="D156" s="1024"/>
      <c r="E156" s="780" t="s">
        <v>1111</v>
      </c>
      <c r="F156" s="1011">
        <v>5.7</v>
      </c>
      <c r="G156" s="1011"/>
      <c r="H156" s="1011"/>
      <c r="I156" s="689">
        <v>0</v>
      </c>
      <c r="J156" s="756" t="e">
        <f t="shared" si="129"/>
        <v>#DIV/0!</v>
      </c>
      <c r="K156" s="1011"/>
      <c r="L156" s="689"/>
      <c r="M156" s="689"/>
      <c r="N156" s="1562"/>
      <c r="O156" s="2149" t="e">
        <f t="shared" si="145"/>
        <v>#DIV/0!</v>
      </c>
      <c r="P156" s="689"/>
      <c r="Q156" s="1562"/>
      <c r="R156" s="689"/>
      <c r="S156" s="1562"/>
      <c r="T156" s="2729"/>
      <c r="U156" s="686"/>
      <c r="V156" s="688"/>
      <c r="W156" s="688"/>
      <c r="X156" s="688"/>
      <c r="Y156" s="688"/>
      <c r="Z156" s="688"/>
      <c r="AA156" s="688"/>
      <c r="AB156" s="1105"/>
      <c r="AC156" s="2694"/>
      <c r="AF156" s="84"/>
      <c r="AG156" s="84"/>
    </row>
    <row r="157" spans="1:37" ht="33.75" hidden="1" customHeight="1">
      <c r="A157" s="2892" t="s">
        <v>2021</v>
      </c>
      <c r="B157" s="3054" t="s">
        <v>3596</v>
      </c>
      <c r="C157" s="2700">
        <v>300079075</v>
      </c>
      <c r="D157" s="1977"/>
      <c r="E157" s="706" t="s">
        <v>470</v>
      </c>
      <c r="F157" s="970"/>
      <c r="G157" s="970"/>
      <c r="H157" s="970"/>
      <c r="I157" s="722"/>
      <c r="J157" s="723"/>
      <c r="K157" s="970"/>
      <c r="L157" s="722"/>
      <c r="M157" s="722"/>
      <c r="N157" s="1557"/>
      <c r="O157" s="2150" t="e">
        <f t="shared" si="145"/>
        <v>#DIV/0!</v>
      </c>
      <c r="P157" s="722"/>
      <c r="Q157" s="1557"/>
      <c r="R157" s="722"/>
      <c r="S157" s="1557"/>
      <c r="T157" s="2729"/>
      <c r="U157" s="2704" t="s">
        <v>2780</v>
      </c>
      <c r="V157" s="2694" t="s">
        <v>1472</v>
      </c>
      <c r="W157" s="2694" t="s">
        <v>1435</v>
      </c>
      <c r="X157" s="2694" t="s">
        <v>1423</v>
      </c>
      <c r="Y157" s="2694" t="s">
        <v>433</v>
      </c>
      <c r="Z157" s="2694" t="s">
        <v>433</v>
      </c>
      <c r="AA157" s="2694" t="s">
        <v>433</v>
      </c>
      <c r="AB157" s="3028" t="s">
        <v>433</v>
      </c>
      <c r="AC157" s="2694"/>
      <c r="AF157" s="84"/>
      <c r="AG157" s="84"/>
    </row>
    <row r="158" spans="1:37" ht="33" hidden="1" customHeight="1">
      <c r="A158" s="2892"/>
      <c r="B158" s="3054"/>
      <c r="C158" s="2700"/>
      <c r="D158" s="1977"/>
      <c r="E158" s="706" t="s">
        <v>1111</v>
      </c>
      <c r="F158" s="970">
        <v>38.725000000000001</v>
      </c>
      <c r="G158" s="1010"/>
      <c r="H158" s="1010"/>
      <c r="I158" s="722">
        <f>22.053+2.098</f>
        <v>24.151</v>
      </c>
      <c r="J158" s="723">
        <f t="shared" si="129"/>
        <v>-1</v>
      </c>
      <c r="K158" s="970"/>
      <c r="L158" s="722"/>
      <c r="M158" s="722"/>
      <c r="N158" s="1557"/>
      <c r="O158" s="2150" t="e">
        <f t="shared" si="145"/>
        <v>#DIV/0!</v>
      </c>
      <c r="P158" s="722"/>
      <c r="Q158" s="1557"/>
      <c r="R158" s="722"/>
      <c r="S158" s="1557"/>
      <c r="T158" s="2729"/>
      <c r="U158" s="2734"/>
      <c r="V158" s="2694"/>
      <c r="W158" s="2694"/>
      <c r="X158" s="2694"/>
      <c r="Y158" s="2694"/>
      <c r="Z158" s="2694"/>
      <c r="AA158" s="2694"/>
      <c r="AB158" s="3028"/>
      <c r="AC158" s="2694"/>
      <c r="AF158" s="84"/>
      <c r="AG158" s="84"/>
    </row>
    <row r="159" spans="1:37" ht="36.75" hidden="1" customHeight="1">
      <c r="A159" s="2892"/>
      <c r="B159" s="3054"/>
      <c r="C159" s="2700"/>
      <c r="D159" s="1977"/>
      <c r="E159" s="725" t="s">
        <v>1067</v>
      </c>
      <c r="F159" s="964">
        <f>SUM(F157:F158)</f>
        <v>38.725000000000001</v>
      </c>
      <c r="G159" s="964">
        <f t="shared" ref="G159:P159" si="162">SUM(G157:G158)</f>
        <v>0</v>
      </c>
      <c r="H159" s="964">
        <f t="shared" si="162"/>
        <v>0</v>
      </c>
      <c r="I159" s="728">
        <f t="shared" si="162"/>
        <v>24.151</v>
      </c>
      <c r="J159" s="729">
        <f t="shared" si="129"/>
        <v>-1</v>
      </c>
      <c r="K159" s="964">
        <f t="shared" si="162"/>
        <v>0</v>
      </c>
      <c r="L159" s="728">
        <f t="shared" si="162"/>
        <v>0</v>
      </c>
      <c r="M159" s="728">
        <f t="shared" si="162"/>
        <v>0</v>
      </c>
      <c r="N159" s="1558">
        <f t="shared" ref="N159" si="163">SUM(N157:N158)</f>
        <v>0</v>
      </c>
      <c r="O159" s="2162" t="e">
        <f t="shared" si="145"/>
        <v>#DIV/0!</v>
      </c>
      <c r="P159" s="728">
        <f t="shared" si="162"/>
        <v>0</v>
      </c>
      <c r="Q159" s="1558">
        <f t="shared" ref="Q159:R159" si="164">SUM(Q157:Q158)</f>
        <v>0</v>
      </c>
      <c r="R159" s="728">
        <f t="shared" si="164"/>
        <v>0</v>
      </c>
      <c r="S159" s="1558">
        <f t="shared" ref="S159" si="165">SUM(S157:S158)</f>
        <v>0</v>
      </c>
      <c r="T159" s="2729"/>
      <c r="U159" s="2734"/>
      <c r="V159" s="2694"/>
      <c r="W159" s="2694"/>
      <c r="X159" s="2694"/>
      <c r="Y159" s="2694"/>
      <c r="Z159" s="2694"/>
      <c r="AA159" s="2694"/>
      <c r="AB159" s="3028"/>
      <c r="AC159" s="2694"/>
      <c r="AF159" s="84"/>
      <c r="AG159" s="84"/>
    </row>
    <row r="160" spans="1:37" ht="33.75" customHeight="1">
      <c r="A160" s="3044" t="s">
        <v>2022</v>
      </c>
      <c r="B160" s="3044" t="s">
        <v>1229</v>
      </c>
      <c r="C160" s="3004"/>
      <c r="D160" s="969"/>
      <c r="E160" s="3004"/>
      <c r="F160" s="960">
        <f>SUM(F163,F168,F181,F188,F192,F196,F204,F210,F215,F225,F229,F236,F241,F258,)</f>
        <v>991.94299999999998</v>
      </c>
      <c r="G160" s="961">
        <f t="shared" ref="G160:G162" si="166">I160/F160-1</f>
        <v>1.6915286463032642E-2</v>
      </c>
      <c r="H160" s="960">
        <f>SUM(H163,H168,H181,H188,H192,H196,H204,H210,H215,H225,H229,H236,H241,H258,)</f>
        <v>671.97</v>
      </c>
      <c r="I160" s="3003">
        <f>SUM(I163,I168,I181,I188,I192,I196,I204,I210,I215,I225,I229,I236,I241,I258,I272)</f>
        <v>1008.722</v>
      </c>
      <c r="J160" s="3008">
        <f t="shared" si="129"/>
        <v>1.0405364411602007</v>
      </c>
      <c r="K160" s="3009"/>
      <c r="L160" s="3003">
        <f t="shared" ref="L160:S160" si="167">SUM(L163,L168,L181,L188,L192,L196,L204,L210,L215,L225,L229,L236,L241,L258,L272)</f>
        <v>2058.3339999999998</v>
      </c>
      <c r="M160" s="3003">
        <f t="shared" si="167"/>
        <v>3647.692</v>
      </c>
      <c r="N160" s="3007">
        <f t="shared" si="167"/>
        <v>3308.8989999999994</v>
      </c>
      <c r="O160" s="3005">
        <f t="shared" si="145"/>
        <v>0.77215748270203</v>
      </c>
      <c r="P160" s="3003">
        <f t="shared" si="167"/>
        <v>3258.4050000000002</v>
      </c>
      <c r="Q160" s="3007">
        <f t="shared" si="167"/>
        <v>3021.1890000000003</v>
      </c>
      <c r="R160" s="3003">
        <f t="shared" si="167"/>
        <v>1087.5885000000001</v>
      </c>
      <c r="S160" s="3007">
        <f t="shared" si="167"/>
        <v>996.28199999999993</v>
      </c>
      <c r="T160" s="3014" t="s">
        <v>2274</v>
      </c>
      <c r="U160" s="3012"/>
      <c r="V160" s="3013" t="s">
        <v>1731</v>
      </c>
      <c r="W160" s="671" t="s">
        <v>2606</v>
      </c>
      <c r="X160" s="671">
        <v>2200</v>
      </c>
      <c r="Y160" s="671">
        <v>2300</v>
      </c>
      <c r="Z160" s="671">
        <v>2400</v>
      </c>
      <c r="AA160" s="671" t="s">
        <v>3530</v>
      </c>
      <c r="AB160" s="1096" t="s">
        <v>3530</v>
      </c>
      <c r="AC160" s="2694"/>
      <c r="AF160" s="84"/>
      <c r="AG160" s="84"/>
    </row>
    <row r="161" spans="1:33" ht="172.2" customHeight="1">
      <c r="A161" s="3044"/>
      <c r="B161" s="3044"/>
      <c r="C161" s="3004"/>
      <c r="D161" s="969"/>
      <c r="E161" s="3004"/>
      <c r="F161" s="960"/>
      <c r="G161" s="961"/>
      <c r="H161" s="960"/>
      <c r="I161" s="3003"/>
      <c r="J161" s="3008"/>
      <c r="K161" s="3009"/>
      <c r="L161" s="3003"/>
      <c r="M161" s="3003"/>
      <c r="N161" s="3007"/>
      <c r="O161" s="3006" t="e">
        <f t="shared" si="145"/>
        <v>#DIV/0!</v>
      </c>
      <c r="P161" s="3003"/>
      <c r="Q161" s="3007"/>
      <c r="R161" s="3003"/>
      <c r="S161" s="3007"/>
      <c r="T161" s="3014"/>
      <c r="U161" s="3012"/>
      <c r="V161" s="3013"/>
      <c r="W161" s="671" t="s">
        <v>3551</v>
      </c>
      <c r="X161" s="671"/>
      <c r="Y161" s="671" t="s">
        <v>1372</v>
      </c>
      <c r="Z161" s="671" t="s">
        <v>1372</v>
      </c>
      <c r="AA161" s="671" t="s">
        <v>1372</v>
      </c>
      <c r="AB161" s="1096" t="s">
        <v>1372</v>
      </c>
      <c r="AC161" s="2694"/>
      <c r="AF161" s="84"/>
      <c r="AG161" s="84"/>
    </row>
    <row r="162" spans="1:33" ht="50.4" customHeight="1">
      <c r="A162" s="2879" t="s">
        <v>2023</v>
      </c>
      <c r="B162" s="2703" t="s">
        <v>3731</v>
      </c>
      <c r="C162" s="2700">
        <v>188711925</v>
      </c>
      <c r="D162" s="2998" t="s">
        <v>3508</v>
      </c>
      <c r="E162" s="706" t="s">
        <v>470</v>
      </c>
      <c r="F162" s="970">
        <v>27</v>
      </c>
      <c r="G162" s="973">
        <f t="shared" si="166"/>
        <v>0</v>
      </c>
      <c r="H162" s="970">
        <v>27</v>
      </c>
      <c r="I162" s="722">
        <v>27</v>
      </c>
      <c r="J162" s="723">
        <f t="shared" si="129"/>
        <v>-0.12962962962962965</v>
      </c>
      <c r="K162" s="970">
        <v>23.5</v>
      </c>
      <c r="L162" s="722">
        <v>23.5</v>
      </c>
      <c r="M162" s="722">
        <v>21.25</v>
      </c>
      <c r="N162" s="1557">
        <v>21.25</v>
      </c>
      <c r="O162" s="2150">
        <f t="shared" si="145"/>
        <v>-9.5744680851063829E-2</v>
      </c>
      <c r="P162" s="974">
        <v>21.25</v>
      </c>
      <c r="Q162" s="1557">
        <v>21.25</v>
      </c>
      <c r="R162" s="974">
        <v>20</v>
      </c>
      <c r="S162" s="1557">
        <v>20</v>
      </c>
      <c r="T162" s="2729" t="s">
        <v>2217</v>
      </c>
      <c r="U162" s="2704" t="s">
        <v>4297</v>
      </c>
      <c r="V162" s="2694" t="s">
        <v>1473</v>
      </c>
      <c r="W162" s="2694" t="s">
        <v>1436</v>
      </c>
      <c r="X162" s="2694" t="s">
        <v>432</v>
      </c>
      <c r="Y162" s="2694" t="s">
        <v>432</v>
      </c>
      <c r="Z162" s="2694" t="s">
        <v>432</v>
      </c>
      <c r="AA162" s="2694" t="s">
        <v>432</v>
      </c>
      <c r="AB162" s="3028" t="s">
        <v>432</v>
      </c>
      <c r="AC162" s="2694"/>
      <c r="AF162" s="84"/>
      <c r="AG162" s="84"/>
    </row>
    <row r="163" spans="1:33" ht="41.4" customHeight="1">
      <c r="A163" s="2879"/>
      <c r="B163" s="2703">
        <f>SUM(B162:B162)</f>
        <v>0</v>
      </c>
      <c r="C163" s="2700">
        <f>SUM(C162:C162)</f>
        <v>188711925</v>
      </c>
      <c r="D163" s="2999"/>
      <c r="E163" s="725" t="s">
        <v>1067</v>
      </c>
      <c r="F163" s="964">
        <f>F162</f>
        <v>27</v>
      </c>
      <c r="G163" s="964">
        <f t="shared" ref="G163:P163" si="168">G162</f>
        <v>0</v>
      </c>
      <c r="H163" s="964">
        <f t="shared" si="168"/>
        <v>27</v>
      </c>
      <c r="I163" s="728">
        <f t="shared" si="168"/>
        <v>27</v>
      </c>
      <c r="J163" s="729">
        <f t="shared" si="129"/>
        <v>-0.12962962962962965</v>
      </c>
      <c r="K163" s="964">
        <f t="shared" si="168"/>
        <v>23.5</v>
      </c>
      <c r="L163" s="728">
        <f t="shared" si="168"/>
        <v>23.5</v>
      </c>
      <c r="M163" s="728">
        <f t="shared" si="168"/>
        <v>21.25</v>
      </c>
      <c r="N163" s="1558">
        <f t="shared" ref="N163" si="169">N162</f>
        <v>21.25</v>
      </c>
      <c r="O163" s="2162">
        <f t="shared" si="145"/>
        <v>-9.5744680851063829E-2</v>
      </c>
      <c r="P163" s="728">
        <f t="shared" si="168"/>
        <v>21.25</v>
      </c>
      <c r="Q163" s="1558">
        <f t="shared" ref="Q163:R163" si="170">Q162</f>
        <v>21.25</v>
      </c>
      <c r="R163" s="728">
        <f t="shared" si="170"/>
        <v>20</v>
      </c>
      <c r="S163" s="1558">
        <f t="shared" ref="S163" si="171">S162</f>
        <v>20</v>
      </c>
      <c r="T163" s="2729"/>
      <c r="U163" s="2734"/>
      <c r="V163" s="2694"/>
      <c r="W163" s="2694"/>
      <c r="X163" s="2694"/>
      <c r="Y163" s="2694"/>
      <c r="Z163" s="2694"/>
      <c r="AA163" s="2694"/>
      <c r="AB163" s="3028"/>
      <c r="AC163" s="2694"/>
      <c r="AF163" s="84"/>
      <c r="AG163" s="84"/>
    </row>
    <row r="164" spans="1:33" ht="27.6" customHeight="1">
      <c r="A164" s="2879" t="s">
        <v>3368</v>
      </c>
      <c r="B164" s="2703" t="s">
        <v>3713</v>
      </c>
      <c r="C164" s="2700">
        <v>188711925</v>
      </c>
      <c r="D164" s="1977"/>
      <c r="E164" s="706" t="s">
        <v>48</v>
      </c>
      <c r="F164" s="970"/>
      <c r="G164" s="970"/>
      <c r="H164" s="970"/>
      <c r="I164" s="722"/>
      <c r="J164" s="723"/>
      <c r="K164" s="970">
        <f>SUM(K169,K173)</f>
        <v>16.882000000000001</v>
      </c>
      <c r="L164" s="974">
        <f t="shared" ref="L164:N164" si="172">SUM(L169,L173)</f>
        <v>0</v>
      </c>
      <c r="M164" s="974"/>
      <c r="N164" s="1557">
        <f t="shared" si="172"/>
        <v>21.885000000000002</v>
      </c>
      <c r="O164" s="2150">
        <f>(M164-L165)/L165</f>
        <v>-1</v>
      </c>
      <c r="P164" s="1903"/>
      <c r="Q164" s="1557">
        <f t="shared" ref="Q164:S164" si="173">SUM(Q169,Q173)</f>
        <v>87.772999999999996</v>
      </c>
      <c r="R164" s="974"/>
      <c r="S164" s="1557">
        <f t="shared" si="173"/>
        <v>22.725999999999999</v>
      </c>
      <c r="T164" s="2729" t="s">
        <v>2238</v>
      </c>
      <c r="U164" s="2704" t="s">
        <v>4392</v>
      </c>
      <c r="V164" s="2694" t="s">
        <v>1474</v>
      </c>
      <c r="W164" s="2694" t="s">
        <v>3732</v>
      </c>
      <c r="X164" s="2694" t="s">
        <v>433</v>
      </c>
      <c r="Y164" s="2694" t="s">
        <v>433</v>
      </c>
      <c r="Z164" s="2694" t="s">
        <v>433</v>
      </c>
      <c r="AA164" s="2694" t="s">
        <v>433</v>
      </c>
      <c r="AB164" s="3028" t="s">
        <v>324</v>
      </c>
      <c r="AC164" s="2694" t="s">
        <v>2239</v>
      </c>
      <c r="AF164" s="84"/>
      <c r="AG164" s="84"/>
    </row>
    <row r="165" spans="1:33" ht="27.6" customHeight="1">
      <c r="A165" s="2879"/>
      <c r="B165" s="2703"/>
      <c r="C165" s="2700"/>
      <c r="D165" s="1977"/>
      <c r="E165" s="706" t="s">
        <v>2747</v>
      </c>
      <c r="F165" s="970"/>
      <c r="G165" s="970"/>
      <c r="H165" s="970"/>
      <c r="I165" s="722"/>
      <c r="J165" s="723"/>
      <c r="K165" s="970">
        <f>SUM(K170,K174)</f>
        <v>0</v>
      </c>
      <c r="L165" s="974">
        <f>SUM(L170,L174)</f>
        <v>16.882999999999999</v>
      </c>
      <c r="M165" s="974">
        <v>21.885000000000002</v>
      </c>
      <c r="N165" s="1557">
        <f>SUM(N170,N174)</f>
        <v>0</v>
      </c>
      <c r="O165" s="2150">
        <f t="shared" si="145"/>
        <v>0.29627435882248432</v>
      </c>
      <c r="P165" s="974">
        <f t="shared" ref="P165" si="174">SUM(P170,P174)</f>
        <v>0</v>
      </c>
      <c r="Q165" s="1557">
        <f>SUM(Q170,Q174)</f>
        <v>0</v>
      </c>
      <c r="R165" s="974">
        <f t="shared" ref="R165:S166" si="175">SUM(R170,R174)</f>
        <v>0</v>
      </c>
      <c r="S165" s="1557">
        <f t="shared" si="175"/>
        <v>0</v>
      </c>
      <c r="T165" s="2729"/>
      <c r="U165" s="2704"/>
      <c r="V165" s="2694"/>
      <c r="W165" s="2694"/>
      <c r="X165" s="2694"/>
      <c r="Y165" s="2694"/>
      <c r="Z165" s="2694"/>
      <c r="AA165" s="2694"/>
      <c r="AB165" s="3028"/>
      <c r="AC165" s="2694"/>
      <c r="AF165" s="84"/>
      <c r="AG165" s="84"/>
    </row>
    <row r="166" spans="1:33" ht="27" customHeight="1">
      <c r="A166" s="2879"/>
      <c r="B166" s="2703"/>
      <c r="C166" s="2700"/>
      <c r="D166" s="1977"/>
      <c r="E166" s="706" t="s">
        <v>246</v>
      </c>
      <c r="F166" s="970"/>
      <c r="G166" s="970"/>
      <c r="H166" s="970"/>
      <c r="I166" s="722"/>
      <c r="J166" s="723"/>
      <c r="K166" s="970">
        <f>SUM(K171,K175)</f>
        <v>95.668999999999997</v>
      </c>
      <c r="L166" s="974">
        <f t="shared" ref="L166:Q166" si="176">SUM(L171,L175)</f>
        <v>95.668999999999997</v>
      </c>
      <c r="M166" s="974">
        <f>SUM(M171,M175)</f>
        <v>118.256</v>
      </c>
      <c r="N166" s="1557">
        <f t="shared" ref="N166" si="177">SUM(N171,N175)</f>
        <v>118.256</v>
      </c>
      <c r="O166" s="2150">
        <f t="shared" si="145"/>
        <v>0.23609528687453621</v>
      </c>
      <c r="P166" s="974">
        <f>SUM(P171,P175)</f>
        <v>474.33699999999999</v>
      </c>
      <c r="Q166" s="1557">
        <f t="shared" si="176"/>
        <v>474.33699999999999</v>
      </c>
      <c r="R166" s="974">
        <f t="shared" si="175"/>
        <v>122.819</v>
      </c>
      <c r="S166" s="1557">
        <f t="shared" si="175"/>
        <v>122.819</v>
      </c>
      <c r="T166" s="2729"/>
      <c r="U166" s="2704"/>
      <c r="V166" s="2694"/>
      <c r="W166" s="2694"/>
      <c r="X166" s="2694"/>
      <c r="Y166" s="2694"/>
      <c r="Z166" s="2694"/>
      <c r="AA166" s="2694"/>
      <c r="AB166" s="3028"/>
      <c r="AC166" s="2694"/>
      <c r="AF166" s="84"/>
      <c r="AG166" s="84"/>
    </row>
    <row r="167" spans="1:33" ht="27" customHeight="1">
      <c r="A167" s="2879"/>
      <c r="B167" s="2703"/>
      <c r="C167" s="2700"/>
      <c r="D167" s="1977"/>
      <c r="E167" s="706" t="s">
        <v>1358</v>
      </c>
      <c r="F167" s="970"/>
      <c r="G167" s="970"/>
      <c r="H167" s="970"/>
      <c r="I167" s="722"/>
      <c r="J167" s="1014"/>
      <c r="K167" s="970"/>
      <c r="L167" s="974"/>
      <c r="M167" s="974"/>
      <c r="N167" s="1557"/>
      <c r="O167" s="2150"/>
      <c r="P167" s="1903">
        <v>87.772999999999996</v>
      </c>
      <c r="Q167" s="1557"/>
      <c r="R167" s="974">
        <v>22.725999999999999</v>
      </c>
      <c r="S167" s="1557"/>
      <c r="T167" s="2729"/>
      <c r="U167" s="2704"/>
      <c r="V167" s="2694"/>
      <c r="W167" s="2694"/>
      <c r="X167" s="2694"/>
      <c r="Y167" s="2694"/>
      <c r="Z167" s="2694"/>
      <c r="AA167" s="2694"/>
      <c r="AB167" s="3028"/>
      <c r="AC167" s="2694"/>
      <c r="AF167" s="84"/>
      <c r="AG167" s="84"/>
    </row>
    <row r="168" spans="1:33" ht="43.5" customHeight="1">
      <c r="A168" s="2879"/>
      <c r="B168" s="2703">
        <f>SUM(B164:B164)</f>
        <v>0</v>
      </c>
      <c r="C168" s="2700">
        <f>SUM(C164:C164)</f>
        <v>188711925</v>
      </c>
      <c r="D168" s="1977"/>
      <c r="E168" s="725" t="s">
        <v>1067</v>
      </c>
      <c r="F168" s="964">
        <f>F164</f>
        <v>0</v>
      </c>
      <c r="G168" s="964">
        <f t="shared" ref="G168:H168" si="178">G164</f>
        <v>0</v>
      </c>
      <c r="H168" s="964">
        <f t="shared" si="178"/>
        <v>0</v>
      </c>
      <c r="I168" s="728">
        <f>I164</f>
        <v>0</v>
      </c>
      <c r="J168" s="729"/>
      <c r="K168" s="964">
        <f>SUM(K164,K165,K166,)</f>
        <v>112.551</v>
      </c>
      <c r="L168" s="988">
        <f t="shared" ref="L168:M168" si="179">SUM(L164,L165,L166,)</f>
        <v>112.55199999999999</v>
      </c>
      <c r="M168" s="988">
        <f t="shared" si="179"/>
        <v>140.14099999999999</v>
      </c>
      <c r="N168" s="1558">
        <f t="shared" ref="N168" si="180">SUM(N164,N165,N166,)</f>
        <v>140.14099999999999</v>
      </c>
      <c r="O168" s="2162">
        <f t="shared" si="145"/>
        <v>0.24512225460231715</v>
      </c>
      <c r="P168" s="988">
        <f>SUM(P164,P165,P166,P167)</f>
        <v>562.11</v>
      </c>
      <c r="Q168" s="1558">
        <f t="shared" ref="Q168" si="181">SUM(Q164,Q165,Q166,)</f>
        <v>562.11</v>
      </c>
      <c r="R168" s="988">
        <f>SUM(R164,R165,R166,R167)</f>
        <v>145.54500000000002</v>
      </c>
      <c r="S168" s="1558">
        <f>SUM(S164,S165,S167,S166)</f>
        <v>145.54500000000002</v>
      </c>
      <c r="T168" s="2729"/>
      <c r="U168" s="2734"/>
      <c r="V168" s="2694"/>
      <c r="W168" s="2694"/>
      <c r="X168" s="2694"/>
      <c r="Y168" s="2694"/>
      <c r="Z168" s="2694"/>
      <c r="AA168" s="2694"/>
      <c r="AB168" s="3028"/>
      <c r="AC168" s="2694"/>
      <c r="AF168" s="84"/>
      <c r="AG168" s="84"/>
    </row>
    <row r="169" spans="1:33" ht="29.25" hidden="1" customHeight="1">
      <c r="A169" s="2876" t="s">
        <v>3125</v>
      </c>
      <c r="B169" s="2826" t="s">
        <v>2540</v>
      </c>
      <c r="C169" s="976"/>
      <c r="D169" s="976"/>
      <c r="E169" s="682" t="s">
        <v>470</v>
      </c>
      <c r="F169" s="755"/>
      <c r="G169" s="755"/>
      <c r="H169" s="755"/>
      <c r="I169" s="681"/>
      <c r="J169" s="681"/>
      <c r="K169" s="966">
        <v>0.3</v>
      </c>
      <c r="L169" s="681"/>
      <c r="M169" s="946">
        <v>0.65500000000000003</v>
      </c>
      <c r="N169" s="1559">
        <v>0.65500000000000003</v>
      </c>
      <c r="O169" s="2146"/>
      <c r="P169" s="946">
        <v>1.7170000000000001</v>
      </c>
      <c r="Q169" s="1559">
        <v>1.7170000000000001</v>
      </c>
      <c r="R169" s="946">
        <v>0.33500000000000002</v>
      </c>
      <c r="S169" s="1559">
        <v>0.33500000000000002</v>
      </c>
      <c r="T169" s="499"/>
      <c r="U169" s="681"/>
      <c r="V169" s="688"/>
      <c r="W169" s="688"/>
      <c r="X169" s="688"/>
      <c r="Y169" s="688"/>
      <c r="Z169" s="688"/>
      <c r="AA169" s="688"/>
      <c r="AB169" s="1105"/>
      <c r="AC169" s="688"/>
      <c r="AF169" s="84"/>
      <c r="AG169" s="84"/>
    </row>
    <row r="170" spans="1:33" ht="27.75" hidden="1" customHeight="1">
      <c r="A170" s="2874"/>
      <c r="B170" s="2826"/>
      <c r="C170" s="976"/>
      <c r="D170" s="976"/>
      <c r="E170" s="682" t="s">
        <v>2747</v>
      </c>
      <c r="F170" s="755"/>
      <c r="G170" s="755"/>
      <c r="H170" s="755"/>
      <c r="I170" s="681"/>
      <c r="J170" s="681"/>
      <c r="K170" s="966"/>
      <c r="L170" s="681">
        <v>0.30099999999999999</v>
      </c>
      <c r="M170" s="946"/>
      <c r="N170" s="1559"/>
      <c r="O170" s="2146">
        <f t="shared" si="145"/>
        <v>-1</v>
      </c>
      <c r="P170" s="946"/>
      <c r="Q170" s="1559"/>
      <c r="R170" s="946"/>
      <c r="S170" s="1559"/>
      <c r="T170" s="499"/>
      <c r="U170" s="681"/>
      <c r="V170" s="688"/>
      <c r="W170" s="688"/>
      <c r="X170" s="688"/>
      <c r="Y170" s="688"/>
      <c r="Z170" s="688"/>
      <c r="AA170" s="688"/>
      <c r="AB170" s="1105"/>
      <c r="AC170" s="688"/>
      <c r="AF170" s="84"/>
      <c r="AG170" s="84"/>
    </row>
    <row r="171" spans="1:33" ht="26.25" hidden="1" customHeight="1">
      <c r="A171" s="2874"/>
      <c r="B171" s="2826"/>
      <c r="C171" s="976"/>
      <c r="D171" s="976"/>
      <c r="E171" s="682" t="s">
        <v>246</v>
      </c>
      <c r="F171" s="755"/>
      <c r="G171" s="755"/>
      <c r="H171" s="755"/>
      <c r="I171" s="681"/>
      <c r="J171" s="681"/>
      <c r="K171" s="966">
        <v>1.7030000000000001</v>
      </c>
      <c r="L171" s="681">
        <v>1.7030000000000001</v>
      </c>
      <c r="M171" s="946">
        <v>3.532</v>
      </c>
      <c r="N171" s="1559">
        <v>3.532</v>
      </c>
      <c r="O171" s="2146">
        <f t="shared" si="145"/>
        <v>1.0739870816206694</v>
      </c>
      <c r="P171" s="946">
        <v>9.282</v>
      </c>
      <c r="Q171" s="1559">
        <v>9.282</v>
      </c>
      <c r="R171" s="946">
        <v>1.8149999999999999</v>
      </c>
      <c r="S171" s="1559">
        <v>1.8149999999999999</v>
      </c>
      <c r="T171" s="499"/>
      <c r="U171" s="681"/>
      <c r="V171" s="688"/>
      <c r="W171" s="688"/>
      <c r="X171" s="688"/>
      <c r="Y171" s="688"/>
      <c r="Z171" s="688"/>
      <c r="AA171" s="688"/>
      <c r="AB171" s="1105"/>
      <c r="AC171" s="688"/>
      <c r="AF171" s="84"/>
      <c r="AG171" s="84"/>
    </row>
    <row r="172" spans="1:33" ht="31.5" hidden="1" customHeight="1">
      <c r="A172" s="2874"/>
      <c r="B172" s="2826"/>
      <c r="C172" s="976"/>
      <c r="D172" s="976"/>
      <c r="E172" s="700" t="s">
        <v>1067</v>
      </c>
      <c r="F172" s="755"/>
      <c r="G172" s="755"/>
      <c r="H172" s="755"/>
      <c r="I172" s="681"/>
      <c r="J172" s="681"/>
      <c r="K172" s="966">
        <f>SUM(K169,K170,K171,)</f>
        <v>2.0030000000000001</v>
      </c>
      <c r="L172" s="681">
        <f>SUM(L169,L170,L171,)</f>
        <v>2.004</v>
      </c>
      <c r="M172" s="681">
        <f t="shared" ref="M172:P172" si="182">SUM(M169,M170,M171,)</f>
        <v>4.1870000000000003</v>
      </c>
      <c r="N172" s="1559">
        <f>SUM(N169,N170,N171,)</f>
        <v>4.1870000000000003</v>
      </c>
      <c r="O172" s="2146">
        <f t="shared" si="145"/>
        <v>1.0893213572854292</v>
      </c>
      <c r="P172" s="681">
        <f t="shared" si="182"/>
        <v>10.999000000000001</v>
      </c>
      <c r="Q172" s="1559">
        <f t="shared" ref="Q172:R172" si="183">SUM(Q169,Q170,Q171,)</f>
        <v>10.999000000000001</v>
      </c>
      <c r="R172" s="681">
        <f t="shared" si="183"/>
        <v>2.15</v>
      </c>
      <c r="S172" s="1559">
        <f t="shared" ref="S172" si="184">SUM(S169,S170,S171,)</f>
        <v>2.15</v>
      </c>
      <c r="T172" s="499"/>
      <c r="U172" s="681"/>
      <c r="V172" s="688"/>
      <c r="W172" s="688"/>
      <c r="X172" s="688"/>
      <c r="Y172" s="688"/>
      <c r="Z172" s="688"/>
      <c r="AA172" s="688"/>
      <c r="AB172" s="1105"/>
      <c r="AC172" s="688"/>
      <c r="AF172" s="84"/>
      <c r="AG172" s="84"/>
    </row>
    <row r="173" spans="1:33" ht="30" hidden="1" customHeight="1">
      <c r="A173" s="3016" t="s">
        <v>3126</v>
      </c>
      <c r="B173" s="3010" t="s">
        <v>1409</v>
      </c>
      <c r="C173" s="1016"/>
      <c r="D173" s="1016"/>
      <c r="E173" s="1017" t="s">
        <v>470</v>
      </c>
      <c r="F173" s="1018"/>
      <c r="G173" s="1018"/>
      <c r="H173" s="1018"/>
      <c r="I173" s="1019"/>
      <c r="J173" s="1019"/>
      <c r="K173" s="1020">
        <v>16.582000000000001</v>
      </c>
      <c r="L173" s="1019"/>
      <c r="M173" s="1402">
        <v>21.23</v>
      </c>
      <c r="N173" s="1563">
        <v>21.23</v>
      </c>
      <c r="O173" s="2148"/>
      <c r="P173" s="1402">
        <v>86.055999999999997</v>
      </c>
      <c r="Q173" s="1563">
        <v>86.055999999999997</v>
      </c>
      <c r="R173" s="1402">
        <v>22.390999999999998</v>
      </c>
      <c r="S173" s="1563">
        <v>22.390999999999998</v>
      </c>
      <c r="T173" s="501"/>
      <c r="U173" s="1019"/>
      <c r="V173" s="1022"/>
      <c r="W173" s="1022"/>
      <c r="X173" s="1022"/>
      <c r="Y173" s="1022"/>
      <c r="Z173" s="1022"/>
      <c r="AA173" s="1022"/>
      <c r="AB173" s="1859"/>
      <c r="AC173" s="1022"/>
      <c r="AF173" s="84"/>
      <c r="AG173" s="84"/>
    </row>
    <row r="174" spans="1:33" ht="29.25" hidden="1" customHeight="1">
      <c r="A174" s="3017"/>
      <c r="B174" s="3010"/>
      <c r="C174" s="1016"/>
      <c r="D174" s="1016"/>
      <c r="E174" s="1017" t="s">
        <v>2747</v>
      </c>
      <c r="F174" s="1018"/>
      <c r="G174" s="1018"/>
      <c r="H174" s="1018"/>
      <c r="I174" s="1019"/>
      <c r="J174" s="1019"/>
      <c r="K174" s="1020"/>
      <c r="L174" s="1019">
        <v>16.582000000000001</v>
      </c>
      <c r="M174" s="1402"/>
      <c r="N174" s="1563"/>
      <c r="O174" s="2148">
        <f t="shared" si="145"/>
        <v>-1</v>
      </c>
      <c r="P174" s="1402"/>
      <c r="Q174" s="1563"/>
      <c r="R174" s="1402"/>
      <c r="S174" s="1563"/>
      <c r="T174" s="501"/>
      <c r="U174" s="1019"/>
      <c r="V174" s="1022"/>
      <c r="W174" s="1022"/>
      <c r="X174" s="1022"/>
      <c r="Y174" s="1022"/>
      <c r="Z174" s="1022"/>
      <c r="AA174" s="1022"/>
      <c r="AB174" s="1859"/>
      <c r="AC174" s="1022"/>
      <c r="AF174" s="84"/>
      <c r="AG174" s="84"/>
    </row>
    <row r="175" spans="1:33" ht="27" hidden="1" customHeight="1">
      <c r="A175" s="3017"/>
      <c r="B175" s="3010"/>
      <c r="C175" s="1016"/>
      <c r="D175" s="1016"/>
      <c r="E175" s="1017" t="s">
        <v>246</v>
      </c>
      <c r="F175" s="1018"/>
      <c r="G175" s="1018"/>
      <c r="H175" s="1018"/>
      <c r="I175" s="1019"/>
      <c r="J175" s="1019"/>
      <c r="K175" s="1020">
        <v>93.965999999999994</v>
      </c>
      <c r="L175" s="1019">
        <v>93.965999999999994</v>
      </c>
      <c r="M175" s="1402">
        <v>114.724</v>
      </c>
      <c r="N175" s="1563">
        <v>114.724</v>
      </c>
      <c r="O175" s="2148">
        <f t="shared" si="145"/>
        <v>0.22090969073920366</v>
      </c>
      <c r="P175" s="1402">
        <v>465.05500000000001</v>
      </c>
      <c r="Q175" s="1563">
        <v>465.05500000000001</v>
      </c>
      <c r="R175" s="1402">
        <v>121.004</v>
      </c>
      <c r="S175" s="1563">
        <v>121.004</v>
      </c>
      <c r="T175" s="501"/>
      <c r="U175" s="1019"/>
      <c r="V175" s="1022"/>
      <c r="W175" s="1022"/>
      <c r="X175" s="1022"/>
      <c r="Y175" s="1022"/>
      <c r="Z175" s="1022"/>
      <c r="AA175" s="1022"/>
      <c r="AB175" s="1859"/>
      <c r="AC175" s="1022"/>
      <c r="AF175" s="84"/>
      <c r="AG175" s="84"/>
    </row>
    <row r="176" spans="1:33" ht="30" hidden="1" customHeight="1">
      <c r="A176" s="3017"/>
      <c r="B176" s="3010"/>
      <c r="C176" s="1016"/>
      <c r="D176" s="1016"/>
      <c r="E176" s="1023" t="s">
        <v>1067</v>
      </c>
      <c r="F176" s="1018"/>
      <c r="G176" s="1018"/>
      <c r="H176" s="1018"/>
      <c r="I176" s="1019"/>
      <c r="J176" s="1019"/>
      <c r="K176" s="1020">
        <f>SUM(K173,K174,K175)</f>
        <v>110.548</v>
      </c>
      <c r="L176" s="1019">
        <f>SUM(L173,L174,L175)</f>
        <v>110.548</v>
      </c>
      <c r="M176" s="1019">
        <f t="shared" ref="M176:P176" si="185">SUM(M173,M174,M175)</f>
        <v>135.95400000000001</v>
      </c>
      <c r="N176" s="1563">
        <f t="shared" ref="N176" si="186">SUM(N173,N174,N175)</f>
        <v>135.95400000000001</v>
      </c>
      <c r="O176" s="2148">
        <f t="shared" si="145"/>
        <v>0.22981872127944428</v>
      </c>
      <c r="P176" s="1019">
        <f t="shared" si="185"/>
        <v>551.11099999999999</v>
      </c>
      <c r="Q176" s="1563">
        <f t="shared" ref="Q176:R176" si="187">SUM(Q173,Q174,Q175)</f>
        <v>551.11099999999999</v>
      </c>
      <c r="R176" s="1019">
        <f t="shared" si="187"/>
        <v>143.39500000000001</v>
      </c>
      <c r="S176" s="1563">
        <f t="shared" ref="S176" si="188">SUM(S173,S174,S175)</f>
        <v>143.39500000000001</v>
      </c>
      <c r="T176" s="501"/>
      <c r="U176" s="1019"/>
      <c r="V176" s="1022"/>
      <c r="W176" s="1022"/>
      <c r="X176" s="1022"/>
      <c r="Y176" s="1022"/>
      <c r="Z176" s="1022"/>
      <c r="AA176" s="1022"/>
      <c r="AB176" s="1859"/>
      <c r="AC176" s="1022"/>
      <c r="AF176" s="84"/>
      <c r="AG176" s="84"/>
    </row>
    <row r="177" spans="1:33" ht="28.8" hidden="1" customHeight="1">
      <c r="A177" s="2879" t="s">
        <v>2024</v>
      </c>
      <c r="B177" s="2703" t="s">
        <v>1231</v>
      </c>
      <c r="C177" s="2700" t="s">
        <v>1071</v>
      </c>
      <c r="D177" s="1977"/>
      <c r="E177" s="706" t="s">
        <v>470</v>
      </c>
      <c r="F177" s="970"/>
      <c r="G177" s="973"/>
      <c r="H177" s="970"/>
      <c r="I177" s="722"/>
      <c r="J177" s="722"/>
      <c r="K177" s="970"/>
      <c r="L177" s="722"/>
      <c r="M177" s="722"/>
      <c r="N177" s="1557"/>
      <c r="O177" s="2150"/>
      <c r="P177" s="722"/>
      <c r="Q177" s="1557"/>
      <c r="R177" s="722"/>
      <c r="S177" s="1557"/>
      <c r="T177" s="2729" t="s">
        <v>2275</v>
      </c>
      <c r="U177" s="2704" t="s">
        <v>1718</v>
      </c>
      <c r="V177" s="2694" t="s">
        <v>1475</v>
      </c>
      <c r="W177" s="2694" t="s">
        <v>1438</v>
      </c>
      <c r="X177" s="2694" t="s">
        <v>4</v>
      </c>
      <c r="Y177" s="2694" t="s">
        <v>4</v>
      </c>
      <c r="Z177" s="2694" t="s">
        <v>2329</v>
      </c>
      <c r="AA177" s="2694" t="s">
        <v>4136</v>
      </c>
      <c r="AB177" s="2694" t="s">
        <v>4137</v>
      </c>
      <c r="AC177" s="2694" t="s">
        <v>935</v>
      </c>
      <c r="AF177" s="84"/>
      <c r="AG177" s="84"/>
    </row>
    <row r="178" spans="1:33" ht="26.4" customHeight="1">
      <c r="A178" s="2879"/>
      <c r="B178" s="2703"/>
      <c r="C178" s="2700"/>
      <c r="D178" s="1977"/>
      <c r="E178" s="706" t="s">
        <v>1353</v>
      </c>
      <c r="F178" s="1010">
        <f>F184</f>
        <v>8</v>
      </c>
      <c r="G178" s="973">
        <f t="shared" ref="G178:G181" si="189">I178/F178-1</f>
        <v>1.0687500000000001</v>
      </c>
      <c r="H178" s="970">
        <f>H184</f>
        <v>16.545000000000002</v>
      </c>
      <c r="I178" s="722">
        <f t="shared" ref="I178:S178" si="190">I184</f>
        <v>16.55</v>
      </c>
      <c r="J178" s="723">
        <f t="shared" ref="J178:J181" si="191">L178/I178-1</f>
        <v>-0.21450151057401812</v>
      </c>
      <c r="K178" s="970"/>
      <c r="L178" s="722">
        <f>L184</f>
        <v>13</v>
      </c>
      <c r="M178" s="722">
        <f>M184</f>
        <v>12</v>
      </c>
      <c r="N178" s="1557">
        <f>N184</f>
        <v>12</v>
      </c>
      <c r="O178" s="2150">
        <f t="shared" si="145"/>
        <v>-7.6923076923076927E-2</v>
      </c>
      <c r="P178" s="722">
        <f t="shared" si="190"/>
        <v>12.5</v>
      </c>
      <c r="Q178" s="1557">
        <f t="shared" si="190"/>
        <v>12.5</v>
      </c>
      <c r="R178" s="722">
        <f t="shared" si="190"/>
        <v>13</v>
      </c>
      <c r="S178" s="1557">
        <f t="shared" si="190"/>
        <v>13</v>
      </c>
      <c r="T178" s="2729"/>
      <c r="U178" s="2704"/>
      <c r="V178" s="2694"/>
      <c r="W178" s="2694"/>
      <c r="X178" s="2694"/>
      <c r="Y178" s="2694"/>
      <c r="Z178" s="2694"/>
      <c r="AA178" s="2694"/>
      <c r="AB178" s="2694"/>
      <c r="AC178" s="2694"/>
      <c r="AF178" s="84"/>
      <c r="AG178" s="84"/>
    </row>
    <row r="179" spans="1:33" ht="27.6" customHeight="1">
      <c r="A179" s="2879"/>
      <c r="B179" s="2703"/>
      <c r="C179" s="2700"/>
      <c r="D179" s="1977"/>
      <c r="E179" s="706" t="s">
        <v>1111</v>
      </c>
      <c r="F179" s="1010">
        <f>SUM(F182,F185)</f>
        <v>62.895999999999994</v>
      </c>
      <c r="G179" s="973">
        <f t="shared" si="189"/>
        <v>0.13566840498600885</v>
      </c>
      <c r="H179" s="970">
        <f>SUM(H182,H185)</f>
        <v>181.00399999999999</v>
      </c>
      <c r="I179" s="722">
        <f>SUM(I182,I185)</f>
        <v>71.429000000000002</v>
      </c>
      <c r="J179" s="723">
        <f t="shared" si="191"/>
        <v>1.5581206512760923</v>
      </c>
      <c r="K179" s="970"/>
      <c r="L179" s="722">
        <f>SUM(,L183,L185)</f>
        <v>182.72399999999999</v>
      </c>
      <c r="M179" s="722">
        <f>SUM(M182,M183,M185)</f>
        <v>265.30600000000004</v>
      </c>
      <c r="N179" s="1557">
        <f>N183</f>
        <v>177.964</v>
      </c>
      <c r="O179" s="2150">
        <f t="shared" si="145"/>
        <v>0.45194938814824576</v>
      </c>
      <c r="P179" s="722">
        <f>SUM(P182,P183,P185)</f>
        <v>265.30600000000004</v>
      </c>
      <c r="Q179" s="1557">
        <f t="shared" ref="Q179:S179" si="192">Q183</f>
        <v>184.72900000000001</v>
      </c>
      <c r="R179" s="722">
        <f>SUM(R182,R183,R185)</f>
        <v>265.30600000000004</v>
      </c>
      <c r="S179" s="1557">
        <f t="shared" si="192"/>
        <v>186.06100000000001</v>
      </c>
      <c r="T179" s="2729"/>
      <c r="U179" s="2704"/>
      <c r="V179" s="2694"/>
      <c r="W179" s="2694"/>
      <c r="X179" s="2694"/>
      <c r="Y179" s="2694"/>
      <c r="Z179" s="2694"/>
      <c r="AA179" s="2694"/>
      <c r="AB179" s="2694"/>
      <c r="AC179" s="2694"/>
      <c r="AF179" s="84"/>
      <c r="AG179" s="84"/>
    </row>
    <row r="180" spans="1:33" ht="27.6" hidden="1" customHeight="1">
      <c r="A180" s="2879"/>
      <c r="B180" s="2703"/>
      <c r="C180" s="2700"/>
      <c r="D180" s="1977"/>
      <c r="E180" s="706" t="s">
        <v>1410</v>
      </c>
      <c r="F180" s="1010"/>
      <c r="G180" s="973"/>
      <c r="H180" s="970"/>
      <c r="I180" s="722"/>
      <c r="J180" s="723"/>
      <c r="K180" s="970"/>
      <c r="L180" s="722"/>
      <c r="M180" s="722"/>
      <c r="N180" s="1557"/>
      <c r="O180" s="2150"/>
      <c r="P180" s="722"/>
      <c r="Q180" s="1557"/>
      <c r="R180" s="722"/>
      <c r="S180" s="1557"/>
      <c r="T180" s="2729"/>
      <c r="U180" s="2704"/>
      <c r="V180" s="2694"/>
      <c r="W180" s="2694"/>
      <c r="X180" s="2694"/>
      <c r="Y180" s="2694"/>
      <c r="Z180" s="2694"/>
      <c r="AA180" s="2694"/>
      <c r="AB180" s="2694"/>
      <c r="AC180" s="2694"/>
      <c r="AF180" s="84"/>
      <c r="AG180" s="84"/>
    </row>
    <row r="181" spans="1:33" ht="57.6" customHeight="1">
      <c r="A181" s="2879"/>
      <c r="B181" s="2703">
        <f>SUM(B177:B177)</f>
        <v>0</v>
      </c>
      <c r="C181" s="2700">
        <f>SUM(C177:C177)</f>
        <v>0</v>
      </c>
      <c r="D181" s="1977"/>
      <c r="E181" s="725" t="s">
        <v>1067</v>
      </c>
      <c r="F181" s="964">
        <f>SUM(F177:F179)</f>
        <v>70.895999999999987</v>
      </c>
      <c r="G181" s="965">
        <f t="shared" si="189"/>
        <v>0.24095858722635999</v>
      </c>
      <c r="H181" s="964">
        <f t="shared" ref="H181:I181" si="193">SUM(H177:H179)</f>
        <v>197.54899999999998</v>
      </c>
      <c r="I181" s="728">
        <f t="shared" si="193"/>
        <v>87.978999999999999</v>
      </c>
      <c r="J181" s="729">
        <f t="shared" si="191"/>
        <v>1.2246672501392375</v>
      </c>
      <c r="K181" s="964"/>
      <c r="L181" s="728">
        <f>SUM(L178,L179,L180)</f>
        <v>195.72399999999999</v>
      </c>
      <c r="M181" s="728">
        <f>SUM(M178,M179,M180)</f>
        <v>277.30600000000004</v>
      </c>
      <c r="N181" s="1558">
        <f>SUM(N178,N179,N180)</f>
        <v>189.964</v>
      </c>
      <c r="O181" s="2162">
        <f t="shared" si="145"/>
        <v>0.41682164680877182</v>
      </c>
      <c r="P181" s="728">
        <f t="shared" ref="P181:Q181" si="194">SUM(P178,P179,P180)</f>
        <v>277.80600000000004</v>
      </c>
      <c r="Q181" s="1558">
        <f t="shared" si="194"/>
        <v>197.22900000000001</v>
      </c>
      <c r="R181" s="728">
        <f t="shared" ref="R181:S181" si="195">SUM(R178,R179,R180)</f>
        <v>278.30600000000004</v>
      </c>
      <c r="S181" s="1558">
        <f t="shared" si="195"/>
        <v>199.06100000000001</v>
      </c>
      <c r="T181" s="2729"/>
      <c r="U181" s="2704"/>
      <c r="V181" s="2694"/>
      <c r="W181" s="2694"/>
      <c r="X181" s="2694"/>
      <c r="Y181" s="2694"/>
      <c r="Z181" s="2694"/>
      <c r="AA181" s="2694"/>
      <c r="AB181" s="2694"/>
      <c r="AC181" s="2694"/>
      <c r="AF181" s="84"/>
      <c r="AG181" s="84"/>
    </row>
    <row r="182" spans="1:33" ht="20.100000000000001" hidden="1" customHeight="1">
      <c r="A182" s="3018"/>
      <c r="B182" s="2826" t="s">
        <v>1412</v>
      </c>
      <c r="C182" s="976"/>
      <c r="D182" s="976"/>
      <c r="E182" s="682" t="s">
        <v>1410</v>
      </c>
      <c r="F182" s="734">
        <v>61.662999999999997</v>
      </c>
      <c r="G182" s="734"/>
      <c r="H182" s="734">
        <v>181.00399999999999</v>
      </c>
      <c r="I182" s="681">
        <v>70.238</v>
      </c>
      <c r="J182" s="681"/>
      <c r="K182" s="734"/>
      <c r="L182" s="681"/>
      <c r="M182" s="681"/>
      <c r="N182" s="1470"/>
      <c r="O182" s="778" t="e">
        <f t="shared" si="145"/>
        <v>#DIV/0!</v>
      </c>
      <c r="P182" s="681"/>
      <c r="Q182" s="1470"/>
      <c r="R182" s="681"/>
      <c r="S182" s="1470"/>
      <c r="T182" s="175"/>
      <c r="U182" s="2704"/>
      <c r="V182" s="925"/>
      <c r="W182" s="688" t="s">
        <v>1727</v>
      </c>
      <c r="X182" s="688" t="s">
        <v>1728</v>
      </c>
      <c r="Y182" s="688" t="s">
        <v>1728</v>
      </c>
      <c r="Z182" s="688" t="s">
        <v>1728</v>
      </c>
      <c r="AA182" s="688"/>
      <c r="AB182" s="1105"/>
      <c r="AC182" s="2694"/>
      <c r="AF182" s="84"/>
      <c r="AG182" s="84"/>
    </row>
    <row r="183" spans="1:33" ht="28.8" hidden="1" customHeight="1">
      <c r="A183" s="3018"/>
      <c r="B183" s="2826"/>
      <c r="C183" s="976"/>
      <c r="D183" s="976"/>
      <c r="E183" s="682" t="s">
        <v>1111</v>
      </c>
      <c r="F183" s="734"/>
      <c r="G183" s="734"/>
      <c r="H183" s="734"/>
      <c r="I183" s="681"/>
      <c r="J183" s="681"/>
      <c r="K183" s="734"/>
      <c r="L183" s="681">
        <v>179.678</v>
      </c>
      <c r="M183" s="681">
        <v>260.88400000000001</v>
      </c>
      <c r="N183" s="1470">
        <v>177.964</v>
      </c>
      <c r="O183" s="778">
        <f t="shared" si="145"/>
        <v>0.45195293803359354</v>
      </c>
      <c r="P183" s="681">
        <v>260.88400000000001</v>
      </c>
      <c r="Q183" s="1470">
        <v>184.72900000000001</v>
      </c>
      <c r="R183" s="681">
        <v>260.88400000000001</v>
      </c>
      <c r="S183" s="1470">
        <v>186.06100000000001</v>
      </c>
      <c r="T183" s="175"/>
      <c r="U183" s="2704"/>
      <c r="V183" s="925"/>
      <c r="W183" s="688"/>
      <c r="X183" s="688"/>
      <c r="Y183" s="688"/>
      <c r="Z183" s="688"/>
      <c r="AA183" s="688"/>
      <c r="AB183" s="1105"/>
      <c r="AC183" s="2694"/>
      <c r="AF183" s="84"/>
      <c r="AG183" s="84"/>
    </row>
    <row r="184" spans="1:33" ht="24.6" hidden="1" customHeight="1">
      <c r="A184" s="3018"/>
      <c r="B184" s="2826"/>
      <c r="C184" s="976"/>
      <c r="D184" s="976"/>
      <c r="E184" s="682" t="s">
        <v>1353</v>
      </c>
      <c r="F184" s="734">
        <v>8</v>
      </c>
      <c r="G184" s="734"/>
      <c r="H184" s="734">
        <v>16.545000000000002</v>
      </c>
      <c r="I184" s="681">
        <v>16.55</v>
      </c>
      <c r="J184" s="681"/>
      <c r="K184" s="734">
        <v>17.2</v>
      </c>
      <c r="L184" s="681">
        <v>13</v>
      </c>
      <c r="M184" s="681">
        <v>12</v>
      </c>
      <c r="N184" s="1470">
        <v>12</v>
      </c>
      <c r="O184" s="778">
        <f t="shared" si="145"/>
        <v>-7.6923076923076927E-2</v>
      </c>
      <c r="P184" s="681">
        <f>Q184</f>
        <v>12.5</v>
      </c>
      <c r="Q184" s="1470">
        <v>12.5</v>
      </c>
      <c r="R184" s="681">
        <v>13</v>
      </c>
      <c r="S184" s="1470">
        <v>13</v>
      </c>
      <c r="T184" s="175"/>
      <c r="U184" s="2704"/>
      <c r="V184" s="925"/>
      <c r="W184" s="688"/>
      <c r="X184" s="688"/>
      <c r="Y184" s="688"/>
      <c r="Z184" s="688"/>
      <c r="AA184" s="688"/>
      <c r="AB184" s="1105"/>
      <c r="AC184" s="2694"/>
      <c r="AF184" s="84"/>
      <c r="AG184" s="84"/>
    </row>
    <row r="185" spans="1:33" ht="30.6" hidden="1" customHeight="1">
      <c r="A185" s="893"/>
      <c r="B185" s="665" t="s">
        <v>1354</v>
      </c>
      <c r="C185" s="976"/>
      <c r="D185" s="976"/>
      <c r="E185" s="682" t="s">
        <v>1111</v>
      </c>
      <c r="F185" s="734">
        <v>1.2330000000000001</v>
      </c>
      <c r="G185" s="734"/>
      <c r="H185" s="734"/>
      <c r="I185" s="681">
        <v>1.1910000000000001</v>
      </c>
      <c r="J185" s="681"/>
      <c r="K185" s="734">
        <v>3.0459999999999998</v>
      </c>
      <c r="L185" s="681">
        <v>3.0459999999999998</v>
      </c>
      <c r="M185" s="681">
        <v>4.4219999999999997</v>
      </c>
      <c r="N185" s="1470"/>
      <c r="O185" s="778">
        <f t="shared" si="145"/>
        <v>0.45173998686802364</v>
      </c>
      <c r="P185" s="681">
        <v>4.4219999999999997</v>
      </c>
      <c r="Q185" s="1470"/>
      <c r="R185" s="681">
        <v>4.4219999999999997</v>
      </c>
      <c r="S185" s="1470"/>
      <c r="T185" s="175"/>
      <c r="U185" s="2704"/>
      <c r="V185" s="925"/>
      <c r="W185" s="688"/>
      <c r="X185" s="688"/>
      <c r="Y185" s="688"/>
      <c r="Z185" s="688"/>
      <c r="AA185" s="688"/>
      <c r="AB185" s="1105"/>
      <c r="AC185" s="2694"/>
      <c r="AF185" s="84"/>
      <c r="AG185" s="84"/>
    </row>
    <row r="186" spans="1:33" ht="36.6" customHeight="1">
      <c r="A186" s="2879" t="s">
        <v>2025</v>
      </c>
      <c r="B186" s="2703" t="s">
        <v>1232</v>
      </c>
      <c r="C186" s="2700">
        <v>188711925</v>
      </c>
      <c r="D186" s="1980" t="s">
        <v>3508</v>
      </c>
      <c r="E186" s="706" t="s">
        <v>470</v>
      </c>
      <c r="F186" s="970">
        <v>16.47</v>
      </c>
      <c r="G186" s="973">
        <f t="shared" ref="G186:G194" si="196">I186/F186-1</f>
        <v>-0.15846994535519121</v>
      </c>
      <c r="H186" s="970">
        <v>18.48</v>
      </c>
      <c r="I186" s="722">
        <v>13.86</v>
      </c>
      <c r="J186" s="723">
        <f t="shared" ref="J186:J196" si="197">L186/I186-1</f>
        <v>0.27272727272727293</v>
      </c>
      <c r="K186" s="970">
        <v>17.2</v>
      </c>
      <c r="L186" s="722">
        <v>17.64</v>
      </c>
      <c r="M186" s="1818">
        <v>18.7</v>
      </c>
      <c r="N186" s="1557">
        <v>19.404</v>
      </c>
      <c r="O186" s="2150">
        <f t="shared" si="145"/>
        <v>6.0090702947845728E-2</v>
      </c>
      <c r="P186" s="722">
        <v>20</v>
      </c>
      <c r="Q186" s="1557">
        <v>20</v>
      </c>
      <c r="R186" s="722">
        <v>20</v>
      </c>
      <c r="S186" s="1557">
        <v>20</v>
      </c>
      <c r="T186" s="2729" t="s">
        <v>2271</v>
      </c>
      <c r="U186" s="2704" t="s">
        <v>4298</v>
      </c>
      <c r="V186" s="2694" t="s">
        <v>1476</v>
      </c>
      <c r="W186" s="2694" t="s">
        <v>2781</v>
      </c>
      <c r="X186" s="2694" t="s">
        <v>1427</v>
      </c>
      <c r="Y186" s="2694" t="s">
        <v>1508</v>
      </c>
      <c r="Z186" s="2694" t="s">
        <v>1427</v>
      </c>
      <c r="AA186" s="2694" t="s">
        <v>1427</v>
      </c>
      <c r="AB186" s="2694" t="s">
        <v>1427</v>
      </c>
      <c r="AC186" s="2694"/>
      <c r="AF186" s="84"/>
      <c r="AG186" s="84"/>
    </row>
    <row r="187" spans="1:33" ht="34.950000000000003" customHeight="1">
      <c r="A187" s="2879"/>
      <c r="B187" s="2703"/>
      <c r="C187" s="2700"/>
      <c r="D187" s="1977"/>
      <c r="E187" s="706" t="s">
        <v>1111</v>
      </c>
      <c r="F187" s="970">
        <v>41.034999999999997</v>
      </c>
      <c r="G187" s="973">
        <f t="shared" si="196"/>
        <v>-0.3420007310832216</v>
      </c>
      <c r="H187" s="970"/>
      <c r="I187" s="722">
        <v>27.001000000000001</v>
      </c>
      <c r="J187" s="723">
        <f t="shared" si="197"/>
        <v>-1.0740342950260606E-3</v>
      </c>
      <c r="K187" s="970">
        <v>26.972000000000001</v>
      </c>
      <c r="L187" s="722">
        <v>26.972000000000001</v>
      </c>
      <c r="M187" s="722">
        <v>34.631999999999998</v>
      </c>
      <c r="N187" s="1557">
        <v>29.669</v>
      </c>
      <c r="O187" s="2150">
        <f t="shared" si="145"/>
        <v>0.28399822037668682</v>
      </c>
      <c r="P187" s="722">
        <v>34.631999999999998</v>
      </c>
      <c r="Q187" s="1557">
        <v>30</v>
      </c>
      <c r="R187" s="722">
        <v>34.631999999999998</v>
      </c>
      <c r="S187" s="1557">
        <v>30</v>
      </c>
      <c r="T187" s="2729"/>
      <c r="U187" s="2704"/>
      <c r="V187" s="2694"/>
      <c r="W187" s="2694"/>
      <c r="X187" s="2694"/>
      <c r="Y187" s="2694"/>
      <c r="Z187" s="2694"/>
      <c r="AA187" s="2694"/>
      <c r="AB187" s="2694"/>
      <c r="AC187" s="2694"/>
      <c r="AF187" s="84"/>
      <c r="AG187" s="84"/>
    </row>
    <row r="188" spans="1:33" ht="32.25" customHeight="1">
      <c r="A188" s="2879"/>
      <c r="B188" s="2703"/>
      <c r="C188" s="2700">
        <f>SUM(C186:C186)</f>
        <v>188711925</v>
      </c>
      <c r="D188" s="1977"/>
      <c r="E188" s="725" t="s">
        <v>1067</v>
      </c>
      <c r="F188" s="964">
        <f>SUM(F186:F187)</f>
        <v>57.504999999999995</v>
      </c>
      <c r="G188" s="965">
        <f t="shared" si="196"/>
        <v>-0.28943570124337004</v>
      </c>
      <c r="H188" s="964">
        <f t="shared" ref="H188:P188" si="198">SUM(H186:H187)</f>
        <v>18.48</v>
      </c>
      <c r="I188" s="728">
        <f t="shared" si="198"/>
        <v>40.861000000000004</v>
      </c>
      <c r="J188" s="729">
        <f t="shared" si="197"/>
        <v>9.1799025966080139E-2</v>
      </c>
      <c r="K188" s="964"/>
      <c r="L188" s="728">
        <f t="shared" si="198"/>
        <v>44.612000000000002</v>
      </c>
      <c r="M188" s="728">
        <f>SUM(M186:M187)</f>
        <v>53.331999999999994</v>
      </c>
      <c r="N188" s="1558">
        <f>SUM(N186:N187)</f>
        <v>49.073</v>
      </c>
      <c r="O188" s="2162">
        <f t="shared" si="145"/>
        <v>0.19546310409755205</v>
      </c>
      <c r="P188" s="728">
        <f t="shared" si="198"/>
        <v>54.631999999999998</v>
      </c>
      <c r="Q188" s="1558">
        <f t="shared" ref="Q188:R188" si="199">SUM(Q186:Q187)</f>
        <v>50</v>
      </c>
      <c r="R188" s="728">
        <f t="shared" si="199"/>
        <v>54.631999999999998</v>
      </c>
      <c r="S188" s="1558">
        <f t="shared" ref="S188" si="200">SUM(S186:S187)</f>
        <v>50</v>
      </c>
      <c r="T188" s="2729"/>
      <c r="U188" s="2734"/>
      <c r="V188" s="2694"/>
      <c r="W188" s="2694"/>
      <c r="X188" s="2694"/>
      <c r="Y188" s="2694"/>
      <c r="Z188" s="2694"/>
      <c r="AA188" s="2694"/>
      <c r="AB188" s="2694"/>
      <c r="AC188" s="2694"/>
      <c r="AF188" s="84"/>
      <c r="AG188" s="84"/>
    </row>
    <row r="189" spans="1:33" ht="34.200000000000003" customHeight="1">
      <c r="A189" s="2879" t="s">
        <v>2576</v>
      </c>
      <c r="B189" s="2703" t="s">
        <v>3714</v>
      </c>
      <c r="C189" s="2700">
        <v>300079075</v>
      </c>
      <c r="D189" s="1977"/>
      <c r="E189" s="706" t="s">
        <v>246</v>
      </c>
      <c r="F189" s="970">
        <v>135</v>
      </c>
      <c r="G189" s="972">
        <f t="shared" si="196"/>
        <v>0.10397037037037049</v>
      </c>
      <c r="H189" s="970">
        <v>176.941</v>
      </c>
      <c r="I189" s="722">
        <v>149.036</v>
      </c>
      <c r="J189" s="723">
        <f t="shared" si="197"/>
        <v>0.19642234091092092</v>
      </c>
      <c r="K189" s="970">
        <v>178.31</v>
      </c>
      <c r="L189" s="722">
        <v>178.31</v>
      </c>
      <c r="M189" s="974">
        <v>375.81099999999998</v>
      </c>
      <c r="N189" s="1557">
        <v>375.81099999999998</v>
      </c>
      <c r="O189" s="2150">
        <f t="shared" si="145"/>
        <v>1.1076271661712747</v>
      </c>
      <c r="P189" s="722"/>
      <c r="Q189" s="1557"/>
      <c r="R189" s="722"/>
      <c r="S189" s="1557"/>
      <c r="T189" s="2729" t="s">
        <v>2242</v>
      </c>
      <c r="U189" s="2704" t="s">
        <v>4372</v>
      </c>
      <c r="V189" s="2694" t="s">
        <v>1477</v>
      </c>
      <c r="W189" s="2694" t="s">
        <v>1439</v>
      </c>
      <c r="X189" s="2694" t="s">
        <v>1430</v>
      </c>
      <c r="Y189" s="2694" t="s">
        <v>1430</v>
      </c>
      <c r="Z189" s="2694" t="s">
        <v>1430</v>
      </c>
      <c r="AA189" s="2694" t="s">
        <v>1430</v>
      </c>
      <c r="AB189" s="3028" t="s">
        <v>1430</v>
      </c>
      <c r="AC189" s="2694"/>
      <c r="AF189" s="84"/>
      <c r="AG189" s="84"/>
    </row>
    <row r="190" spans="1:33" ht="34.950000000000003" customHeight="1">
      <c r="A190" s="2879"/>
      <c r="B190" s="2703"/>
      <c r="C190" s="2700"/>
      <c r="D190" s="1977"/>
      <c r="E190" s="706" t="s">
        <v>412</v>
      </c>
      <c r="F190" s="970"/>
      <c r="G190" s="972"/>
      <c r="H190" s="970"/>
      <c r="I190" s="722">
        <v>27.905000000000001</v>
      </c>
      <c r="J190" s="723">
        <f t="shared" si="197"/>
        <v>-0.28328256584841427</v>
      </c>
      <c r="K190" s="970">
        <v>20</v>
      </c>
      <c r="L190" s="722">
        <v>20</v>
      </c>
      <c r="M190" s="722"/>
      <c r="N190" s="970"/>
      <c r="O190" s="2150"/>
      <c r="P190" s="722"/>
      <c r="Q190" s="1557"/>
      <c r="R190" s="722"/>
      <c r="S190" s="1557"/>
      <c r="T190" s="2729"/>
      <c r="U190" s="2704"/>
      <c r="V190" s="2694"/>
      <c r="W190" s="2694"/>
      <c r="X190" s="2694"/>
      <c r="Y190" s="2694"/>
      <c r="Z190" s="2694"/>
      <c r="AA190" s="2694"/>
      <c r="AB190" s="3028"/>
      <c r="AC190" s="2694"/>
      <c r="AF190" s="84"/>
      <c r="AG190" s="84"/>
    </row>
    <row r="191" spans="1:33" ht="32.4" customHeight="1">
      <c r="A191" s="2879"/>
      <c r="B191" s="2703"/>
      <c r="C191" s="2700"/>
      <c r="D191" s="1977"/>
      <c r="E191" s="706" t="s">
        <v>470</v>
      </c>
      <c r="F191" s="970"/>
      <c r="G191" s="972"/>
      <c r="H191" s="970"/>
      <c r="I191" s="722"/>
      <c r="J191" s="723"/>
      <c r="K191" s="970"/>
      <c r="L191" s="722"/>
      <c r="M191" s="722"/>
      <c r="N191" s="970"/>
      <c r="O191" s="2150"/>
      <c r="P191" s="722"/>
      <c r="Q191" s="1557"/>
      <c r="R191" s="722"/>
      <c r="S191" s="1557"/>
      <c r="T191" s="2729"/>
      <c r="U191" s="2704"/>
      <c r="V191" s="2694"/>
      <c r="W191" s="2694"/>
      <c r="X191" s="2694"/>
      <c r="Y191" s="2694"/>
      <c r="Z191" s="2694"/>
      <c r="AA191" s="2694"/>
      <c r="AB191" s="3028"/>
      <c r="AC191" s="2694"/>
      <c r="AF191" s="84"/>
      <c r="AG191" s="84"/>
    </row>
    <row r="192" spans="1:33" ht="30" customHeight="1">
      <c r="A192" s="2879"/>
      <c r="B192" s="2736"/>
      <c r="C192" s="2700"/>
      <c r="D192" s="1977"/>
      <c r="E192" s="725" t="s">
        <v>1067</v>
      </c>
      <c r="F192" s="964">
        <f>F189</f>
        <v>135</v>
      </c>
      <c r="G192" s="965">
        <f>I192/F192-1</f>
        <v>0.3106740740740741</v>
      </c>
      <c r="H192" s="964">
        <f t="shared" ref="H192" si="201">H189</f>
        <v>176.941</v>
      </c>
      <c r="I192" s="728">
        <f>I189+I190+I191</f>
        <v>176.941</v>
      </c>
      <c r="J192" s="729">
        <f t="shared" si="197"/>
        <v>0.1207690699159607</v>
      </c>
      <c r="K192" s="964">
        <f>K189+K190+K191</f>
        <v>198.31</v>
      </c>
      <c r="L192" s="728">
        <f t="shared" ref="L192:P192" si="202">L189+L190+L191</f>
        <v>198.31</v>
      </c>
      <c r="M192" s="728">
        <f t="shared" si="202"/>
        <v>375.81099999999998</v>
      </c>
      <c r="N192" s="1558">
        <f t="shared" ref="N192" si="203">N189+N190+N191</f>
        <v>375.81099999999998</v>
      </c>
      <c r="O192" s="2162">
        <f t="shared" si="145"/>
        <v>0.89506832736624464</v>
      </c>
      <c r="P192" s="728">
        <f t="shared" si="202"/>
        <v>0</v>
      </c>
      <c r="Q192" s="1558">
        <f t="shared" ref="Q192:R192" si="204">Q189+Q190+Q191</f>
        <v>0</v>
      </c>
      <c r="R192" s="728">
        <f t="shared" si="204"/>
        <v>0</v>
      </c>
      <c r="S192" s="1558">
        <f t="shared" ref="S192" si="205">S189+S190+S191</f>
        <v>0</v>
      </c>
      <c r="T192" s="2729"/>
      <c r="U192" s="2734"/>
      <c r="V192" s="2694"/>
      <c r="W192" s="2694"/>
      <c r="X192" s="2694"/>
      <c r="Y192" s="2694"/>
      <c r="Z192" s="2694"/>
      <c r="AA192" s="2694"/>
      <c r="AB192" s="3028"/>
      <c r="AC192" s="2694"/>
      <c r="AF192" s="84"/>
      <c r="AG192" s="84"/>
    </row>
    <row r="193" spans="1:33" ht="34.200000000000003" customHeight="1">
      <c r="A193" s="2879" t="s">
        <v>2026</v>
      </c>
      <c r="B193" s="2703" t="s">
        <v>1233</v>
      </c>
      <c r="C193" s="2700" t="s">
        <v>1071</v>
      </c>
      <c r="D193" s="1980" t="s">
        <v>3508</v>
      </c>
      <c r="E193" s="706" t="s">
        <v>470</v>
      </c>
      <c r="F193" s="970">
        <f>SUM(F197,F199)</f>
        <v>78.97399999999999</v>
      </c>
      <c r="G193" s="972">
        <f t="shared" si="196"/>
        <v>-5.5385316686504371E-2</v>
      </c>
      <c r="H193" s="970"/>
      <c r="I193" s="722">
        <f>SUM(I197,I199)</f>
        <v>74.599999999999994</v>
      </c>
      <c r="J193" s="723">
        <f t="shared" si="197"/>
        <v>0.21099195710455776</v>
      </c>
      <c r="K193" s="970">
        <f t="shared" ref="K193" si="206">SUM(K197,K199)</f>
        <v>0</v>
      </c>
      <c r="L193" s="722">
        <f>SUM(L197,L199)</f>
        <v>90.34</v>
      </c>
      <c r="M193" s="722">
        <f>SUM(M197,M199)</f>
        <v>99</v>
      </c>
      <c r="N193" s="1557">
        <f>SUM(N197,N199)</f>
        <v>137.13999999999999</v>
      </c>
      <c r="O193" s="2150">
        <f t="shared" si="145"/>
        <v>9.5860084126632675E-2</v>
      </c>
      <c r="P193" s="722">
        <f>SUM(P197,P199)</f>
        <v>103.95</v>
      </c>
      <c r="Q193" s="1557">
        <f t="shared" ref="Q193:S193" si="207">SUM(Q197,Q199)</f>
        <v>126.325</v>
      </c>
      <c r="R193" s="722">
        <f>SUM(R197,R199)</f>
        <v>109.14750000000001</v>
      </c>
      <c r="S193" s="1557">
        <f t="shared" si="207"/>
        <v>134.81799999999998</v>
      </c>
      <c r="T193" s="2729" t="s">
        <v>2226</v>
      </c>
      <c r="U193" s="3027" t="s">
        <v>1719</v>
      </c>
      <c r="V193" s="2694" t="s">
        <v>1478</v>
      </c>
      <c r="W193" s="2694" t="s">
        <v>2782</v>
      </c>
      <c r="X193" s="2694">
        <v>120</v>
      </c>
      <c r="Y193" s="2694">
        <v>120</v>
      </c>
      <c r="Z193" s="2694" t="s">
        <v>1421</v>
      </c>
      <c r="AA193" s="2694" t="s">
        <v>1421</v>
      </c>
      <c r="AB193" s="2694" t="s">
        <v>1421</v>
      </c>
      <c r="AC193" s="2694" t="s">
        <v>2605</v>
      </c>
      <c r="AF193" s="84"/>
      <c r="AG193" s="84"/>
    </row>
    <row r="194" spans="1:33" ht="33" customHeight="1">
      <c r="A194" s="2879"/>
      <c r="B194" s="2703"/>
      <c r="C194" s="2700"/>
      <c r="D194" s="1977"/>
      <c r="E194" s="706" t="s">
        <v>1111</v>
      </c>
      <c r="F194" s="970">
        <f>SUM(F198,F200,F201)</f>
        <v>24.200000000000003</v>
      </c>
      <c r="G194" s="972">
        <f t="shared" si="196"/>
        <v>-5.7851239669421739E-2</v>
      </c>
      <c r="H194" s="970"/>
      <c r="I194" s="722">
        <f t="shared" ref="I194:K194" si="208">SUM(I198,I200,I201)</f>
        <v>22.799999999999997</v>
      </c>
      <c r="J194" s="723">
        <f t="shared" si="197"/>
        <v>6.1403508771930015E-2</v>
      </c>
      <c r="K194" s="970">
        <f t="shared" si="208"/>
        <v>0.5</v>
      </c>
      <c r="L194" s="722">
        <f>SUM(L198,L200,L201)</f>
        <v>24.200000000000003</v>
      </c>
      <c r="M194" s="722">
        <f>SUM(M198,M200,M201)</f>
        <v>24.5</v>
      </c>
      <c r="N194" s="1557"/>
      <c r="O194" s="2150">
        <f t="shared" si="145"/>
        <v>1.2396694214875914E-2</v>
      </c>
      <c r="P194" s="722">
        <f>SUM(P198,P200,P201)</f>
        <v>24.5</v>
      </c>
      <c r="Q194" s="1557"/>
      <c r="R194" s="722">
        <f>SUM(R198,R200,R201)</f>
        <v>24.5</v>
      </c>
      <c r="S194" s="1557"/>
      <c r="T194" s="2729"/>
      <c r="U194" s="3027"/>
      <c r="V194" s="2694"/>
      <c r="W194" s="2694"/>
      <c r="X194" s="2694"/>
      <c r="Y194" s="2694"/>
      <c r="Z194" s="2694"/>
      <c r="AA194" s="2694"/>
      <c r="AB194" s="2694"/>
      <c r="AC194" s="2694"/>
      <c r="AF194" s="84"/>
      <c r="AG194" s="84"/>
    </row>
    <row r="195" spans="1:33" ht="28.2" hidden="1" customHeight="1">
      <c r="A195" s="2879"/>
      <c r="B195" s="2703"/>
      <c r="C195" s="2700"/>
      <c r="D195" s="1977"/>
      <c r="E195" s="706" t="s">
        <v>412</v>
      </c>
      <c r="F195" s="1010"/>
      <c r="G195" s="972"/>
      <c r="H195" s="1010"/>
      <c r="I195" s="655"/>
      <c r="J195" s="1013"/>
      <c r="K195" s="1010"/>
      <c r="L195" s="655"/>
      <c r="M195" s="655"/>
      <c r="N195" s="1565"/>
      <c r="O195" s="2150" t="e">
        <f t="shared" si="145"/>
        <v>#DIV/0!</v>
      </c>
      <c r="P195" s="655"/>
      <c r="Q195" s="1565"/>
      <c r="R195" s="655"/>
      <c r="S195" s="1565"/>
      <c r="T195" s="2729"/>
      <c r="U195" s="3027"/>
      <c r="V195" s="2694"/>
      <c r="W195" s="2694"/>
      <c r="X195" s="2694"/>
      <c r="Y195" s="2694"/>
      <c r="Z195" s="2694"/>
      <c r="AA195" s="2694"/>
      <c r="AB195" s="2694"/>
      <c r="AC195" s="2694"/>
      <c r="AF195" s="84"/>
      <c r="AG195" s="84"/>
    </row>
    <row r="196" spans="1:33" ht="38.4" customHeight="1">
      <c r="A196" s="2879"/>
      <c r="B196" s="2703"/>
      <c r="C196" s="2700"/>
      <c r="D196" s="1977"/>
      <c r="E196" s="725" t="s">
        <v>1067</v>
      </c>
      <c r="F196" s="964">
        <f>SUM(F193:F195)</f>
        <v>103.17399999999999</v>
      </c>
      <c r="G196" s="965">
        <f t="shared" ref="G196:H196" si="209">SUM(G193:G195)</f>
        <v>-0.11323655635592611</v>
      </c>
      <c r="H196" s="964">
        <f t="shared" si="209"/>
        <v>0</v>
      </c>
      <c r="I196" s="728">
        <f>SUM(I193:I195)</f>
        <v>97.399999999999991</v>
      </c>
      <c r="J196" s="729">
        <f t="shared" si="197"/>
        <v>0.17597535934291608</v>
      </c>
      <c r="K196" s="964">
        <f t="shared" ref="K196" si="210">SUM(K193:K195)</f>
        <v>0.5</v>
      </c>
      <c r="L196" s="728">
        <f t="shared" ref="L196:S196" si="211">SUM(L193:L195)</f>
        <v>114.54</v>
      </c>
      <c r="M196" s="728">
        <f t="shared" si="211"/>
        <v>123.5</v>
      </c>
      <c r="N196" s="1558">
        <f t="shared" si="211"/>
        <v>137.13999999999999</v>
      </c>
      <c r="O196" s="2162">
        <f t="shared" si="145"/>
        <v>7.8225947267330134E-2</v>
      </c>
      <c r="P196" s="728">
        <f t="shared" si="211"/>
        <v>128.44999999999999</v>
      </c>
      <c r="Q196" s="1558">
        <f t="shared" si="211"/>
        <v>126.325</v>
      </c>
      <c r="R196" s="728">
        <f t="shared" si="211"/>
        <v>133.64750000000001</v>
      </c>
      <c r="S196" s="1558">
        <f t="shared" si="211"/>
        <v>134.81799999999998</v>
      </c>
      <c r="T196" s="2729"/>
      <c r="U196" s="3027"/>
      <c r="V196" s="2694"/>
      <c r="W196" s="2694"/>
      <c r="X196" s="2694"/>
      <c r="Y196" s="2694"/>
      <c r="Z196" s="2694"/>
      <c r="AA196" s="2694"/>
      <c r="AB196" s="2694"/>
      <c r="AC196" s="2694"/>
      <c r="AF196" s="84"/>
      <c r="AG196" s="84"/>
    </row>
    <row r="197" spans="1:33" ht="21" hidden="1" customHeight="1">
      <c r="A197" s="2874"/>
      <c r="B197" s="2826" t="s">
        <v>4192</v>
      </c>
      <c r="C197" s="3019"/>
      <c r="D197" s="976"/>
      <c r="E197" s="682" t="s">
        <v>470</v>
      </c>
      <c r="F197" s="734">
        <v>31.905999999999999</v>
      </c>
      <c r="G197" s="734"/>
      <c r="H197" s="734">
        <v>44.853999999999999</v>
      </c>
      <c r="I197" s="681">
        <v>27</v>
      </c>
      <c r="J197" s="681"/>
      <c r="K197" s="966"/>
      <c r="L197" s="681">
        <v>30.88</v>
      </c>
      <c r="M197" s="681">
        <v>39</v>
      </c>
      <c r="N197" s="1559">
        <v>55.92</v>
      </c>
      <c r="O197" s="2146">
        <f t="shared" si="145"/>
        <v>0.26295336787564771</v>
      </c>
      <c r="P197" s="681">
        <f>M197+(M197*5%)</f>
        <v>40.950000000000003</v>
      </c>
      <c r="Q197" s="1559">
        <v>57.67</v>
      </c>
      <c r="R197" s="681">
        <f>P197+(P197*5%)</f>
        <v>42.997500000000002</v>
      </c>
      <c r="S197" s="1559">
        <v>60.55</v>
      </c>
      <c r="T197" s="428"/>
      <c r="U197" s="691"/>
      <c r="V197" s="693"/>
      <c r="W197" s="693" t="s">
        <v>1726</v>
      </c>
      <c r="X197" s="693" t="s">
        <v>1366</v>
      </c>
      <c r="Y197" s="693" t="s">
        <v>1366</v>
      </c>
      <c r="Z197" s="693" t="s">
        <v>1366</v>
      </c>
      <c r="AA197" s="693"/>
      <c r="AB197" s="1858"/>
      <c r="AC197" s="693"/>
      <c r="AF197" s="84"/>
      <c r="AG197" s="84"/>
    </row>
    <row r="198" spans="1:33" ht="20.100000000000001" hidden="1" customHeight="1">
      <c r="A198" s="2874"/>
      <c r="B198" s="2826"/>
      <c r="C198" s="3019"/>
      <c r="D198" s="976"/>
      <c r="E198" s="1029" t="s">
        <v>1111</v>
      </c>
      <c r="F198" s="1122">
        <v>7.9</v>
      </c>
      <c r="G198" s="1122"/>
      <c r="H198" s="1122">
        <v>0</v>
      </c>
      <c r="I198" s="1033">
        <v>7.4660000000000002</v>
      </c>
      <c r="J198" s="1033"/>
      <c r="K198" s="1034"/>
      <c r="L198" s="1033">
        <v>7.9</v>
      </c>
      <c r="M198" s="1033">
        <v>8</v>
      </c>
      <c r="N198" s="1569"/>
      <c r="O198" s="2152">
        <f t="shared" si="145"/>
        <v>1.2658227848101221E-2</v>
      </c>
      <c r="P198" s="1033">
        <v>8</v>
      </c>
      <c r="Q198" s="1569"/>
      <c r="R198" s="1033">
        <v>8</v>
      </c>
      <c r="S198" s="1569"/>
      <c r="T198" s="428"/>
      <c r="U198" s="691"/>
      <c r="V198" s="693"/>
      <c r="W198" s="693"/>
      <c r="X198" s="693"/>
      <c r="Y198" s="693"/>
      <c r="Z198" s="693"/>
      <c r="AA198" s="693"/>
      <c r="AB198" s="1858"/>
      <c r="AC198" s="693"/>
      <c r="AF198" s="84"/>
      <c r="AG198" s="84"/>
    </row>
    <row r="199" spans="1:33" ht="20.100000000000001" hidden="1" customHeight="1">
      <c r="A199" s="2874"/>
      <c r="B199" s="2826" t="s">
        <v>4193</v>
      </c>
      <c r="C199" s="3019"/>
      <c r="D199" s="976"/>
      <c r="E199" s="682" t="s">
        <v>470</v>
      </c>
      <c r="F199" s="734">
        <v>47.067999999999998</v>
      </c>
      <c r="G199" s="734"/>
      <c r="H199" s="734"/>
      <c r="I199" s="681">
        <v>47.6</v>
      </c>
      <c r="J199" s="681"/>
      <c r="K199" s="966"/>
      <c r="L199" s="681">
        <v>59.46</v>
      </c>
      <c r="M199" s="681">
        <v>60</v>
      </c>
      <c r="N199" s="1559">
        <v>81.22</v>
      </c>
      <c r="O199" s="2146">
        <f t="shared" si="145"/>
        <v>9.0817356205852521E-3</v>
      </c>
      <c r="P199" s="681">
        <f>M199+(M199*5%)</f>
        <v>63</v>
      </c>
      <c r="Q199" s="1559">
        <v>68.655000000000001</v>
      </c>
      <c r="R199" s="681">
        <f>P199+(P199*5%)</f>
        <v>66.150000000000006</v>
      </c>
      <c r="S199" s="1559">
        <v>74.268000000000001</v>
      </c>
      <c r="T199" s="428"/>
      <c r="U199" s="691"/>
      <c r="V199" s="693"/>
      <c r="W199" s="693"/>
      <c r="X199" s="693"/>
      <c r="Y199" s="693"/>
      <c r="Z199" s="693"/>
      <c r="AA199" s="693"/>
      <c r="AB199" s="1858"/>
      <c r="AC199" s="693"/>
      <c r="AF199" s="84"/>
      <c r="AG199" s="84"/>
    </row>
    <row r="200" spans="1:33" ht="20.100000000000001" hidden="1" customHeight="1">
      <c r="A200" s="2874"/>
      <c r="B200" s="2826"/>
      <c r="C200" s="3019"/>
      <c r="D200" s="976"/>
      <c r="E200" s="1029" t="s">
        <v>1111</v>
      </c>
      <c r="F200" s="1122">
        <v>15.8</v>
      </c>
      <c r="G200" s="1122"/>
      <c r="H200" s="1122"/>
      <c r="I200" s="1033">
        <v>14.933999999999999</v>
      </c>
      <c r="J200" s="1033"/>
      <c r="K200" s="1034"/>
      <c r="L200" s="1033">
        <v>15.8</v>
      </c>
      <c r="M200" s="1033">
        <v>16</v>
      </c>
      <c r="N200" s="1569"/>
      <c r="O200" s="2152">
        <f t="shared" si="145"/>
        <v>1.2658227848101221E-2</v>
      </c>
      <c r="P200" s="1033">
        <v>16</v>
      </c>
      <c r="Q200" s="1569"/>
      <c r="R200" s="1033">
        <v>16</v>
      </c>
      <c r="S200" s="1569"/>
      <c r="T200" s="428"/>
      <c r="U200" s="691"/>
      <c r="V200" s="693"/>
      <c r="W200" s="693"/>
      <c r="X200" s="693"/>
      <c r="Y200" s="693"/>
      <c r="Z200" s="693"/>
      <c r="AA200" s="693"/>
      <c r="AB200" s="1858"/>
      <c r="AC200" s="693"/>
      <c r="AF200" s="84"/>
      <c r="AG200" s="84"/>
    </row>
    <row r="201" spans="1:33" ht="28.5" hidden="1" customHeight="1">
      <c r="A201" s="913"/>
      <c r="B201" s="665" t="s">
        <v>1078</v>
      </c>
      <c r="C201" s="976"/>
      <c r="D201" s="976"/>
      <c r="E201" s="1029" t="s">
        <v>1111</v>
      </c>
      <c r="F201" s="1122">
        <v>0.5</v>
      </c>
      <c r="G201" s="1122"/>
      <c r="H201" s="1122"/>
      <c r="I201" s="1033">
        <v>0.4</v>
      </c>
      <c r="J201" s="1033"/>
      <c r="K201" s="1033">
        <v>0.5</v>
      </c>
      <c r="L201" s="1033">
        <v>0.5</v>
      </c>
      <c r="M201" s="1033">
        <v>0.5</v>
      </c>
      <c r="N201" s="1569"/>
      <c r="O201" s="2152">
        <f t="shared" si="145"/>
        <v>0</v>
      </c>
      <c r="P201" s="1033">
        <v>0.5</v>
      </c>
      <c r="Q201" s="1569"/>
      <c r="R201" s="1033">
        <v>0.5</v>
      </c>
      <c r="S201" s="1569"/>
      <c r="T201" s="428"/>
      <c r="U201" s="691"/>
      <c r="V201" s="693"/>
      <c r="W201" s="693"/>
      <c r="X201" s="693"/>
      <c r="Y201" s="693"/>
      <c r="Z201" s="693"/>
      <c r="AA201" s="693"/>
      <c r="AB201" s="1858"/>
      <c r="AC201" s="693"/>
      <c r="AF201" s="84"/>
      <c r="AG201" s="84"/>
    </row>
    <row r="202" spans="1:33" ht="48" hidden="1" customHeight="1">
      <c r="A202" s="2879" t="s">
        <v>2027</v>
      </c>
      <c r="B202" s="2703" t="s">
        <v>3699</v>
      </c>
      <c r="C202" s="2700" t="s">
        <v>1071</v>
      </c>
      <c r="D202" s="1977"/>
      <c r="E202" s="1026" t="s">
        <v>470</v>
      </c>
      <c r="F202" s="722">
        <v>100</v>
      </c>
      <c r="G202" s="722"/>
      <c r="H202" s="722"/>
      <c r="I202" s="722"/>
      <c r="J202" s="722"/>
      <c r="K202" s="722"/>
      <c r="L202" s="722"/>
      <c r="M202" s="722"/>
      <c r="N202" s="1557"/>
      <c r="O202" s="2150" t="e">
        <f t="shared" si="145"/>
        <v>#DIV/0!</v>
      </c>
      <c r="P202" s="722"/>
      <c r="Q202" s="1557"/>
      <c r="R202" s="722"/>
      <c r="S202" s="1557"/>
      <c r="T202" s="2729" t="s">
        <v>2226</v>
      </c>
      <c r="U202" s="2704" t="s">
        <v>3733</v>
      </c>
      <c r="V202" s="2694" t="s">
        <v>1479</v>
      </c>
      <c r="W202" s="2694" t="s">
        <v>3541</v>
      </c>
      <c r="X202" s="2694">
        <v>0</v>
      </c>
      <c r="Y202" s="2694" t="s">
        <v>3542</v>
      </c>
      <c r="Z202" s="2694" t="s">
        <v>1315</v>
      </c>
      <c r="AA202" s="2694" t="s">
        <v>1420</v>
      </c>
      <c r="AB202" s="2694" t="s">
        <v>1707</v>
      </c>
      <c r="AC202" s="2694" t="s">
        <v>935</v>
      </c>
      <c r="AF202" s="84"/>
      <c r="AG202" s="84"/>
    </row>
    <row r="203" spans="1:33" ht="48" customHeight="1">
      <c r="A203" s="2879"/>
      <c r="B203" s="2703"/>
      <c r="C203" s="2700"/>
      <c r="D203" s="1977"/>
      <c r="E203" s="706" t="s">
        <v>1111</v>
      </c>
      <c r="F203" s="722">
        <v>300</v>
      </c>
      <c r="G203" s="722"/>
      <c r="H203" s="722"/>
      <c r="I203" s="722"/>
      <c r="J203" s="722"/>
      <c r="K203" s="722"/>
      <c r="L203" s="722">
        <f>L205+L206</f>
        <v>17.8</v>
      </c>
      <c r="M203" s="722">
        <f>M205+M206</f>
        <v>17.399999999999999</v>
      </c>
      <c r="N203" s="1557">
        <v>6.6</v>
      </c>
      <c r="O203" s="2150">
        <f t="shared" si="145"/>
        <v>-2.2471910112359668E-2</v>
      </c>
      <c r="P203" s="722">
        <f>P205+P206</f>
        <v>17.399999999999999</v>
      </c>
      <c r="Q203" s="1557">
        <v>7.7</v>
      </c>
      <c r="R203" s="722">
        <f t="shared" ref="R203" si="212">R205+R206</f>
        <v>17.399999999999999</v>
      </c>
      <c r="S203" s="1557">
        <v>8.8000000000000007</v>
      </c>
      <c r="T203" s="2729"/>
      <c r="U203" s="2704"/>
      <c r="V203" s="2694"/>
      <c r="W203" s="2694"/>
      <c r="X203" s="2694"/>
      <c r="Y203" s="2694"/>
      <c r="Z203" s="2694"/>
      <c r="AA203" s="2694"/>
      <c r="AB203" s="2694"/>
      <c r="AC203" s="2694"/>
      <c r="AF203" s="84"/>
      <c r="AG203" s="84"/>
    </row>
    <row r="204" spans="1:33" ht="48" customHeight="1">
      <c r="A204" s="2879"/>
      <c r="B204" s="2703"/>
      <c r="C204" s="2700"/>
      <c r="D204" s="1977"/>
      <c r="E204" s="725" t="s">
        <v>1067</v>
      </c>
      <c r="F204" s="728">
        <f>SUM(F202:F203)</f>
        <v>400</v>
      </c>
      <c r="G204" s="728"/>
      <c r="H204" s="728"/>
      <c r="I204" s="728"/>
      <c r="J204" s="728"/>
      <c r="K204" s="728"/>
      <c r="L204" s="728">
        <f t="shared" ref="L204:S204" si="213">L203</f>
        <v>17.8</v>
      </c>
      <c r="M204" s="728">
        <f t="shared" si="213"/>
        <v>17.399999999999999</v>
      </c>
      <c r="N204" s="1558">
        <f t="shared" si="213"/>
        <v>6.6</v>
      </c>
      <c r="O204" s="2162">
        <f t="shared" si="145"/>
        <v>-2.2471910112359668E-2</v>
      </c>
      <c r="P204" s="728">
        <f t="shared" si="213"/>
        <v>17.399999999999999</v>
      </c>
      <c r="Q204" s="1558">
        <f t="shared" si="213"/>
        <v>7.7</v>
      </c>
      <c r="R204" s="728">
        <f t="shared" si="213"/>
        <v>17.399999999999999</v>
      </c>
      <c r="S204" s="1558">
        <f t="shared" si="213"/>
        <v>8.8000000000000007</v>
      </c>
      <c r="T204" s="2729"/>
      <c r="U204" s="2734"/>
      <c r="V204" s="2694"/>
      <c r="W204" s="2694"/>
      <c r="X204" s="2694"/>
      <c r="Y204" s="2694"/>
      <c r="Z204" s="2694"/>
      <c r="AA204" s="2694"/>
      <c r="AB204" s="2694"/>
      <c r="AC204" s="2694"/>
      <c r="AF204" s="84"/>
      <c r="AG204" s="84"/>
    </row>
    <row r="205" spans="1:33" ht="29.4" hidden="1" customHeight="1">
      <c r="A205" s="967"/>
      <c r="B205" s="665" t="s">
        <v>3543</v>
      </c>
      <c r="C205" s="976"/>
      <c r="D205" s="976"/>
      <c r="E205" s="682"/>
      <c r="F205" s="681"/>
      <c r="G205" s="681"/>
      <c r="H205" s="681"/>
      <c r="I205" s="681"/>
      <c r="J205" s="681"/>
      <c r="K205" s="681"/>
      <c r="L205" s="681">
        <v>13.8</v>
      </c>
      <c r="M205" s="681">
        <v>14.4</v>
      </c>
      <c r="N205" s="1559"/>
      <c r="O205" s="2146">
        <f t="shared" si="145"/>
        <v>4.3478260869565188E-2</v>
      </c>
      <c r="P205" s="681">
        <v>14.4</v>
      </c>
      <c r="Q205" s="1559"/>
      <c r="R205" s="681">
        <v>14.4</v>
      </c>
      <c r="S205" s="1559"/>
      <c r="T205" s="175"/>
      <c r="U205" s="686"/>
      <c r="V205" s="688"/>
      <c r="W205" s="688"/>
      <c r="X205" s="688"/>
      <c r="Y205" s="688"/>
      <c r="Z205" s="688"/>
      <c r="AA205" s="688"/>
      <c r="AB205" s="1105"/>
      <c r="AC205" s="656"/>
      <c r="AF205" s="84"/>
      <c r="AG205" s="84"/>
    </row>
    <row r="206" spans="1:33" ht="28.2" hidden="1" customHeight="1">
      <c r="A206" s="967"/>
      <c r="B206" s="665" t="s">
        <v>2540</v>
      </c>
      <c r="C206" s="976"/>
      <c r="D206" s="976"/>
      <c r="E206" s="682"/>
      <c r="F206" s="681"/>
      <c r="G206" s="681"/>
      <c r="H206" s="681"/>
      <c r="I206" s="681"/>
      <c r="J206" s="681"/>
      <c r="K206" s="681"/>
      <c r="L206" s="681">
        <v>4</v>
      </c>
      <c r="M206" s="681">
        <v>3</v>
      </c>
      <c r="N206" s="1559"/>
      <c r="O206" s="2146">
        <f t="shared" si="145"/>
        <v>-0.25</v>
      </c>
      <c r="P206" s="681">
        <v>3</v>
      </c>
      <c r="Q206" s="1559"/>
      <c r="R206" s="681">
        <v>3</v>
      </c>
      <c r="S206" s="1559"/>
      <c r="T206" s="175"/>
      <c r="U206" s="686"/>
      <c r="V206" s="688"/>
      <c r="W206" s="688"/>
      <c r="X206" s="688"/>
      <c r="Y206" s="688"/>
      <c r="Z206" s="688"/>
      <c r="AA206" s="688"/>
      <c r="AB206" s="1105"/>
      <c r="AC206" s="656"/>
      <c r="AF206" s="84"/>
      <c r="AG206" s="84"/>
    </row>
    <row r="207" spans="1:33" ht="29.25" hidden="1" customHeight="1">
      <c r="A207" s="2879" t="s">
        <v>2028</v>
      </c>
      <c r="B207" s="2703" t="s">
        <v>2783</v>
      </c>
      <c r="C207" s="2700">
        <v>300079075</v>
      </c>
      <c r="D207" s="1977"/>
      <c r="E207" s="706" t="s">
        <v>2747</v>
      </c>
      <c r="F207" s="722">
        <v>39.22</v>
      </c>
      <c r="G207" s="723">
        <f t="shared" ref="G207:G210" si="214">I207/F207-1</f>
        <v>-0.39051504334523202</v>
      </c>
      <c r="H207" s="722"/>
      <c r="I207" s="722">
        <v>23.904</v>
      </c>
      <c r="J207" s="723">
        <f t="shared" ref="J207:J215" si="215">L207/I207-1</f>
        <v>-1</v>
      </c>
      <c r="K207" s="722"/>
      <c r="L207" s="722"/>
      <c r="M207" s="722"/>
      <c r="N207" s="722"/>
      <c r="O207" s="1013"/>
      <c r="P207" s="722"/>
      <c r="Q207" s="722"/>
      <c r="R207" s="722"/>
      <c r="S207" s="722"/>
      <c r="T207" s="2729" t="s">
        <v>2229</v>
      </c>
      <c r="U207" s="2704" t="s">
        <v>4373</v>
      </c>
      <c r="V207" s="2694" t="s">
        <v>1480</v>
      </c>
      <c r="W207" s="2694" t="s">
        <v>1440</v>
      </c>
      <c r="X207" s="2694">
        <v>1</v>
      </c>
      <c r="Y207" s="2694">
        <v>1</v>
      </c>
      <c r="Z207" s="2694">
        <v>1</v>
      </c>
      <c r="AA207" s="2694" t="s">
        <v>324</v>
      </c>
      <c r="AB207" s="2694" t="s">
        <v>324</v>
      </c>
      <c r="AC207" s="2694" t="s">
        <v>2228</v>
      </c>
      <c r="AF207" s="84"/>
      <c r="AG207" s="84"/>
    </row>
    <row r="208" spans="1:33" ht="31.5" hidden="1" customHeight="1">
      <c r="A208" s="2879"/>
      <c r="B208" s="2703"/>
      <c r="C208" s="2700"/>
      <c r="D208" s="1977"/>
      <c r="E208" s="706" t="s">
        <v>470</v>
      </c>
      <c r="F208" s="722"/>
      <c r="G208" s="723"/>
      <c r="H208" s="722"/>
      <c r="I208" s="722"/>
      <c r="J208" s="723"/>
      <c r="K208" s="722"/>
      <c r="L208" s="722"/>
      <c r="M208" s="722"/>
      <c r="N208" s="722"/>
      <c r="O208" s="1013"/>
      <c r="P208" s="722"/>
      <c r="Q208" s="722"/>
      <c r="R208" s="722"/>
      <c r="S208" s="722"/>
      <c r="T208" s="2729"/>
      <c r="U208" s="2704"/>
      <c r="V208" s="2694"/>
      <c r="W208" s="2694"/>
      <c r="X208" s="2694"/>
      <c r="Y208" s="2694"/>
      <c r="Z208" s="2694"/>
      <c r="AA208" s="2694"/>
      <c r="AB208" s="2694"/>
      <c r="AC208" s="2694"/>
      <c r="AF208" s="84"/>
      <c r="AG208" s="84"/>
    </row>
    <row r="209" spans="1:33" ht="30" hidden="1" customHeight="1">
      <c r="A209" s="2879"/>
      <c r="B209" s="2703"/>
      <c r="C209" s="2700"/>
      <c r="D209" s="1977"/>
      <c r="E209" s="706" t="s">
        <v>1358</v>
      </c>
      <c r="F209" s="722">
        <v>100</v>
      </c>
      <c r="G209" s="723">
        <f t="shared" si="214"/>
        <v>0</v>
      </c>
      <c r="H209" s="722"/>
      <c r="I209" s="722">
        <v>100</v>
      </c>
      <c r="J209" s="723">
        <f t="shared" si="215"/>
        <v>-0.7379</v>
      </c>
      <c r="K209" s="722">
        <v>26.213999999999999</v>
      </c>
      <c r="L209" s="722">
        <v>26.21</v>
      </c>
      <c r="M209" s="722"/>
      <c r="N209" s="722"/>
      <c r="O209" s="1013"/>
      <c r="P209" s="722"/>
      <c r="Q209" s="722"/>
      <c r="R209" s="722"/>
      <c r="S209" s="722"/>
      <c r="T209" s="2729"/>
      <c r="U209" s="2734"/>
      <c r="V209" s="2694"/>
      <c r="W209" s="2694"/>
      <c r="X209" s="2694"/>
      <c r="Y209" s="2694"/>
      <c r="Z209" s="2694"/>
      <c r="AA209" s="2694"/>
      <c r="AB209" s="2694"/>
      <c r="AC209" s="2694"/>
      <c r="AF209" s="84"/>
      <c r="AG209" s="84"/>
    </row>
    <row r="210" spans="1:33" ht="29.25" hidden="1" customHeight="1">
      <c r="A210" s="2879"/>
      <c r="B210" s="2703"/>
      <c r="C210" s="2700"/>
      <c r="D210" s="1977"/>
      <c r="E210" s="725" t="s">
        <v>1067</v>
      </c>
      <c r="F210" s="728">
        <f>SUM(F207:F209)</f>
        <v>139.22</v>
      </c>
      <c r="G210" s="729">
        <f t="shared" si="214"/>
        <v>-0.11001292917684247</v>
      </c>
      <c r="H210" s="728">
        <f>SUM(H207:H209)</f>
        <v>0</v>
      </c>
      <c r="I210" s="728">
        <f>SUM(I207:I209)</f>
        <v>123.904</v>
      </c>
      <c r="J210" s="729">
        <f t="shared" si="215"/>
        <v>-0.78846526342975209</v>
      </c>
      <c r="K210" s="728">
        <f t="shared" ref="K210:P210" si="216">SUM(K207:K209)</f>
        <v>26.213999999999999</v>
      </c>
      <c r="L210" s="728">
        <f t="shared" si="216"/>
        <v>26.21</v>
      </c>
      <c r="M210" s="728">
        <f t="shared" si="216"/>
        <v>0</v>
      </c>
      <c r="N210" s="728">
        <f t="shared" ref="N210" si="217">SUM(N207:N209)</f>
        <v>0</v>
      </c>
      <c r="O210" s="1243">
        <f t="shared" ref="O210:O273" si="218">(M210-L210)/L210</f>
        <v>-1</v>
      </c>
      <c r="P210" s="728">
        <f t="shared" si="216"/>
        <v>0</v>
      </c>
      <c r="Q210" s="728">
        <f t="shared" ref="Q210:R210" si="219">SUM(Q207:Q209)</f>
        <v>0</v>
      </c>
      <c r="R210" s="728">
        <f t="shared" si="219"/>
        <v>0</v>
      </c>
      <c r="S210" s="728">
        <f t="shared" ref="S210" si="220">SUM(S207:S209)</f>
        <v>0</v>
      </c>
      <c r="T210" s="2729"/>
      <c r="U210" s="2734"/>
      <c r="V210" s="2694"/>
      <c r="W210" s="2694"/>
      <c r="X210" s="2694"/>
      <c r="Y210" s="2694"/>
      <c r="Z210" s="2694"/>
      <c r="AA210" s="2694"/>
      <c r="AB210" s="2694"/>
      <c r="AC210" s="2694"/>
      <c r="AF210" s="84"/>
      <c r="AG210" s="84"/>
    </row>
    <row r="211" spans="1:33" ht="33.75" customHeight="1">
      <c r="A211" s="2879" t="s">
        <v>3369</v>
      </c>
      <c r="B211" s="2703" t="s">
        <v>3370</v>
      </c>
      <c r="C211" s="2700" t="s">
        <v>3016</v>
      </c>
      <c r="D211" s="1977"/>
      <c r="E211" s="706" t="s">
        <v>2747</v>
      </c>
      <c r="F211" s="970"/>
      <c r="G211" s="970"/>
      <c r="H211" s="970"/>
      <c r="I211" s="722">
        <v>10</v>
      </c>
      <c r="J211" s="723">
        <f t="shared" si="215"/>
        <v>2.8221000000000003</v>
      </c>
      <c r="K211" s="970">
        <f>SUM(K216,K220)</f>
        <v>0</v>
      </c>
      <c r="L211" s="974">
        <f>SUM(L216,L220)</f>
        <v>38.221000000000004</v>
      </c>
      <c r="M211" s="974"/>
      <c r="N211" s="1557"/>
      <c r="O211" s="2150">
        <f t="shared" si="218"/>
        <v>-1</v>
      </c>
      <c r="P211" s="974">
        <f t="shared" ref="P211" si="221">SUM(P216,P220)</f>
        <v>0</v>
      </c>
      <c r="Q211" s="1557"/>
      <c r="R211" s="974"/>
      <c r="S211" s="1557"/>
      <c r="T211" s="2729" t="s">
        <v>2229</v>
      </c>
      <c r="U211" s="2704" t="s">
        <v>4374</v>
      </c>
      <c r="V211" s="2694" t="s">
        <v>1481</v>
      </c>
      <c r="W211" s="2694" t="s">
        <v>1441</v>
      </c>
      <c r="X211" s="656">
        <v>0</v>
      </c>
      <c r="Y211" s="2694">
        <v>0</v>
      </c>
      <c r="Z211" s="2694" t="s">
        <v>433</v>
      </c>
      <c r="AA211" s="2694">
        <v>1</v>
      </c>
      <c r="AB211" s="3028" t="s">
        <v>433</v>
      </c>
      <c r="AC211" s="2694"/>
      <c r="AF211" s="84"/>
      <c r="AG211" s="84"/>
    </row>
    <row r="212" spans="1:33" ht="33" customHeight="1">
      <c r="A212" s="2879"/>
      <c r="B212" s="2703"/>
      <c r="C212" s="2700"/>
      <c r="D212" s="1977"/>
      <c r="E212" s="706" t="s">
        <v>470</v>
      </c>
      <c r="F212" s="970"/>
      <c r="G212" s="970"/>
      <c r="H212" s="970"/>
      <c r="I212" s="722"/>
      <c r="J212" s="723"/>
      <c r="K212" s="970">
        <f>SUM(K217,K221)</f>
        <v>38.220000000000006</v>
      </c>
      <c r="L212" s="974">
        <v>0</v>
      </c>
      <c r="M212" s="1903"/>
      <c r="N212" s="1557">
        <f>SUM(N217,N221)</f>
        <v>82.05</v>
      </c>
      <c r="O212" s="2150"/>
      <c r="P212" s="1903"/>
      <c r="Q212" s="1557">
        <f>SUM(Q217,Q221)</f>
        <v>75.98</v>
      </c>
      <c r="R212" s="974"/>
      <c r="S212" s="1557"/>
      <c r="T212" s="2729"/>
      <c r="U212" s="2704"/>
      <c r="V212" s="2694"/>
      <c r="W212" s="2694"/>
      <c r="X212" s="656"/>
      <c r="Y212" s="2694"/>
      <c r="Z212" s="2694"/>
      <c r="AA212" s="2694"/>
      <c r="AB212" s="3028"/>
      <c r="AC212" s="2694"/>
      <c r="AF212" s="84"/>
      <c r="AG212" s="84"/>
    </row>
    <row r="213" spans="1:33" ht="37.200000000000003" customHeight="1">
      <c r="A213" s="2879"/>
      <c r="B213" s="2703"/>
      <c r="C213" s="2700"/>
      <c r="D213" s="1977"/>
      <c r="E213" s="706" t="s">
        <v>246</v>
      </c>
      <c r="F213" s="970"/>
      <c r="G213" s="970"/>
      <c r="H213" s="970"/>
      <c r="I213" s="722"/>
      <c r="J213" s="723"/>
      <c r="K213" s="970">
        <f>SUM(K218,K222)</f>
        <v>216.58</v>
      </c>
      <c r="L213" s="974">
        <f t="shared" ref="L213" si="222">SUM(L218,L222)</f>
        <v>216.58</v>
      </c>
      <c r="M213" s="1903">
        <f>SUM(M218,M222)</f>
        <v>339.83499999999998</v>
      </c>
      <c r="N213" s="1557">
        <f>SUM(N218,N222)</f>
        <v>339.83499999999998</v>
      </c>
      <c r="O213" s="2150">
        <f t="shared" si="218"/>
        <v>0.56909686951703742</v>
      </c>
      <c r="P213" s="1903">
        <f>SUM(P218,P222)</f>
        <v>422.94499999999999</v>
      </c>
      <c r="Q213" s="1557">
        <f>SUM(Q218,Q222)</f>
        <v>422.94499999999999</v>
      </c>
      <c r="R213" s="974"/>
      <c r="S213" s="1557"/>
      <c r="T213" s="2729"/>
      <c r="U213" s="2734"/>
      <c r="V213" s="2694"/>
      <c r="W213" s="2694" t="s">
        <v>2529</v>
      </c>
      <c r="X213" s="656" t="s">
        <v>433</v>
      </c>
      <c r="Y213" s="2694" t="s">
        <v>433</v>
      </c>
      <c r="Z213" s="2694" t="s">
        <v>433</v>
      </c>
      <c r="AA213" s="2694" t="s">
        <v>1421</v>
      </c>
      <c r="AB213" s="3028" t="s">
        <v>433</v>
      </c>
      <c r="AC213" s="2694"/>
      <c r="AF213" s="84"/>
      <c r="AG213" s="84"/>
    </row>
    <row r="214" spans="1:33" ht="31.8" customHeight="1">
      <c r="A214" s="2879"/>
      <c r="B214" s="2703"/>
      <c r="C214" s="2700"/>
      <c r="D214" s="1977"/>
      <c r="E214" s="706" t="s">
        <v>1358</v>
      </c>
      <c r="F214" s="970"/>
      <c r="G214" s="970"/>
      <c r="H214" s="970"/>
      <c r="I214" s="722"/>
      <c r="J214" s="723"/>
      <c r="K214" s="970"/>
      <c r="L214" s="974"/>
      <c r="M214" s="974">
        <v>82.05</v>
      </c>
      <c r="N214" s="1557"/>
      <c r="O214" s="2150"/>
      <c r="P214" s="974">
        <v>75.98</v>
      </c>
      <c r="Q214" s="1557"/>
      <c r="R214" s="974"/>
      <c r="S214" s="1557"/>
      <c r="T214" s="2729"/>
      <c r="U214" s="2734"/>
      <c r="V214" s="2694"/>
      <c r="W214" s="2694"/>
      <c r="X214" s="656"/>
      <c r="Y214" s="2694"/>
      <c r="Z214" s="2694"/>
      <c r="AA214" s="2694"/>
      <c r="AB214" s="3028"/>
      <c r="AC214" s="2694"/>
      <c r="AF214" s="84"/>
      <c r="AG214" s="84"/>
    </row>
    <row r="215" spans="1:33" ht="57" customHeight="1">
      <c r="A215" s="2879"/>
      <c r="B215" s="2703"/>
      <c r="C215" s="2700"/>
      <c r="D215" s="1977"/>
      <c r="E215" s="725" t="s">
        <v>1067</v>
      </c>
      <c r="F215" s="964">
        <f>F211</f>
        <v>0</v>
      </c>
      <c r="G215" s="964">
        <f t="shared" ref="G215:I215" si="223">G211</f>
        <v>0</v>
      </c>
      <c r="H215" s="964">
        <f t="shared" si="223"/>
        <v>0</v>
      </c>
      <c r="I215" s="728">
        <f t="shared" si="223"/>
        <v>10</v>
      </c>
      <c r="J215" s="729">
        <f t="shared" si="215"/>
        <v>24.4801</v>
      </c>
      <c r="K215" s="964">
        <f>SUM(K211,K212,K213,)</f>
        <v>254.8</v>
      </c>
      <c r="L215" s="988">
        <f t="shared" ref="L215" si="224">SUM(L211,L212,L213,)</f>
        <v>254.80100000000002</v>
      </c>
      <c r="M215" s="988">
        <f>SUM(M211,M212,M213,M214)</f>
        <v>421.88499999999999</v>
      </c>
      <c r="N215" s="988">
        <f t="shared" ref="N215:R215" si="225">SUM(N211,N212,N213,N214)</f>
        <v>421.88499999999999</v>
      </c>
      <c r="O215" s="988">
        <f t="shared" si="225"/>
        <v>-0.43090313048296258</v>
      </c>
      <c r="P215" s="988">
        <f t="shared" si="225"/>
        <v>498.92500000000001</v>
      </c>
      <c r="Q215" s="988">
        <f t="shared" si="225"/>
        <v>498.92500000000001</v>
      </c>
      <c r="R215" s="988">
        <f t="shared" si="225"/>
        <v>0</v>
      </c>
      <c r="S215" s="1558"/>
      <c r="T215" s="2729"/>
      <c r="U215" s="2734"/>
      <c r="V215" s="2694"/>
      <c r="W215" s="656" t="s">
        <v>2784</v>
      </c>
      <c r="X215" s="656" t="s">
        <v>433</v>
      </c>
      <c r="Y215" s="656" t="s">
        <v>433</v>
      </c>
      <c r="Z215" s="656" t="s">
        <v>433</v>
      </c>
      <c r="AA215" s="656" t="s">
        <v>1432</v>
      </c>
      <c r="AB215" s="971" t="s">
        <v>433</v>
      </c>
      <c r="AC215" s="2694"/>
      <c r="AF215" s="84"/>
      <c r="AG215" s="84"/>
    </row>
    <row r="216" spans="1:33" ht="29.25" hidden="1" customHeight="1">
      <c r="A216" s="2876" t="s">
        <v>3127</v>
      </c>
      <c r="B216" s="2826" t="s">
        <v>2540</v>
      </c>
      <c r="C216" s="976"/>
      <c r="D216" s="976"/>
      <c r="E216" s="682" t="s">
        <v>2747</v>
      </c>
      <c r="F216" s="755"/>
      <c r="G216" s="755"/>
      <c r="H216" s="755"/>
      <c r="I216" s="737"/>
      <c r="J216" s="737"/>
      <c r="K216" s="968"/>
      <c r="L216" s="681">
        <v>0.52700000000000002</v>
      </c>
      <c r="M216" s="737"/>
      <c r="N216" s="1567"/>
      <c r="O216" s="2146">
        <f t="shared" si="218"/>
        <v>-1</v>
      </c>
      <c r="P216" s="737"/>
      <c r="Q216" s="1567"/>
      <c r="R216" s="737"/>
      <c r="S216" s="1567"/>
      <c r="T216" s="499"/>
      <c r="U216" s="681"/>
      <c r="V216" s="693"/>
      <c r="W216" s="693"/>
      <c r="X216" s="693"/>
      <c r="Y216" s="693"/>
      <c r="Z216" s="693"/>
      <c r="AA216" s="693"/>
      <c r="AB216" s="1858"/>
      <c r="AC216" s="693"/>
      <c r="AF216" s="84"/>
      <c r="AG216" s="84"/>
    </row>
    <row r="217" spans="1:33" ht="28.5" hidden="1" customHeight="1">
      <c r="A217" s="2874"/>
      <c r="B217" s="2826"/>
      <c r="C217" s="976"/>
      <c r="D217" s="976"/>
      <c r="E217" s="682" t="s">
        <v>470</v>
      </c>
      <c r="F217" s="755"/>
      <c r="G217" s="755"/>
      <c r="H217" s="755"/>
      <c r="I217" s="737"/>
      <c r="J217" s="737"/>
      <c r="K217" s="966">
        <v>0.52600000000000002</v>
      </c>
      <c r="L217" s="681">
        <v>0</v>
      </c>
      <c r="M217" s="1901">
        <v>1.472</v>
      </c>
      <c r="N217" s="1559">
        <v>1.472</v>
      </c>
      <c r="O217" s="2146" t="e">
        <f t="shared" si="218"/>
        <v>#DIV/0!</v>
      </c>
      <c r="P217" s="1901">
        <v>1.42</v>
      </c>
      <c r="Q217" s="1559">
        <v>1.42</v>
      </c>
      <c r="R217" s="681"/>
      <c r="S217" s="1559"/>
      <c r="T217" s="499"/>
      <c r="U217" s="681"/>
      <c r="V217" s="693"/>
      <c r="W217" s="693"/>
      <c r="X217" s="693"/>
      <c r="Y217" s="693"/>
      <c r="Z217" s="693"/>
      <c r="AA217" s="693"/>
      <c r="AB217" s="1858"/>
      <c r="AC217" s="693"/>
      <c r="AF217" s="84"/>
      <c r="AG217" s="84"/>
    </row>
    <row r="218" spans="1:33" ht="26.25" hidden="1" customHeight="1">
      <c r="A218" s="2874"/>
      <c r="B218" s="2826"/>
      <c r="C218" s="976"/>
      <c r="D218" s="976"/>
      <c r="E218" s="682" t="s">
        <v>246</v>
      </c>
      <c r="F218" s="755"/>
      <c r="G218" s="755"/>
      <c r="H218" s="755"/>
      <c r="I218" s="737"/>
      <c r="J218" s="737"/>
      <c r="K218" s="966">
        <v>2.9790000000000001</v>
      </c>
      <c r="L218" s="681">
        <v>2.9790000000000001</v>
      </c>
      <c r="M218" s="1901">
        <v>8.1980000000000004</v>
      </c>
      <c r="N218" s="1559">
        <v>8.1980000000000004</v>
      </c>
      <c r="O218" s="2146">
        <f t="shared" si="218"/>
        <v>1.7519301779120511</v>
      </c>
      <c r="P218" s="1901">
        <v>7.9050000000000002</v>
      </c>
      <c r="Q218" s="1559">
        <v>7.9050000000000002</v>
      </c>
      <c r="R218" s="681"/>
      <c r="S218" s="1559"/>
      <c r="T218" s="499"/>
      <c r="U218" s="681"/>
      <c r="V218" s="693"/>
      <c r="W218" s="693"/>
      <c r="X218" s="693"/>
      <c r="Y218" s="693"/>
      <c r="Z218" s="693"/>
      <c r="AA218" s="693"/>
      <c r="AB218" s="1858"/>
      <c r="AC218" s="693"/>
      <c r="AF218" s="84"/>
      <c r="AG218" s="84"/>
    </row>
    <row r="219" spans="1:33" ht="27" hidden="1" customHeight="1">
      <c r="A219" s="2874"/>
      <c r="B219" s="2826"/>
      <c r="C219" s="976"/>
      <c r="D219" s="976"/>
      <c r="E219" s="700" t="s">
        <v>1067</v>
      </c>
      <c r="F219" s="755"/>
      <c r="G219" s="755"/>
      <c r="H219" s="755"/>
      <c r="I219" s="737"/>
      <c r="J219" s="737"/>
      <c r="K219" s="968">
        <f>SUM(K216,K217,K218)</f>
        <v>3.5049999999999999</v>
      </c>
      <c r="L219" s="737">
        <f t="shared" ref="L219:P219" si="226">SUM(L216,L217,L218)</f>
        <v>3.5060000000000002</v>
      </c>
      <c r="M219" s="737">
        <f t="shared" si="226"/>
        <v>9.67</v>
      </c>
      <c r="N219" s="1567">
        <f t="shared" ref="N219" si="227">SUM(N216,N217,N218)</f>
        <v>9.67</v>
      </c>
      <c r="O219" s="2146">
        <f t="shared" si="218"/>
        <v>1.7581289218482599</v>
      </c>
      <c r="P219" s="737">
        <f t="shared" si="226"/>
        <v>9.3249999999999993</v>
      </c>
      <c r="Q219" s="1567">
        <f t="shared" ref="Q219" si="228">SUM(Q216,Q217,Q218)</f>
        <v>9.3249999999999993</v>
      </c>
      <c r="R219" s="737"/>
      <c r="S219" s="1567"/>
      <c r="T219" s="499"/>
      <c r="U219" s="681"/>
      <c r="V219" s="693"/>
      <c r="W219" s="693"/>
      <c r="X219" s="693"/>
      <c r="Y219" s="693"/>
      <c r="Z219" s="693"/>
      <c r="AA219" s="693"/>
      <c r="AB219" s="1858"/>
      <c r="AC219" s="693"/>
      <c r="AF219" s="84"/>
      <c r="AG219" s="84"/>
    </row>
    <row r="220" spans="1:33" ht="29.25" hidden="1" customHeight="1">
      <c r="A220" s="3024" t="s">
        <v>3126</v>
      </c>
      <c r="B220" s="3026" t="s">
        <v>1412</v>
      </c>
      <c r="C220" s="1028"/>
      <c r="D220" s="1028"/>
      <c r="E220" s="1029" t="s">
        <v>2747</v>
      </c>
      <c r="F220" s="1030"/>
      <c r="G220" s="1030"/>
      <c r="H220" s="1030"/>
      <c r="I220" s="1031"/>
      <c r="J220" s="1031"/>
      <c r="K220" s="1032"/>
      <c r="L220" s="1033">
        <v>37.694000000000003</v>
      </c>
      <c r="M220" s="1031"/>
      <c r="N220" s="1568"/>
      <c r="O220" s="2152">
        <f t="shared" si="218"/>
        <v>-1</v>
      </c>
      <c r="P220" s="1031"/>
      <c r="Q220" s="1568"/>
      <c r="R220" s="1031"/>
      <c r="S220" s="1568"/>
      <c r="T220" s="502"/>
      <c r="U220" s="1033"/>
      <c r="V220" s="1027"/>
      <c r="W220" s="1027"/>
      <c r="X220" s="1027"/>
      <c r="Y220" s="1027"/>
      <c r="Z220" s="1027"/>
      <c r="AA220" s="1027"/>
      <c r="AB220" s="1860"/>
      <c r="AC220" s="1027"/>
      <c r="AF220" s="84"/>
      <c r="AG220" s="84"/>
    </row>
    <row r="221" spans="1:33" ht="31.5" hidden="1" customHeight="1">
      <c r="A221" s="3025"/>
      <c r="B221" s="3026"/>
      <c r="C221" s="1028"/>
      <c r="D221" s="1028"/>
      <c r="E221" s="1029" t="s">
        <v>470</v>
      </c>
      <c r="F221" s="1030"/>
      <c r="G221" s="1030"/>
      <c r="H221" s="1030"/>
      <c r="I221" s="1031"/>
      <c r="J221" s="1031"/>
      <c r="K221" s="1034">
        <v>37.694000000000003</v>
      </c>
      <c r="L221" s="1033">
        <v>0</v>
      </c>
      <c r="M221" s="1902">
        <v>80.578000000000003</v>
      </c>
      <c r="N221" s="1569">
        <v>80.578000000000003</v>
      </c>
      <c r="O221" s="2152" t="e">
        <f t="shared" si="218"/>
        <v>#DIV/0!</v>
      </c>
      <c r="P221" s="1902">
        <v>74.56</v>
      </c>
      <c r="Q221" s="1569">
        <v>74.56</v>
      </c>
      <c r="R221" s="1033"/>
      <c r="S221" s="1569"/>
      <c r="T221" s="502"/>
      <c r="U221" s="1033"/>
      <c r="V221" s="1027"/>
      <c r="W221" s="1027"/>
      <c r="X221" s="1027"/>
      <c r="Y221" s="1027"/>
      <c r="Z221" s="1027"/>
      <c r="AA221" s="1027"/>
      <c r="AB221" s="1860"/>
      <c r="AC221" s="1027"/>
      <c r="AF221" s="84"/>
      <c r="AG221" s="84"/>
    </row>
    <row r="222" spans="1:33" ht="30" hidden="1" customHeight="1">
      <c r="A222" s="3025"/>
      <c r="B222" s="3026"/>
      <c r="C222" s="1028"/>
      <c r="D222" s="1028"/>
      <c r="E222" s="1029" t="s">
        <v>246</v>
      </c>
      <c r="F222" s="1030"/>
      <c r="G222" s="1030"/>
      <c r="H222" s="1030"/>
      <c r="I222" s="1031"/>
      <c r="J222" s="1031"/>
      <c r="K222" s="1034">
        <v>213.601</v>
      </c>
      <c r="L222" s="1033">
        <v>213.601</v>
      </c>
      <c r="M222" s="1902">
        <v>331.637</v>
      </c>
      <c r="N222" s="1569">
        <v>331.637</v>
      </c>
      <c r="O222" s="2152">
        <f t="shared" si="218"/>
        <v>0.55260040917411435</v>
      </c>
      <c r="P222" s="1902">
        <v>415.04</v>
      </c>
      <c r="Q222" s="1569">
        <v>415.04</v>
      </c>
      <c r="R222" s="1033"/>
      <c r="S222" s="1569"/>
      <c r="T222" s="502"/>
      <c r="U222" s="1033"/>
      <c r="V222" s="1027"/>
      <c r="W222" s="1027"/>
      <c r="X222" s="1027"/>
      <c r="Y222" s="1027"/>
      <c r="Z222" s="1027"/>
      <c r="AA222" s="1027"/>
      <c r="AB222" s="1860"/>
      <c r="AC222" s="1027"/>
      <c r="AF222" s="84"/>
      <c r="AG222" s="84"/>
    </row>
    <row r="223" spans="1:33" ht="33" hidden="1" customHeight="1">
      <c r="A223" s="3025"/>
      <c r="B223" s="3026"/>
      <c r="C223" s="1028"/>
      <c r="D223" s="1028"/>
      <c r="E223" s="1035" t="s">
        <v>1067</v>
      </c>
      <c r="F223" s="1030"/>
      <c r="G223" s="1030"/>
      <c r="H223" s="1030"/>
      <c r="I223" s="1031"/>
      <c r="J223" s="1031"/>
      <c r="K223" s="1032">
        <f>SUM(K220,K221,K222)</f>
        <v>251.29500000000002</v>
      </c>
      <c r="L223" s="1031">
        <f t="shared" ref="L223:P223" si="229">SUM(L220,L221,L222)</f>
        <v>251.29500000000002</v>
      </c>
      <c r="M223" s="1031">
        <f t="shared" si="229"/>
        <v>412.21500000000003</v>
      </c>
      <c r="N223" s="1568">
        <f t="shared" ref="N223" si="230">SUM(N220,N221,N222)</f>
        <v>412.21500000000003</v>
      </c>
      <c r="O223" s="2152">
        <f t="shared" si="218"/>
        <v>0.64036292007401663</v>
      </c>
      <c r="P223" s="1031">
        <f t="shared" si="229"/>
        <v>489.6</v>
      </c>
      <c r="Q223" s="1568">
        <f t="shared" ref="Q223" si="231">SUM(Q220,Q221,Q222)</f>
        <v>489.6</v>
      </c>
      <c r="R223" s="1031"/>
      <c r="S223" s="1568"/>
      <c r="T223" s="502"/>
      <c r="U223" s="1033"/>
      <c r="V223" s="1027"/>
      <c r="W223" s="1027"/>
      <c r="X223" s="1027"/>
      <c r="Y223" s="1027"/>
      <c r="Z223" s="1027"/>
      <c r="AA223" s="1027"/>
      <c r="AB223" s="1860"/>
      <c r="AC223" s="1027"/>
      <c r="AF223" s="84"/>
      <c r="AG223" s="84"/>
    </row>
    <row r="224" spans="1:33" ht="69.599999999999994" customHeight="1">
      <c r="A224" s="2879" t="s">
        <v>2029</v>
      </c>
      <c r="B224" s="2703" t="s">
        <v>3700</v>
      </c>
      <c r="C224" s="2700">
        <v>188711925</v>
      </c>
      <c r="D224" s="2998" t="s">
        <v>3508</v>
      </c>
      <c r="E224" s="706" t="s">
        <v>470</v>
      </c>
      <c r="F224" s="970">
        <v>7</v>
      </c>
      <c r="G224" s="973">
        <f t="shared" ref="G224:G225" si="232">I224/F224-1</f>
        <v>0.4285714285714286</v>
      </c>
      <c r="H224" s="970">
        <v>12</v>
      </c>
      <c r="I224" s="722">
        <v>10</v>
      </c>
      <c r="J224" s="723">
        <f t="shared" ref="J224:J225" si="233">L224/I224-1</f>
        <v>0.30000000000000004</v>
      </c>
      <c r="K224" s="970">
        <f>SUM(K226,K230)</f>
        <v>14.9</v>
      </c>
      <c r="L224" s="974">
        <f t="shared" ref="L224" si="234">SUM(L226,L230)</f>
        <v>13</v>
      </c>
      <c r="M224" s="974">
        <v>69</v>
      </c>
      <c r="N224" s="1557">
        <v>68.968000000000004</v>
      </c>
      <c r="O224" s="2150">
        <f t="shared" si="218"/>
        <v>4.3076923076923075</v>
      </c>
      <c r="P224" s="974">
        <v>70</v>
      </c>
      <c r="Q224" s="1557">
        <v>70</v>
      </c>
      <c r="R224" s="974">
        <v>72</v>
      </c>
      <c r="S224" s="1557">
        <v>72</v>
      </c>
      <c r="T224" s="2729" t="s">
        <v>2230</v>
      </c>
      <c r="U224" s="2704" t="s">
        <v>3232</v>
      </c>
      <c r="V224" s="2694" t="s">
        <v>1482</v>
      </c>
      <c r="W224" s="2694" t="s">
        <v>3531</v>
      </c>
      <c r="X224" s="2694">
        <v>1</v>
      </c>
      <c r="Y224" s="2694" t="s">
        <v>432</v>
      </c>
      <c r="Z224" s="2694" t="s">
        <v>432</v>
      </c>
      <c r="AA224" s="2694" t="s">
        <v>1372</v>
      </c>
      <c r="AB224" s="3028" t="s">
        <v>1372</v>
      </c>
      <c r="AC224" s="2694" t="s">
        <v>2231</v>
      </c>
      <c r="AF224" s="84"/>
      <c r="AG224" s="84"/>
    </row>
    <row r="225" spans="1:33" ht="97.2" customHeight="1">
      <c r="A225" s="2879"/>
      <c r="B225" s="2703"/>
      <c r="C225" s="2700"/>
      <c r="D225" s="2999"/>
      <c r="E225" s="725" t="s">
        <v>1067</v>
      </c>
      <c r="F225" s="964">
        <f>F224</f>
        <v>7</v>
      </c>
      <c r="G225" s="965">
        <f t="shared" si="232"/>
        <v>0.4285714285714286</v>
      </c>
      <c r="H225" s="964">
        <f t="shared" ref="H225:P225" si="235">H224</f>
        <v>12</v>
      </c>
      <c r="I225" s="728">
        <f t="shared" si="235"/>
        <v>10</v>
      </c>
      <c r="J225" s="729">
        <f t="shared" si="233"/>
        <v>0.30000000000000004</v>
      </c>
      <c r="K225" s="964">
        <f t="shared" si="235"/>
        <v>14.9</v>
      </c>
      <c r="L225" s="728">
        <f t="shared" si="235"/>
        <v>13</v>
      </c>
      <c r="M225" s="728">
        <f t="shared" si="235"/>
        <v>69</v>
      </c>
      <c r="N225" s="1558">
        <f t="shared" ref="N225" si="236">N224</f>
        <v>68.968000000000004</v>
      </c>
      <c r="O225" s="2162">
        <f t="shared" si="218"/>
        <v>4.3076923076923075</v>
      </c>
      <c r="P225" s="728">
        <f t="shared" si="235"/>
        <v>70</v>
      </c>
      <c r="Q225" s="1558">
        <f t="shared" ref="Q225:R225" si="237">Q224</f>
        <v>70</v>
      </c>
      <c r="R225" s="728">
        <f t="shared" si="237"/>
        <v>72</v>
      </c>
      <c r="S225" s="1558">
        <f t="shared" ref="S225" si="238">S224</f>
        <v>72</v>
      </c>
      <c r="T225" s="2729"/>
      <c r="U225" s="2734"/>
      <c r="V225" s="2694"/>
      <c r="W225" s="2694"/>
      <c r="X225" s="2694"/>
      <c r="Y225" s="2694"/>
      <c r="Z225" s="2694"/>
      <c r="AA225" s="2694"/>
      <c r="AB225" s="3028"/>
      <c r="AC225" s="2694"/>
      <c r="AF225" s="84"/>
      <c r="AG225" s="84"/>
    </row>
    <row r="226" spans="1:33" ht="23.25" hidden="1" customHeight="1">
      <c r="A226" s="913"/>
      <c r="B226" s="665" t="s">
        <v>3371</v>
      </c>
      <c r="C226" s="976"/>
      <c r="D226" s="976"/>
      <c r="E226" s="700"/>
      <c r="F226" s="737"/>
      <c r="G226" s="733"/>
      <c r="H226" s="737"/>
      <c r="I226" s="737"/>
      <c r="J226" s="737"/>
      <c r="K226" s="966">
        <v>10</v>
      </c>
      <c r="L226" s="681">
        <v>10</v>
      </c>
      <c r="M226" s="681">
        <v>10</v>
      </c>
      <c r="N226" s="1559">
        <v>10</v>
      </c>
      <c r="O226" s="2146">
        <f t="shared" si="218"/>
        <v>0</v>
      </c>
      <c r="P226" s="681">
        <v>10</v>
      </c>
      <c r="Q226" s="1559">
        <v>10</v>
      </c>
      <c r="R226" s="681">
        <v>10</v>
      </c>
      <c r="S226" s="1559">
        <v>10</v>
      </c>
      <c r="T226" s="175"/>
      <c r="U226" s="686"/>
      <c r="V226" s="688"/>
      <c r="W226" s="688"/>
      <c r="X226" s="688"/>
      <c r="Y226" s="688"/>
      <c r="Z226" s="688"/>
      <c r="AA226" s="688"/>
      <c r="AB226" s="1105"/>
      <c r="AC226" s="656"/>
      <c r="AF226" s="84"/>
      <c r="AG226" s="84"/>
    </row>
    <row r="227" spans="1:33" ht="48" hidden="1" customHeight="1">
      <c r="A227" s="2694" t="s">
        <v>4198</v>
      </c>
      <c r="B227" s="2695" t="s">
        <v>4199</v>
      </c>
      <c r="C227" s="2700">
        <v>188711925</v>
      </c>
      <c r="D227" s="1150"/>
      <c r="E227" s="706" t="s">
        <v>470</v>
      </c>
      <c r="F227" s="767">
        <v>7.9480000000000004</v>
      </c>
      <c r="G227" s="767"/>
      <c r="H227" s="767"/>
      <c r="I227" s="767"/>
      <c r="J227" s="767"/>
      <c r="K227" s="1004"/>
      <c r="L227" s="770"/>
      <c r="M227" s="770"/>
      <c r="N227" s="1592"/>
      <c r="O227" s="2153"/>
      <c r="P227" s="770"/>
      <c r="Q227" s="1592"/>
      <c r="R227" s="770"/>
      <c r="S227" s="1592"/>
      <c r="T227" s="2729" t="s">
        <v>2229</v>
      </c>
      <c r="U227" s="2704" t="s">
        <v>4299</v>
      </c>
      <c r="V227" s="2694" t="s">
        <v>1483</v>
      </c>
      <c r="W227" s="2694" t="s">
        <v>4200</v>
      </c>
      <c r="X227" s="2694"/>
      <c r="Y227" s="2694"/>
      <c r="Z227" s="2694" t="s">
        <v>3949</v>
      </c>
      <c r="AA227" s="2694" t="s">
        <v>3949</v>
      </c>
      <c r="AB227" s="3028" t="s">
        <v>3949</v>
      </c>
      <c r="AC227" s="2694" t="s">
        <v>2228</v>
      </c>
      <c r="AF227" s="84"/>
      <c r="AG227" s="84"/>
    </row>
    <row r="228" spans="1:33" ht="63.6" customHeight="1">
      <c r="A228" s="2694"/>
      <c r="B228" s="2695"/>
      <c r="C228" s="2700"/>
      <c r="D228" s="1150"/>
      <c r="E228" s="706" t="s">
        <v>246</v>
      </c>
      <c r="F228" s="767"/>
      <c r="G228" s="767"/>
      <c r="H228" s="767"/>
      <c r="I228" s="767"/>
      <c r="J228" s="767"/>
      <c r="K228" s="1004"/>
      <c r="L228" s="770"/>
      <c r="M228" s="974">
        <v>119.982</v>
      </c>
      <c r="N228" s="1557">
        <v>119.982</v>
      </c>
      <c r="O228" s="2153"/>
      <c r="P228" s="974">
        <v>119.982</v>
      </c>
      <c r="Q228" s="1557">
        <v>119.982</v>
      </c>
      <c r="R228" s="974">
        <v>119.982</v>
      </c>
      <c r="S228" s="1557">
        <v>119.982</v>
      </c>
      <c r="T228" s="2729"/>
      <c r="U228" s="2734"/>
      <c r="V228" s="2694"/>
      <c r="W228" s="2694"/>
      <c r="X228" s="2694"/>
      <c r="Y228" s="2694"/>
      <c r="Z228" s="2694"/>
      <c r="AA228" s="2694"/>
      <c r="AB228" s="3028"/>
      <c r="AC228" s="2694"/>
      <c r="AF228" s="84"/>
      <c r="AG228" s="84"/>
    </row>
    <row r="229" spans="1:33" ht="100.8" customHeight="1">
      <c r="A229" s="2694"/>
      <c r="B229" s="2695"/>
      <c r="C229" s="2700"/>
      <c r="D229" s="1150"/>
      <c r="E229" s="1985" t="s">
        <v>1067</v>
      </c>
      <c r="F229" s="771">
        <f>F227</f>
        <v>7.9480000000000004</v>
      </c>
      <c r="G229" s="771"/>
      <c r="H229" s="771"/>
      <c r="I229" s="771"/>
      <c r="J229" s="771"/>
      <c r="K229" s="1986"/>
      <c r="L229" s="774"/>
      <c r="M229" s="988">
        <f>M228</f>
        <v>119.982</v>
      </c>
      <c r="N229" s="988">
        <f t="shared" ref="N229:S229" si="239">N228</f>
        <v>119.982</v>
      </c>
      <c r="O229" s="2164"/>
      <c r="P229" s="988">
        <f t="shared" si="239"/>
        <v>119.982</v>
      </c>
      <c r="Q229" s="988">
        <f t="shared" si="239"/>
        <v>119.982</v>
      </c>
      <c r="R229" s="988">
        <f t="shared" si="239"/>
        <v>119.982</v>
      </c>
      <c r="S229" s="988">
        <f t="shared" si="239"/>
        <v>119.982</v>
      </c>
      <c r="T229" s="2729"/>
      <c r="U229" s="2734"/>
      <c r="V229" s="2694"/>
      <c r="W229" s="2694"/>
      <c r="X229" s="2694"/>
      <c r="Y229" s="2694"/>
      <c r="Z229" s="2694"/>
      <c r="AA229" s="2694"/>
      <c r="AB229" s="3028"/>
      <c r="AC229" s="2694"/>
      <c r="AF229" s="84"/>
      <c r="AG229" s="84"/>
    </row>
    <row r="230" spans="1:33" ht="23.25" hidden="1" customHeight="1">
      <c r="A230" s="913"/>
      <c r="B230" s="665" t="s">
        <v>3372</v>
      </c>
      <c r="C230" s="976"/>
      <c r="D230" s="976"/>
      <c r="E230" s="700"/>
      <c r="F230" s="737"/>
      <c r="G230" s="737"/>
      <c r="H230" s="737"/>
      <c r="I230" s="737"/>
      <c r="J230" s="737"/>
      <c r="K230" s="966">
        <v>4.9000000000000004</v>
      </c>
      <c r="L230" s="681">
        <v>3</v>
      </c>
      <c r="M230" s="681">
        <v>3</v>
      </c>
      <c r="N230" s="1559">
        <v>3</v>
      </c>
      <c r="O230" s="2146">
        <f t="shared" si="218"/>
        <v>0</v>
      </c>
      <c r="P230" s="681">
        <v>3</v>
      </c>
      <c r="Q230" s="1559">
        <v>3</v>
      </c>
      <c r="R230" s="681">
        <v>3</v>
      </c>
      <c r="S230" s="1559">
        <v>3</v>
      </c>
      <c r="T230" s="2729"/>
      <c r="U230" s="686"/>
      <c r="V230" s="688"/>
      <c r="W230" s="688"/>
      <c r="X230" s="688"/>
      <c r="Y230" s="688"/>
      <c r="Z230" s="688"/>
      <c r="AA230" s="688"/>
      <c r="AB230" s="1105"/>
      <c r="AC230" s="2694"/>
      <c r="AF230" s="84"/>
      <c r="AG230" s="84"/>
    </row>
    <row r="231" spans="1:33" ht="45.6" customHeight="1">
      <c r="A231" s="2879" t="s">
        <v>2526</v>
      </c>
      <c r="B231" s="2695" t="s">
        <v>2602</v>
      </c>
      <c r="C231" s="2700" t="s">
        <v>1071</v>
      </c>
      <c r="D231" s="1977"/>
      <c r="E231" s="706" t="s">
        <v>2747</v>
      </c>
      <c r="F231" s="970">
        <v>44.2</v>
      </c>
      <c r="G231" s="973">
        <f t="shared" ref="G231" si="240">I231/F231-1</f>
        <v>0.83167420814479609</v>
      </c>
      <c r="H231" s="970"/>
      <c r="I231" s="722">
        <v>80.959999999999994</v>
      </c>
      <c r="J231" s="723">
        <f t="shared" ref="J231:J241" si="241">L231/I231-1</f>
        <v>-0.2558053359683794</v>
      </c>
      <c r="K231" s="970"/>
      <c r="L231" s="722">
        <v>60.25</v>
      </c>
      <c r="M231" s="722">
        <v>68.56</v>
      </c>
      <c r="N231" s="1557"/>
      <c r="O231" s="2150">
        <f t="shared" si="218"/>
        <v>0.13792531120331955</v>
      </c>
      <c r="P231" s="722"/>
      <c r="Q231" s="1557"/>
      <c r="R231" s="722"/>
      <c r="S231" s="1557"/>
      <c r="T231" s="2729"/>
      <c r="U231" s="2704" t="s">
        <v>4300</v>
      </c>
      <c r="V231" s="2694" t="s">
        <v>1484</v>
      </c>
      <c r="W231" s="2694" t="s">
        <v>1442</v>
      </c>
      <c r="X231" s="2694">
        <v>60</v>
      </c>
      <c r="Y231" s="2694">
        <v>55</v>
      </c>
      <c r="Z231" s="2694">
        <v>55</v>
      </c>
      <c r="AA231" s="2694" t="s">
        <v>3122</v>
      </c>
      <c r="AB231" s="3028" t="s">
        <v>3122</v>
      </c>
      <c r="AC231" s="2694"/>
      <c r="AF231" s="84"/>
      <c r="AG231" s="84"/>
    </row>
    <row r="232" spans="1:33" ht="34.5" customHeight="1">
      <c r="A232" s="2879"/>
      <c r="B232" s="2695"/>
      <c r="C232" s="2700"/>
      <c r="D232" s="1977"/>
      <c r="E232" s="706" t="s">
        <v>470</v>
      </c>
      <c r="F232" s="970"/>
      <c r="G232" s="973"/>
      <c r="H232" s="970"/>
      <c r="I232" s="722"/>
      <c r="J232" s="723"/>
      <c r="K232" s="970">
        <v>60.25</v>
      </c>
      <c r="L232" s="974">
        <v>0</v>
      </c>
      <c r="M232" s="1903"/>
      <c r="N232" s="1557">
        <v>68.56</v>
      </c>
      <c r="O232" s="2150"/>
      <c r="P232" s="974">
        <v>72.69</v>
      </c>
      <c r="Q232" s="1557">
        <v>72.69</v>
      </c>
      <c r="R232" s="974">
        <v>78.88</v>
      </c>
      <c r="S232" s="1557">
        <v>78.88</v>
      </c>
      <c r="T232" s="2729"/>
      <c r="U232" s="2704"/>
      <c r="V232" s="2694"/>
      <c r="W232" s="2694"/>
      <c r="X232" s="2694"/>
      <c r="Y232" s="2694"/>
      <c r="Z232" s="2694"/>
      <c r="AA232" s="2694"/>
      <c r="AB232" s="3028"/>
      <c r="AC232" s="2694"/>
      <c r="AF232" s="84"/>
      <c r="AG232" s="84"/>
    </row>
    <row r="233" spans="1:33" ht="33" customHeight="1">
      <c r="A233" s="2879"/>
      <c r="B233" s="2695"/>
      <c r="C233" s="2700"/>
      <c r="D233" s="1977"/>
      <c r="E233" s="706" t="s">
        <v>246</v>
      </c>
      <c r="F233" s="970"/>
      <c r="G233" s="973"/>
      <c r="H233" s="970"/>
      <c r="I233" s="722">
        <v>25.2</v>
      </c>
      <c r="J233" s="723">
        <f t="shared" si="241"/>
        <v>0.21428571428571441</v>
      </c>
      <c r="K233" s="970">
        <v>30.6</v>
      </c>
      <c r="L233" s="974">
        <v>30.6</v>
      </c>
      <c r="M233" s="1903">
        <v>33.1</v>
      </c>
      <c r="N233" s="1557">
        <v>33.1</v>
      </c>
      <c r="O233" s="2150">
        <f t="shared" si="218"/>
        <v>8.1699346405228759E-2</v>
      </c>
      <c r="P233" s="974">
        <v>36.409999999999997</v>
      </c>
      <c r="Q233" s="1557">
        <v>36.409999999999997</v>
      </c>
      <c r="R233" s="974">
        <v>40.051000000000002</v>
      </c>
      <c r="S233" s="1557">
        <v>40.051000000000002</v>
      </c>
      <c r="T233" s="2729"/>
      <c r="U233" s="2734"/>
      <c r="V233" s="2694"/>
      <c r="W233" s="2694"/>
      <c r="X233" s="2694"/>
      <c r="Y233" s="2694"/>
      <c r="Z233" s="2694"/>
      <c r="AA233" s="2694"/>
      <c r="AB233" s="3028"/>
      <c r="AC233" s="2694"/>
      <c r="AF233" s="84"/>
      <c r="AG233" s="84"/>
    </row>
    <row r="234" spans="1:33" ht="32.4" customHeight="1">
      <c r="A234" s="2879"/>
      <c r="B234" s="2695"/>
      <c r="C234" s="2700"/>
      <c r="D234" s="1977"/>
      <c r="E234" s="706" t="s">
        <v>412</v>
      </c>
      <c r="F234" s="970"/>
      <c r="G234" s="973"/>
      <c r="H234" s="970"/>
      <c r="I234" s="722">
        <v>4.3899999999999997</v>
      </c>
      <c r="J234" s="723">
        <f t="shared" si="241"/>
        <v>0.23006833712984065</v>
      </c>
      <c r="K234" s="970">
        <v>5.4</v>
      </c>
      <c r="L234" s="974">
        <v>5.4</v>
      </c>
      <c r="M234" s="1903">
        <v>6.4</v>
      </c>
      <c r="N234" s="1557">
        <v>6.4</v>
      </c>
      <c r="O234" s="2150">
        <f t="shared" si="218"/>
        <v>0.18518518518518517</v>
      </c>
      <c r="P234" s="974">
        <v>6.7</v>
      </c>
      <c r="Q234" s="1557">
        <v>6.7</v>
      </c>
      <c r="R234" s="974">
        <v>7.37</v>
      </c>
      <c r="S234" s="1557">
        <v>7.37</v>
      </c>
      <c r="T234" s="2729"/>
      <c r="U234" s="2734"/>
      <c r="V234" s="2694"/>
      <c r="W234" s="2694"/>
      <c r="X234" s="2694"/>
      <c r="Y234" s="2694"/>
      <c r="Z234" s="2694"/>
      <c r="AA234" s="2694"/>
      <c r="AB234" s="3028"/>
      <c r="AC234" s="2694"/>
      <c r="AD234" s="589"/>
      <c r="AF234" s="84"/>
      <c r="AG234" s="84"/>
    </row>
    <row r="235" spans="1:33" ht="32.4" customHeight="1">
      <c r="A235" s="2879"/>
      <c r="B235" s="2695"/>
      <c r="C235" s="2700"/>
      <c r="D235" s="1977"/>
      <c r="E235" s="706" t="s">
        <v>1358</v>
      </c>
      <c r="F235" s="970"/>
      <c r="G235" s="973"/>
      <c r="H235" s="970"/>
      <c r="I235" s="722"/>
      <c r="J235" s="723"/>
      <c r="K235" s="970"/>
      <c r="L235" s="974"/>
      <c r="M235" s="974"/>
      <c r="N235" s="1557"/>
      <c r="O235" s="2150"/>
      <c r="P235" s="974"/>
      <c r="Q235" s="1557"/>
      <c r="R235" s="974"/>
      <c r="S235" s="1557"/>
      <c r="T235" s="2729"/>
      <c r="U235" s="2734"/>
      <c r="V235" s="2694"/>
      <c r="W235" s="2694"/>
      <c r="X235" s="2694"/>
      <c r="Y235" s="2694"/>
      <c r="Z235" s="2694"/>
      <c r="AA235" s="2694"/>
      <c r="AB235" s="3028"/>
      <c r="AC235" s="2694"/>
      <c r="AD235" s="589"/>
      <c r="AF235" s="84"/>
      <c r="AG235" s="84"/>
    </row>
    <row r="236" spans="1:33" ht="41.25" customHeight="1">
      <c r="A236" s="2879"/>
      <c r="B236" s="2695"/>
      <c r="C236" s="2700"/>
      <c r="D236" s="1977"/>
      <c r="E236" s="725" t="s">
        <v>1067</v>
      </c>
      <c r="F236" s="964">
        <f>F231</f>
        <v>44.2</v>
      </c>
      <c r="G236" s="965">
        <f t="shared" ref="G236" si="242">I236/F236-1</f>
        <v>1.501131221719457</v>
      </c>
      <c r="H236" s="964">
        <f t="shared" ref="H236" si="243">H231</f>
        <v>0</v>
      </c>
      <c r="I236" s="728">
        <f>SUM(I231:I234)</f>
        <v>110.55</v>
      </c>
      <c r="J236" s="729">
        <f t="shared" si="241"/>
        <v>-0.12935323383084574</v>
      </c>
      <c r="K236" s="964">
        <f t="shared" ref="K236:L236" si="244">SUM(K231:K234)</f>
        <v>96.25</v>
      </c>
      <c r="L236" s="728">
        <f t="shared" si="244"/>
        <v>96.25</v>
      </c>
      <c r="M236" s="728">
        <f>SUM(M231:M234)</f>
        <v>108.06</v>
      </c>
      <c r="N236" s="1558">
        <f>SUM(N231:N234)</f>
        <v>108.06</v>
      </c>
      <c r="O236" s="2162">
        <f t="shared" si="218"/>
        <v>0.12270129870129873</v>
      </c>
      <c r="P236" s="728">
        <f>SUM(P232,P233,P234)</f>
        <v>115.8</v>
      </c>
      <c r="Q236" s="1558">
        <f>SUM(Q231:Q235)</f>
        <v>115.8</v>
      </c>
      <c r="R236" s="728">
        <f>SUM(R231:R235)</f>
        <v>126.301</v>
      </c>
      <c r="S236" s="1558">
        <f>SUM(S231:S235)</f>
        <v>126.301</v>
      </c>
      <c r="T236" s="2729"/>
      <c r="U236" s="2734"/>
      <c r="V236" s="2694"/>
      <c r="W236" s="2694"/>
      <c r="X236" s="2694"/>
      <c r="Y236" s="2694"/>
      <c r="Z236" s="2694"/>
      <c r="AA236" s="2694"/>
      <c r="AB236" s="3028"/>
      <c r="AC236" s="2694"/>
      <c r="AF236" s="84"/>
      <c r="AG236" s="84"/>
    </row>
    <row r="237" spans="1:33" ht="45" customHeight="1">
      <c r="A237" s="2879" t="s">
        <v>3373</v>
      </c>
      <c r="B237" s="2695" t="s">
        <v>3374</v>
      </c>
      <c r="C237" s="2700" t="s">
        <v>1071</v>
      </c>
      <c r="D237" s="1977"/>
      <c r="E237" s="706" t="s">
        <v>2747</v>
      </c>
      <c r="F237" s="970"/>
      <c r="G237" s="970"/>
      <c r="H237" s="970">
        <v>53</v>
      </c>
      <c r="I237" s="1062">
        <v>53</v>
      </c>
      <c r="J237" s="1038">
        <f t="shared" si="241"/>
        <v>0.15496226415094339</v>
      </c>
      <c r="K237" s="1039">
        <f>SUM(K242,K246,K250,)</f>
        <v>0</v>
      </c>
      <c r="L237" s="1040">
        <f>SUM(L242,L246,L250)</f>
        <v>61.213000000000001</v>
      </c>
      <c r="M237" s="1040">
        <v>158.756</v>
      </c>
      <c r="N237" s="1570"/>
      <c r="O237" s="2165">
        <f t="shared" si="218"/>
        <v>1.5935013804257265</v>
      </c>
      <c r="P237" s="1040">
        <f t="shared" ref="P237" si="245">SUM(P242,P246,P250)</f>
        <v>0</v>
      </c>
      <c r="Q237" s="1570"/>
      <c r="R237" s="1040"/>
      <c r="S237" s="1570"/>
      <c r="T237" s="2729"/>
      <c r="U237" s="2704" t="s">
        <v>4375</v>
      </c>
      <c r="V237" s="2694" t="s">
        <v>1485</v>
      </c>
      <c r="W237" s="2694" t="s">
        <v>1735</v>
      </c>
      <c r="X237" s="2694">
        <v>0</v>
      </c>
      <c r="Y237" s="2694">
        <v>0</v>
      </c>
      <c r="Z237" s="2694" t="s">
        <v>433</v>
      </c>
      <c r="AA237" s="2694" t="s">
        <v>1736</v>
      </c>
      <c r="AB237" s="3028" t="s">
        <v>433</v>
      </c>
      <c r="AC237" s="2694"/>
      <c r="AF237" s="84"/>
      <c r="AG237" s="84"/>
    </row>
    <row r="238" spans="1:33" ht="33.75" customHeight="1">
      <c r="A238" s="2879"/>
      <c r="B238" s="2695"/>
      <c r="C238" s="2700"/>
      <c r="D238" s="1977"/>
      <c r="E238" s="706" t="s">
        <v>470</v>
      </c>
      <c r="F238" s="970"/>
      <c r="G238" s="970"/>
      <c r="H238" s="970"/>
      <c r="I238" s="1062"/>
      <c r="J238" s="1038"/>
      <c r="K238" s="1039">
        <f>SUM(K243,K247,K251)</f>
        <v>91.596000000000004</v>
      </c>
      <c r="L238" s="974">
        <v>0</v>
      </c>
      <c r="M238" s="974"/>
      <c r="N238" s="1570">
        <f>SUM(N243,N247,N251)</f>
        <v>157.29000000000002</v>
      </c>
      <c r="O238" s="2165"/>
      <c r="P238" s="974"/>
      <c r="Q238" s="1557">
        <f>SUM(Q243,Q247,Q251,)</f>
        <v>168.72399999999999</v>
      </c>
      <c r="R238" s="974"/>
      <c r="S238" s="1557"/>
      <c r="T238" s="2729"/>
      <c r="U238" s="2704"/>
      <c r="V238" s="2694"/>
      <c r="W238" s="2694"/>
      <c r="X238" s="2694"/>
      <c r="Y238" s="2694"/>
      <c r="Z238" s="2694"/>
      <c r="AA238" s="2694"/>
      <c r="AB238" s="3028"/>
      <c r="AC238" s="2694"/>
      <c r="AF238" s="84"/>
      <c r="AG238" s="84"/>
    </row>
    <row r="239" spans="1:33" ht="40.5" customHeight="1">
      <c r="A239" s="2879"/>
      <c r="B239" s="2695"/>
      <c r="C239" s="2700"/>
      <c r="D239" s="1977"/>
      <c r="E239" s="706" t="s">
        <v>246</v>
      </c>
      <c r="F239" s="970"/>
      <c r="G239" s="970"/>
      <c r="H239" s="970">
        <v>187</v>
      </c>
      <c r="I239" s="1062">
        <v>187</v>
      </c>
      <c r="J239" s="1038">
        <f t="shared" si="241"/>
        <v>0.63358288770053495</v>
      </c>
      <c r="K239" s="1039">
        <f>SUM(K244,K248,K252)</f>
        <v>496.10900000000004</v>
      </c>
      <c r="L239" s="1040">
        <f t="shared" ref="L239:M239" si="246">SUM(L244,L248,L252)</f>
        <v>305.48</v>
      </c>
      <c r="M239" s="974">
        <f t="shared" si="246"/>
        <v>811.32999999999993</v>
      </c>
      <c r="N239" s="1570">
        <f>SUM(N244,N248,N252)</f>
        <v>811.32999999999993</v>
      </c>
      <c r="O239" s="2165">
        <f t="shared" si="218"/>
        <v>1.6559185544061801</v>
      </c>
      <c r="P239" s="1040">
        <f>SUM(P244,P248,P252)</f>
        <v>879.54700000000003</v>
      </c>
      <c r="Q239" s="1570">
        <f>SUM(Q244,Q248,Q252)</f>
        <v>879.54700000000003</v>
      </c>
      <c r="R239" s="1040"/>
      <c r="S239" s="1570"/>
      <c r="T239" s="2729"/>
      <c r="U239" s="2734"/>
      <c r="V239" s="2694"/>
      <c r="W239" s="2694"/>
      <c r="X239" s="2694"/>
      <c r="Y239" s="2694"/>
      <c r="Z239" s="2694"/>
      <c r="AA239" s="2694"/>
      <c r="AB239" s="3028"/>
      <c r="AC239" s="2694"/>
      <c r="AF239" s="84"/>
      <c r="AG239" s="84"/>
    </row>
    <row r="240" spans="1:33" ht="40.5" customHeight="1">
      <c r="A240" s="2879"/>
      <c r="B240" s="2695"/>
      <c r="C240" s="2700"/>
      <c r="D240" s="1977"/>
      <c r="E240" s="706" t="s">
        <v>1358</v>
      </c>
      <c r="F240" s="970"/>
      <c r="G240" s="970"/>
      <c r="H240" s="970"/>
      <c r="I240" s="1062"/>
      <c r="J240" s="1038"/>
      <c r="K240" s="1039"/>
      <c r="L240" s="1040"/>
      <c r="M240" s="974">
        <v>248.53399999999999</v>
      </c>
      <c r="N240" s="1557"/>
      <c r="O240" s="2150"/>
      <c r="P240" s="974">
        <v>168.72399999999999</v>
      </c>
      <c r="Q240" s="1557"/>
      <c r="R240" s="974"/>
      <c r="S240" s="1557"/>
      <c r="T240" s="2729"/>
      <c r="U240" s="2734"/>
      <c r="V240" s="2694"/>
      <c r="W240" s="2694"/>
      <c r="X240" s="656"/>
      <c r="Y240" s="2694"/>
      <c r="Z240" s="2694"/>
      <c r="AA240" s="2694"/>
      <c r="AB240" s="3028"/>
      <c r="AC240" s="2694"/>
      <c r="AF240" s="84"/>
      <c r="AG240" s="84"/>
    </row>
    <row r="241" spans="1:33" ht="61.2" customHeight="1">
      <c r="A241" s="2879"/>
      <c r="B241" s="2695"/>
      <c r="C241" s="2700"/>
      <c r="D241" s="1977"/>
      <c r="E241" s="725" t="s">
        <v>1067</v>
      </c>
      <c r="F241" s="964">
        <v>0</v>
      </c>
      <c r="G241" s="964"/>
      <c r="H241" s="964">
        <f>SUM(H237:H239)</f>
        <v>240</v>
      </c>
      <c r="I241" s="728">
        <f t="shared" ref="I241" si="247">SUM(I237:I239)</f>
        <v>240</v>
      </c>
      <c r="J241" s="729">
        <f t="shared" si="241"/>
        <v>0.52788750000000007</v>
      </c>
      <c r="K241" s="964">
        <f>SUM(K237,K238,K239,)</f>
        <v>587.70500000000004</v>
      </c>
      <c r="L241" s="988">
        <f t="shared" ref="L241" si="248">SUM(L237,L238,L239,)</f>
        <v>366.69300000000004</v>
      </c>
      <c r="M241" s="988">
        <f>SUM(M237,M238,M239:M240,)</f>
        <v>1218.6199999999999</v>
      </c>
      <c r="N241" s="1558">
        <f t="shared" ref="N241:S241" si="249">SUM(N237,N238,N239:N240,)</f>
        <v>968.61999999999989</v>
      </c>
      <c r="O241" s="2162">
        <f t="shared" si="218"/>
        <v>2.3232704196698597</v>
      </c>
      <c r="P241" s="988">
        <f t="shared" si="249"/>
        <v>1048.271</v>
      </c>
      <c r="Q241" s="1558">
        <f>SUM(Q237,Q238,Q239:Q240,)</f>
        <v>1048.271</v>
      </c>
      <c r="R241" s="988">
        <f t="shared" si="249"/>
        <v>0</v>
      </c>
      <c r="S241" s="1558">
        <f t="shared" si="249"/>
        <v>0</v>
      </c>
      <c r="T241" s="2729"/>
      <c r="U241" s="2734"/>
      <c r="V241" s="2694"/>
      <c r="W241" s="656" t="s">
        <v>3734</v>
      </c>
      <c r="X241" s="656" t="s">
        <v>433</v>
      </c>
      <c r="Y241" s="656" t="s">
        <v>433</v>
      </c>
      <c r="Z241" s="656" t="s">
        <v>433</v>
      </c>
      <c r="AA241" s="656" t="s">
        <v>1702</v>
      </c>
      <c r="AB241" s="971" t="s">
        <v>433</v>
      </c>
      <c r="AC241" s="2694"/>
      <c r="AD241" s="84" t="s">
        <v>2603</v>
      </c>
      <c r="AF241" s="84"/>
      <c r="AG241" s="84"/>
    </row>
    <row r="242" spans="1:33" ht="15" hidden="1" customHeight="1">
      <c r="A242" s="3016" t="s">
        <v>3126</v>
      </c>
      <c r="B242" s="3016" t="s">
        <v>1412</v>
      </c>
      <c r="C242" s="1017" t="s">
        <v>2747</v>
      </c>
      <c r="D242" s="1017"/>
      <c r="E242" s="1023"/>
      <c r="F242" s="1018"/>
      <c r="G242" s="1018"/>
      <c r="H242" s="1018"/>
      <c r="I242" s="1021"/>
      <c r="J242" s="1021"/>
      <c r="K242" s="1041"/>
      <c r="L242" s="1021">
        <v>42.256</v>
      </c>
      <c r="M242" s="1021"/>
      <c r="N242" s="1571"/>
      <c r="O242" s="2148">
        <f t="shared" si="218"/>
        <v>-1</v>
      </c>
      <c r="P242" s="1021"/>
      <c r="Q242" s="1571"/>
      <c r="R242" s="1021"/>
      <c r="S242" s="1571"/>
      <c r="T242" s="2729"/>
      <c r="U242" s="1042"/>
      <c r="V242" s="1022"/>
      <c r="W242" s="1022"/>
      <c r="X242" s="1022"/>
      <c r="Y242" s="1022"/>
      <c r="Z242" s="1022"/>
      <c r="AA242" s="1022"/>
      <c r="AB242" s="1859"/>
      <c r="AC242" s="2694"/>
      <c r="AF242" s="84"/>
      <c r="AG242" s="84"/>
    </row>
    <row r="243" spans="1:33" ht="15" hidden="1" customHeight="1">
      <c r="A243" s="3017"/>
      <c r="B243" s="3016"/>
      <c r="C243" s="1017" t="s">
        <v>470</v>
      </c>
      <c r="D243" s="1017"/>
      <c r="E243" s="1023"/>
      <c r="F243" s="1018"/>
      <c r="G243" s="1018"/>
      <c r="H243" s="1018"/>
      <c r="I243" s="1021"/>
      <c r="J243" s="1021"/>
      <c r="K243" s="1020">
        <v>42.331000000000003</v>
      </c>
      <c r="L243" s="1019">
        <v>0</v>
      </c>
      <c r="M243" s="1402">
        <v>126.27</v>
      </c>
      <c r="N243" s="1563">
        <v>126.27</v>
      </c>
      <c r="O243" s="2148"/>
      <c r="P243" s="1402">
        <v>35.731999999999999</v>
      </c>
      <c r="Q243" s="1563">
        <v>35.731999999999999</v>
      </c>
      <c r="R243" s="1019"/>
      <c r="S243" s="1563"/>
      <c r="T243" s="2729"/>
      <c r="U243" s="1042"/>
      <c r="V243" s="1022"/>
      <c r="W243" s="1022"/>
      <c r="X243" s="1022"/>
      <c r="Y243" s="1022"/>
      <c r="Z243" s="1022"/>
      <c r="AA243" s="1022"/>
      <c r="AB243" s="1859"/>
      <c r="AC243" s="2694"/>
      <c r="AF243" s="84"/>
      <c r="AG243" s="84"/>
    </row>
    <row r="244" spans="1:33" ht="13.5" hidden="1" customHeight="1">
      <c r="A244" s="3017"/>
      <c r="B244" s="3016"/>
      <c r="C244" s="1017" t="s">
        <v>246</v>
      </c>
      <c r="D244" s="1017"/>
      <c r="E244" s="1023"/>
      <c r="F244" s="1018"/>
      <c r="G244" s="1018"/>
      <c r="H244" s="1018"/>
      <c r="I244" s="1021"/>
      <c r="J244" s="1021"/>
      <c r="K244" s="1020">
        <v>224.429</v>
      </c>
      <c r="L244" s="1019">
        <v>210.876</v>
      </c>
      <c r="M244" s="1402">
        <v>658.25099999999998</v>
      </c>
      <c r="N244" s="1563">
        <v>658.25099999999998</v>
      </c>
      <c r="O244" s="2148">
        <f t="shared" si="218"/>
        <v>2.1215074261651399</v>
      </c>
      <c r="P244" s="1402">
        <v>186.346</v>
      </c>
      <c r="Q244" s="1563">
        <v>186.346</v>
      </c>
      <c r="R244" s="1019"/>
      <c r="S244" s="1563"/>
      <c r="T244" s="2729"/>
      <c r="U244" s="1042"/>
      <c r="V244" s="1022"/>
      <c r="W244" s="1022"/>
      <c r="X244" s="1022"/>
      <c r="Y244" s="1022"/>
      <c r="Z244" s="1022"/>
      <c r="AA244" s="1022"/>
      <c r="AB244" s="1859"/>
      <c r="AC244" s="2694"/>
      <c r="AF244" s="84"/>
      <c r="AG244" s="84"/>
    </row>
    <row r="245" spans="1:33" ht="19.5" hidden="1" customHeight="1">
      <c r="A245" s="3017"/>
      <c r="B245" s="3016"/>
      <c r="C245" s="1023" t="s">
        <v>1067</v>
      </c>
      <c r="D245" s="1023"/>
      <c r="E245" s="1023"/>
      <c r="F245" s="1018"/>
      <c r="G245" s="1018"/>
      <c r="H245" s="1018"/>
      <c r="I245" s="1021"/>
      <c r="J245" s="1021"/>
      <c r="K245" s="1020">
        <f>SUM(K242,K243,K244)</f>
        <v>266.76</v>
      </c>
      <c r="L245" s="1019">
        <f t="shared" ref="L245:P245" si="250">SUM(L242,L243,L244)</f>
        <v>253.13200000000001</v>
      </c>
      <c r="M245" s="1019">
        <f t="shared" si="250"/>
        <v>784.52099999999996</v>
      </c>
      <c r="N245" s="1563">
        <f t="shared" ref="N245" si="251">SUM(N242,N243,N244)</f>
        <v>784.52099999999996</v>
      </c>
      <c r="O245" s="2148">
        <f t="shared" si="218"/>
        <v>2.0992565143877497</v>
      </c>
      <c r="P245" s="1019">
        <f t="shared" si="250"/>
        <v>222.078</v>
      </c>
      <c r="Q245" s="1563">
        <f t="shared" ref="Q245:R245" si="252">SUM(Q242,Q243,Q244)</f>
        <v>222.078</v>
      </c>
      <c r="R245" s="1019">
        <f t="shared" si="252"/>
        <v>0</v>
      </c>
      <c r="S245" s="1563">
        <f t="shared" ref="S245" si="253">SUM(S242,S243,S244)</f>
        <v>0</v>
      </c>
      <c r="T245" s="2729"/>
      <c r="U245" s="1042"/>
      <c r="V245" s="1022"/>
      <c r="W245" s="1022"/>
      <c r="X245" s="1022"/>
      <c r="Y245" s="1022"/>
      <c r="Z245" s="1022"/>
      <c r="AA245" s="1022"/>
      <c r="AB245" s="1859"/>
      <c r="AC245" s="2694"/>
      <c r="AF245" s="84"/>
      <c r="AG245" s="84"/>
    </row>
    <row r="246" spans="1:33" ht="16.5" hidden="1" customHeight="1">
      <c r="A246" s="2876" t="s">
        <v>3126</v>
      </c>
      <c r="B246" s="2876" t="s">
        <v>1409</v>
      </c>
      <c r="C246" s="682" t="s">
        <v>2747</v>
      </c>
      <c r="D246" s="682"/>
      <c r="E246" s="700"/>
      <c r="F246" s="755"/>
      <c r="G246" s="755"/>
      <c r="H246" s="755"/>
      <c r="I246" s="737"/>
      <c r="J246" s="737"/>
      <c r="K246" s="966"/>
      <c r="L246" s="681">
        <v>3.8450000000000002</v>
      </c>
      <c r="M246" s="681"/>
      <c r="N246" s="1559"/>
      <c r="O246" s="2146">
        <f t="shared" si="218"/>
        <v>-1</v>
      </c>
      <c r="P246" s="681"/>
      <c r="Q246" s="1559"/>
      <c r="R246" s="681"/>
      <c r="S246" s="1559"/>
      <c r="T246" s="2729"/>
      <c r="U246" s="686"/>
      <c r="V246" s="688"/>
      <c r="W246" s="688"/>
      <c r="X246" s="688"/>
      <c r="Y246" s="688"/>
      <c r="Z246" s="688"/>
      <c r="AA246" s="688"/>
      <c r="AB246" s="1105"/>
      <c r="AC246" s="2694"/>
      <c r="AF246" s="84"/>
      <c r="AG246" s="84"/>
    </row>
    <row r="247" spans="1:33" ht="17.25" hidden="1" customHeight="1">
      <c r="A247" s="2874"/>
      <c r="B247" s="2876"/>
      <c r="C247" s="682" t="s">
        <v>470</v>
      </c>
      <c r="D247" s="682"/>
      <c r="E247" s="700"/>
      <c r="F247" s="755"/>
      <c r="G247" s="755"/>
      <c r="H247" s="755"/>
      <c r="I247" s="737"/>
      <c r="J247" s="737"/>
      <c r="K247" s="966">
        <v>34.152999999999999</v>
      </c>
      <c r="L247" s="681">
        <v>0</v>
      </c>
      <c r="M247" s="1559">
        <v>23.004999999999999</v>
      </c>
      <c r="N247" s="1559">
        <v>23.004999999999999</v>
      </c>
      <c r="O247" s="2146"/>
      <c r="P247" s="1559">
        <v>132.99199999999999</v>
      </c>
      <c r="Q247" s="1559">
        <v>132.99199999999999</v>
      </c>
      <c r="R247" s="681"/>
      <c r="S247" s="1559"/>
      <c r="T247" s="2729"/>
      <c r="U247" s="686"/>
      <c r="V247" s="688"/>
      <c r="W247" s="688"/>
      <c r="X247" s="688"/>
      <c r="Y247" s="688"/>
      <c r="Z247" s="688"/>
      <c r="AA247" s="688"/>
      <c r="AB247" s="1105"/>
      <c r="AC247" s="2694"/>
      <c r="AF247" s="84"/>
      <c r="AG247" s="84"/>
    </row>
    <row r="248" spans="1:33" ht="15" hidden="1" customHeight="1">
      <c r="A248" s="2874"/>
      <c r="B248" s="2876"/>
      <c r="C248" s="682" t="s">
        <v>246</v>
      </c>
      <c r="D248" s="682"/>
      <c r="E248" s="700"/>
      <c r="F248" s="755"/>
      <c r="G248" s="755"/>
      <c r="H248" s="755"/>
      <c r="I248" s="737"/>
      <c r="J248" s="737"/>
      <c r="K248" s="966">
        <v>170.44</v>
      </c>
      <c r="L248" s="681">
        <v>19.187999999999999</v>
      </c>
      <c r="M248" s="1559">
        <v>112.967</v>
      </c>
      <c r="N248" s="1559">
        <v>112.967</v>
      </c>
      <c r="O248" s="2146">
        <f t="shared" si="218"/>
        <v>4.88737752762143</v>
      </c>
      <c r="P248" s="1559">
        <v>653.12099999999998</v>
      </c>
      <c r="Q248" s="1559">
        <v>653.12099999999998</v>
      </c>
      <c r="R248" s="681"/>
      <c r="S248" s="1559"/>
      <c r="T248" s="2729"/>
      <c r="U248" s="686"/>
      <c r="V248" s="688"/>
      <c r="W248" s="688"/>
      <c r="X248" s="688"/>
      <c r="Y248" s="688"/>
      <c r="Z248" s="688"/>
      <c r="AA248" s="688"/>
      <c r="AB248" s="1105"/>
      <c r="AC248" s="2694"/>
      <c r="AF248" s="84"/>
      <c r="AG248" s="84"/>
    </row>
    <row r="249" spans="1:33" ht="18.75" hidden="1" customHeight="1">
      <c r="A249" s="2874"/>
      <c r="B249" s="2876"/>
      <c r="C249" s="700" t="s">
        <v>1067</v>
      </c>
      <c r="D249" s="700"/>
      <c r="E249" s="700"/>
      <c r="F249" s="755"/>
      <c r="G249" s="755"/>
      <c r="H249" s="755"/>
      <c r="I249" s="737"/>
      <c r="J249" s="737"/>
      <c r="K249" s="966">
        <f>SUM(K246,K247,K248,)</f>
        <v>204.59299999999999</v>
      </c>
      <c r="L249" s="681">
        <f t="shared" ref="L249:P249" si="254">SUM(L246,L247,L248,)</f>
        <v>23.032999999999998</v>
      </c>
      <c r="M249" s="681">
        <f t="shared" si="254"/>
        <v>135.97200000000001</v>
      </c>
      <c r="N249" s="1559">
        <f t="shared" ref="N249" si="255">SUM(N246,N247,N248,)</f>
        <v>135.97200000000001</v>
      </c>
      <c r="O249" s="2146">
        <f t="shared" si="218"/>
        <v>4.9033560543567933</v>
      </c>
      <c r="P249" s="681">
        <f t="shared" si="254"/>
        <v>786.11299999999994</v>
      </c>
      <c r="Q249" s="1559">
        <f t="shared" ref="Q249" si="256">SUM(Q246,Q247,Q248,)</f>
        <v>786.11299999999994</v>
      </c>
      <c r="R249" s="681"/>
      <c r="S249" s="1559"/>
      <c r="T249" s="2729"/>
      <c r="U249" s="686"/>
      <c r="V249" s="688"/>
      <c r="W249" s="688"/>
      <c r="X249" s="688"/>
      <c r="Y249" s="688"/>
      <c r="Z249" s="688"/>
      <c r="AA249" s="688"/>
      <c r="AB249" s="1105"/>
      <c r="AC249" s="2694"/>
      <c r="AF249" s="84"/>
      <c r="AG249" s="84"/>
    </row>
    <row r="250" spans="1:33" ht="16.5" hidden="1" customHeight="1">
      <c r="A250" s="3022" t="s">
        <v>3124</v>
      </c>
      <c r="B250" s="3023" t="s">
        <v>2540</v>
      </c>
      <c r="C250" s="1374" t="s">
        <v>2747</v>
      </c>
      <c r="D250" s="1374"/>
      <c r="E250" s="1375"/>
      <c r="F250" s="1376"/>
      <c r="G250" s="1376"/>
      <c r="H250" s="1376"/>
      <c r="I250" s="1043"/>
      <c r="J250" s="1043"/>
      <c r="K250" s="1044"/>
      <c r="L250" s="1045">
        <v>15.112</v>
      </c>
      <c r="M250" s="1045"/>
      <c r="N250" s="1566"/>
      <c r="O250" s="2151">
        <f t="shared" si="218"/>
        <v>-1</v>
      </c>
      <c r="P250" s="1045"/>
      <c r="Q250" s="1566"/>
      <c r="R250" s="1045"/>
      <c r="S250" s="1566"/>
      <c r="T250" s="2729"/>
      <c r="U250" s="1046"/>
      <c r="V250" s="1047"/>
      <c r="W250" s="1047"/>
      <c r="X250" s="1047"/>
      <c r="Y250" s="1047"/>
      <c r="Z250" s="1047"/>
      <c r="AA250" s="1047"/>
      <c r="AB250" s="1861"/>
      <c r="AC250" s="2694"/>
      <c r="AF250" s="84"/>
      <c r="AG250" s="84"/>
    </row>
    <row r="251" spans="1:33" ht="14.25" hidden="1" customHeight="1">
      <c r="A251" s="3022"/>
      <c r="B251" s="3023"/>
      <c r="C251" s="1374" t="s">
        <v>470</v>
      </c>
      <c r="D251" s="1374"/>
      <c r="E251" s="1375"/>
      <c r="F251" s="1376"/>
      <c r="G251" s="1376"/>
      <c r="H251" s="1376"/>
      <c r="I251" s="1043"/>
      <c r="J251" s="1043"/>
      <c r="K251" s="1044">
        <v>15.112</v>
      </c>
      <c r="L251" s="1045">
        <v>0</v>
      </c>
      <c r="M251" s="1566">
        <v>8.0150000000000006</v>
      </c>
      <c r="N251" s="1566">
        <v>8.0150000000000006</v>
      </c>
      <c r="O251" s="2151" t="e">
        <f t="shared" si="218"/>
        <v>#DIV/0!</v>
      </c>
      <c r="P251" s="1045"/>
      <c r="Q251" s="1566"/>
      <c r="R251" s="1045"/>
      <c r="S251" s="1566"/>
      <c r="T251" s="2729"/>
      <c r="U251" s="1046"/>
      <c r="V251" s="1047"/>
      <c r="W251" s="1047"/>
      <c r="X251" s="1047"/>
      <c r="Y251" s="1047"/>
      <c r="Z251" s="1047"/>
      <c r="AA251" s="1047"/>
      <c r="AB251" s="1861"/>
      <c r="AC251" s="2694"/>
      <c r="AF251" s="84"/>
      <c r="AG251" s="84"/>
    </row>
    <row r="252" spans="1:33" ht="16.5" hidden="1" customHeight="1">
      <c r="A252" s="3022"/>
      <c r="B252" s="3023"/>
      <c r="C252" s="1374" t="s">
        <v>246</v>
      </c>
      <c r="D252" s="1374"/>
      <c r="E252" s="1375"/>
      <c r="F252" s="1376"/>
      <c r="G252" s="1376"/>
      <c r="H252" s="1376"/>
      <c r="I252" s="1043"/>
      <c r="J252" s="1043"/>
      <c r="K252" s="1044">
        <v>101.24</v>
      </c>
      <c r="L252" s="1045">
        <v>75.415999999999997</v>
      </c>
      <c r="M252" s="1566">
        <v>40.112000000000002</v>
      </c>
      <c r="N252" s="1566">
        <v>40.112000000000002</v>
      </c>
      <c r="O252" s="2151">
        <f t="shared" si="218"/>
        <v>-0.46812347512464192</v>
      </c>
      <c r="P252" s="1045">
        <v>40.08</v>
      </c>
      <c r="Q252" s="1566">
        <v>40.08</v>
      </c>
      <c r="R252" s="1045"/>
      <c r="S252" s="1566"/>
      <c r="T252" s="2729"/>
      <c r="U252" s="1046"/>
      <c r="V252" s="1047"/>
      <c r="W252" s="1047"/>
      <c r="X252" s="1047"/>
      <c r="Y252" s="1047"/>
      <c r="Z252" s="1047"/>
      <c r="AA252" s="1047"/>
      <c r="AB252" s="1861"/>
      <c r="AC252" s="2694"/>
      <c r="AF252" s="84"/>
      <c r="AG252" s="84"/>
    </row>
    <row r="253" spans="1:33" ht="26.4" hidden="1" customHeight="1">
      <c r="A253" s="3022"/>
      <c r="B253" s="3023"/>
      <c r="C253" s="1375" t="s">
        <v>1067</v>
      </c>
      <c r="D253" s="1375"/>
      <c r="E253" s="1375"/>
      <c r="F253" s="1376"/>
      <c r="G253" s="1376"/>
      <c r="H253" s="1376"/>
      <c r="I253" s="1043"/>
      <c r="J253" s="1043"/>
      <c r="K253" s="1044">
        <f>SUM(K250,K251,K252)</f>
        <v>116.35199999999999</v>
      </c>
      <c r="L253" s="1045">
        <f t="shared" ref="L253:P253" si="257">SUM(L250,L251,L252)</f>
        <v>90.527999999999992</v>
      </c>
      <c r="M253" s="1045">
        <f t="shared" si="257"/>
        <v>48.127000000000002</v>
      </c>
      <c r="N253" s="1566">
        <f t="shared" ref="N253" si="258">SUM(N250,N251,N252)</f>
        <v>48.127000000000002</v>
      </c>
      <c r="O253" s="2151">
        <f t="shared" si="218"/>
        <v>-0.46837442559208192</v>
      </c>
      <c r="P253" s="1045">
        <f t="shared" si="257"/>
        <v>40.08</v>
      </c>
      <c r="Q253" s="1566">
        <f t="shared" ref="Q253" si="259">SUM(Q250,Q251,Q252)</f>
        <v>40.08</v>
      </c>
      <c r="R253" s="1045"/>
      <c r="S253" s="1566"/>
      <c r="T253" s="2729"/>
      <c r="U253" s="2169"/>
      <c r="V253" s="1047"/>
      <c r="W253" s="1047"/>
      <c r="X253" s="1047"/>
      <c r="Y253" s="1047"/>
      <c r="Z253" s="1047"/>
      <c r="AA253" s="1047"/>
      <c r="AB253" s="1861"/>
      <c r="AC253" s="2694"/>
      <c r="AF253" s="84"/>
      <c r="AG253" s="84"/>
    </row>
    <row r="254" spans="1:33" ht="33" customHeight="1">
      <c r="A254" s="2879" t="s">
        <v>2527</v>
      </c>
      <c r="B254" s="2703" t="s">
        <v>3701</v>
      </c>
      <c r="C254" s="2700" t="s">
        <v>3016</v>
      </c>
      <c r="D254" s="1977"/>
      <c r="E254" s="706" t="s">
        <v>470</v>
      </c>
      <c r="F254" s="970"/>
      <c r="G254" s="970"/>
      <c r="H254" s="970"/>
      <c r="I254" s="722"/>
      <c r="J254" s="722"/>
      <c r="K254" s="970">
        <f>SUM(K260,K264)</f>
        <v>86.216999999999999</v>
      </c>
      <c r="L254" s="974">
        <f t="shared" ref="L254" si="260">SUM(L260,L264)</f>
        <v>0</v>
      </c>
      <c r="M254" s="974"/>
      <c r="N254" s="1557">
        <f>SUM(N260,N264)</f>
        <v>141.78899999999999</v>
      </c>
      <c r="O254" s="2150"/>
      <c r="P254" s="974"/>
      <c r="Q254" s="1557">
        <f>SUM(Q260,Q264)</f>
        <v>45.970999999999997</v>
      </c>
      <c r="R254" s="974"/>
      <c r="S254" s="1557"/>
      <c r="T254" s="2729"/>
      <c r="U254" s="2704" t="s">
        <v>4376</v>
      </c>
      <c r="V254" s="2694" t="s">
        <v>1486</v>
      </c>
      <c r="W254" s="2694" t="s">
        <v>2530</v>
      </c>
      <c r="X254" s="2694" t="s">
        <v>433</v>
      </c>
      <c r="Y254" s="2694" t="s">
        <v>433</v>
      </c>
      <c r="Z254" s="2694" t="s">
        <v>433</v>
      </c>
      <c r="AA254" s="2694" t="s">
        <v>4301</v>
      </c>
      <c r="AB254" s="3028" t="s">
        <v>433</v>
      </c>
      <c r="AC254" s="2694"/>
      <c r="AF254" s="84"/>
      <c r="AG254" s="84"/>
    </row>
    <row r="255" spans="1:33" ht="34.5" customHeight="1">
      <c r="A255" s="2879"/>
      <c r="B255" s="2703"/>
      <c r="C255" s="2700"/>
      <c r="D255" s="1977"/>
      <c r="E255" s="706" t="s">
        <v>2747</v>
      </c>
      <c r="F255" s="970"/>
      <c r="G255" s="970"/>
      <c r="H255" s="970"/>
      <c r="I255" s="722"/>
      <c r="J255" s="722"/>
      <c r="K255" s="970">
        <f>SUM(K259,K263)</f>
        <v>0</v>
      </c>
      <c r="L255" s="974">
        <v>27.084</v>
      </c>
      <c r="M255" s="974">
        <f t="shared" ref="M255:P255" si="261">SUM(M259,M263)</f>
        <v>0</v>
      </c>
      <c r="N255" s="1557"/>
      <c r="O255" s="2150">
        <f t="shared" si="218"/>
        <v>-1</v>
      </c>
      <c r="P255" s="974">
        <f t="shared" si="261"/>
        <v>0</v>
      </c>
      <c r="Q255" s="1557"/>
      <c r="R255" s="974"/>
      <c r="S255" s="1557"/>
      <c r="T255" s="2729"/>
      <c r="U255" s="2704"/>
      <c r="V255" s="2694"/>
      <c r="W255" s="2694"/>
      <c r="X255" s="2694"/>
      <c r="Y255" s="2694"/>
      <c r="Z255" s="2694"/>
      <c r="AA255" s="2694"/>
      <c r="AB255" s="3028"/>
      <c r="AC255" s="2694"/>
      <c r="AF255" s="84"/>
      <c r="AG255" s="84"/>
    </row>
    <row r="256" spans="1:33" ht="37.5" customHeight="1">
      <c r="A256" s="2879"/>
      <c r="B256" s="2703"/>
      <c r="C256" s="2700"/>
      <c r="D256" s="1977"/>
      <c r="E256" s="706" t="s">
        <v>246</v>
      </c>
      <c r="F256" s="970"/>
      <c r="G256" s="970"/>
      <c r="H256" s="970"/>
      <c r="I256" s="722"/>
      <c r="J256" s="722"/>
      <c r="K256" s="970">
        <f>SUM(K261,K265)</f>
        <v>488.56400000000002</v>
      </c>
      <c r="L256" s="974">
        <f t="shared" ref="L256" si="262">SUM(L261,L265)</f>
        <v>464.75800000000004</v>
      </c>
      <c r="M256" s="974">
        <f>SUM(M261,M265)</f>
        <v>455.85599999999999</v>
      </c>
      <c r="N256" s="1557">
        <f>SUM(N261,N265)</f>
        <v>455.85599999999999</v>
      </c>
      <c r="O256" s="2150">
        <f t="shared" si="218"/>
        <v>-1.9154054368079824E-2</v>
      </c>
      <c r="P256" s="974">
        <f>SUM(P261,P265)</f>
        <v>186.15299999999999</v>
      </c>
      <c r="Q256" s="1557">
        <f>SUM(Q260,Q264)</f>
        <v>45.970999999999997</v>
      </c>
      <c r="R256" s="974"/>
      <c r="S256" s="1557"/>
      <c r="T256" s="2729"/>
      <c r="U256" s="2734"/>
      <c r="V256" s="2694"/>
      <c r="W256" s="2694"/>
      <c r="X256" s="2694"/>
      <c r="Y256" s="2694"/>
      <c r="Z256" s="2694"/>
      <c r="AA256" s="2694"/>
      <c r="AB256" s="3028"/>
      <c r="AC256" s="2694"/>
      <c r="AD256" s="84" t="s">
        <v>2604</v>
      </c>
      <c r="AF256" s="84"/>
      <c r="AG256" s="84"/>
    </row>
    <row r="257" spans="1:33" ht="37.5" customHeight="1">
      <c r="A257" s="2879"/>
      <c r="B257" s="2703"/>
      <c r="C257" s="2700"/>
      <c r="D257" s="1977"/>
      <c r="E257" s="706" t="s">
        <v>1358</v>
      </c>
      <c r="F257" s="722"/>
      <c r="G257" s="722"/>
      <c r="H257" s="722"/>
      <c r="I257" s="722"/>
      <c r="J257" s="722"/>
      <c r="K257" s="722"/>
      <c r="L257" s="722"/>
      <c r="M257" s="722">
        <v>141.78899999999999</v>
      </c>
      <c r="N257" s="1557"/>
      <c r="O257" s="2150"/>
      <c r="P257" s="722">
        <v>45.970999999999997</v>
      </c>
      <c r="Q257" s="1557"/>
      <c r="R257" s="722"/>
      <c r="S257" s="1557"/>
      <c r="T257" s="2729"/>
      <c r="U257" s="2734"/>
      <c r="V257" s="2694"/>
      <c r="W257" s="2694"/>
      <c r="X257" s="656"/>
      <c r="Y257" s="2694"/>
      <c r="Z257" s="2694"/>
      <c r="AA257" s="2694"/>
      <c r="AB257" s="3028"/>
      <c r="AC257" s="2694"/>
      <c r="AF257" s="84"/>
      <c r="AG257" s="84"/>
    </row>
    <row r="258" spans="1:33" ht="68.400000000000006" customHeight="1">
      <c r="A258" s="2879"/>
      <c r="B258" s="2703"/>
      <c r="C258" s="2700"/>
      <c r="D258" s="1977"/>
      <c r="E258" s="725" t="s">
        <v>1067</v>
      </c>
      <c r="F258" s="964">
        <f>F254</f>
        <v>0</v>
      </c>
      <c r="G258" s="964"/>
      <c r="H258" s="964"/>
      <c r="I258" s="728"/>
      <c r="J258" s="728"/>
      <c r="K258" s="964">
        <f>SUM(K254,K255,K256)</f>
        <v>574.78100000000006</v>
      </c>
      <c r="L258" s="988">
        <f t="shared" ref="L258:P258" si="263">SUM(L254,L255,L256)</f>
        <v>491.84200000000004</v>
      </c>
      <c r="M258" s="988">
        <f>SUM(M254,M255,M256,M257)</f>
        <v>597.64499999999998</v>
      </c>
      <c r="N258" s="1558">
        <f t="shared" ref="N258" si="264">SUM(N254,N255,N256)</f>
        <v>597.64499999999998</v>
      </c>
      <c r="O258" s="2162">
        <f t="shared" si="218"/>
        <v>0.21511582988032729</v>
      </c>
      <c r="P258" s="988">
        <f>SUM(P254,P255,P256,P257)</f>
        <v>232.124</v>
      </c>
      <c r="Q258" s="1558">
        <f>SUM(Q254,Q255,Q256)</f>
        <v>91.941999999999993</v>
      </c>
      <c r="R258" s="988">
        <f t="shared" ref="R258" si="265">SUM(R254,R255,R256)</f>
        <v>0</v>
      </c>
      <c r="S258" s="1558">
        <f t="shared" ref="S258" si="266">SUM(S254,S255,S256)</f>
        <v>0</v>
      </c>
      <c r="T258" s="2729"/>
      <c r="U258" s="2734"/>
      <c r="V258" s="2694"/>
      <c r="W258" s="656" t="s">
        <v>2531</v>
      </c>
      <c r="X258" s="656" t="s">
        <v>433</v>
      </c>
      <c r="Y258" s="656" t="s">
        <v>433</v>
      </c>
      <c r="Z258" s="656" t="s">
        <v>433</v>
      </c>
      <c r="AA258" s="656" t="s">
        <v>2329</v>
      </c>
      <c r="AB258" s="971" t="s">
        <v>433</v>
      </c>
      <c r="AC258" s="2694"/>
      <c r="AF258" s="84"/>
      <c r="AG258" s="84"/>
    </row>
    <row r="259" spans="1:33" ht="28.5" hidden="1" customHeight="1">
      <c r="A259" s="2876" t="s">
        <v>3127</v>
      </c>
      <c r="B259" s="2826" t="s">
        <v>2540</v>
      </c>
      <c r="C259" s="976"/>
      <c r="D259" s="976"/>
      <c r="E259" s="682" t="s">
        <v>2747</v>
      </c>
      <c r="F259" s="755"/>
      <c r="G259" s="755"/>
      <c r="H259" s="755"/>
      <c r="I259" s="737"/>
      <c r="J259" s="737"/>
      <c r="K259" s="968"/>
      <c r="L259" s="755"/>
      <c r="M259" s="737"/>
      <c r="N259" s="1567"/>
      <c r="O259" s="2146"/>
      <c r="P259" s="737"/>
      <c r="Q259" s="1567"/>
      <c r="R259" s="737"/>
      <c r="S259" s="1567"/>
      <c r="T259" s="2729"/>
      <c r="U259" s="681"/>
      <c r="V259" s="693"/>
      <c r="W259" s="693"/>
      <c r="X259" s="693"/>
      <c r="Y259" s="693"/>
      <c r="Z259" s="693"/>
      <c r="AA259" s="693"/>
      <c r="AB259" s="1858"/>
      <c r="AC259" s="2694"/>
      <c r="AF259" s="84"/>
      <c r="AG259" s="84"/>
    </row>
    <row r="260" spans="1:33" ht="23.25" hidden="1" customHeight="1">
      <c r="A260" s="2874"/>
      <c r="B260" s="2826"/>
      <c r="C260" s="976"/>
      <c r="D260" s="976"/>
      <c r="E260" s="682" t="s">
        <v>470</v>
      </c>
      <c r="F260" s="755"/>
      <c r="G260" s="755"/>
      <c r="H260" s="755"/>
      <c r="I260" s="737"/>
      <c r="J260" s="737"/>
      <c r="K260" s="966">
        <v>0.59299999999999997</v>
      </c>
      <c r="L260" s="681">
        <v>0</v>
      </c>
      <c r="M260" s="946">
        <v>65.14</v>
      </c>
      <c r="N260" s="1559">
        <v>65.14</v>
      </c>
      <c r="O260" s="2146"/>
      <c r="P260" s="681">
        <v>1.452</v>
      </c>
      <c r="Q260" s="1559">
        <v>1.452</v>
      </c>
      <c r="R260" s="681"/>
      <c r="S260" s="1559"/>
      <c r="T260" s="2729"/>
      <c r="U260" s="681"/>
      <c r="V260" s="693"/>
      <c r="W260" s="693"/>
      <c r="X260" s="693"/>
      <c r="Y260" s="693"/>
      <c r="Z260" s="693"/>
      <c r="AA260" s="693"/>
      <c r="AB260" s="1858"/>
      <c r="AC260" s="2694"/>
      <c r="AF260" s="84"/>
      <c r="AG260" s="84"/>
    </row>
    <row r="261" spans="1:33" ht="23.25" hidden="1" customHeight="1">
      <c r="A261" s="2874"/>
      <c r="B261" s="2826"/>
      <c r="C261" s="976"/>
      <c r="D261" s="976"/>
      <c r="E261" s="682" t="s">
        <v>246</v>
      </c>
      <c r="F261" s="755"/>
      <c r="G261" s="755"/>
      <c r="H261" s="755"/>
      <c r="I261" s="737"/>
      <c r="J261" s="737"/>
      <c r="K261" s="966">
        <v>3.36</v>
      </c>
      <c r="L261" s="681">
        <v>284.19900000000001</v>
      </c>
      <c r="M261" s="946">
        <v>263.77600000000001</v>
      </c>
      <c r="N261" s="1559">
        <v>263.77600000000001</v>
      </c>
      <c r="O261" s="2146">
        <f t="shared" si="218"/>
        <v>-7.1861618091548535E-2</v>
      </c>
      <c r="P261" s="681">
        <v>5.88</v>
      </c>
      <c r="Q261" s="1559">
        <v>5.88</v>
      </c>
      <c r="R261" s="681"/>
      <c r="S261" s="1559"/>
      <c r="T261" s="2729"/>
      <c r="U261" s="681"/>
      <c r="V261" s="693"/>
      <c r="W261" s="693"/>
      <c r="X261" s="693"/>
      <c r="Y261" s="693"/>
      <c r="Z261" s="693"/>
      <c r="AA261" s="693"/>
      <c r="AB261" s="1858"/>
      <c r="AC261" s="2694"/>
      <c r="AF261" s="84"/>
      <c r="AG261" s="84"/>
    </row>
    <row r="262" spans="1:33" ht="27.75" hidden="1" customHeight="1">
      <c r="A262" s="2874"/>
      <c r="B262" s="2826"/>
      <c r="C262" s="976"/>
      <c r="D262" s="976"/>
      <c r="E262" s="700" t="s">
        <v>1067</v>
      </c>
      <c r="F262" s="755"/>
      <c r="G262" s="755"/>
      <c r="H262" s="755"/>
      <c r="I262" s="737"/>
      <c r="J262" s="737"/>
      <c r="K262" s="968">
        <f>SUM(K259,K260,K261)</f>
        <v>3.9529999999999998</v>
      </c>
      <c r="L262" s="737">
        <f t="shared" ref="L262:P262" si="267">SUM(L259,L260,L261)</f>
        <v>284.19900000000001</v>
      </c>
      <c r="M262" s="737">
        <f t="shared" si="267"/>
        <v>328.916</v>
      </c>
      <c r="N262" s="1567">
        <f t="shared" ref="N262" si="268">SUM(N259,N260,N261)</f>
        <v>328.916</v>
      </c>
      <c r="O262" s="2146">
        <f t="shared" si="218"/>
        <v>0.15734397376486189</v>
      </c>
      <c r="P262" s="737">
        <f t="shared" si="267"/>
        <v>7.3319999999999999</v>
      </c>
      <c r="Q262" s="1567">
        <f t="shared" ref="Q262" si="269">SUM(Q259,Q260,Q261)</f>
        <v>7.3319999999999999</v>
      </c>
      <c r="R262" s="737"/>
      <c r="S262" s="1567"/>
      <c r="T262" s="2729"/>
      <c r="U262" s="681"/>
      <c r="V262" s="693"/>
      <c r="W262" s="693"/>
      <c r="X262" s="693"/>
      <c r="Y262" s="693"/>
      <c r="Z262" s="693"/>
      <c r="AA262" s="693"/>
      <c r="AB262" s="1858"/>
      <c r="AC262" s="2694"/>
      <c r="AF262" s="84"/>
      <c r="AG262" s="84"/>
    </row>
    <row r="263" spans="1:33" ht="23.25" hidden="1" customHeight="1">
      <c r="A263" s="3024" t="s">
        <v>3126</v>
      </c>
      <c r="B263" s="3026" t="s">
        <v>1412</v>
      </c>
      <c r="C263" s="1028"/>
      <c r="D263" s="1028"/>
      <c r="E263" s="1029" t="s">
        <v>2747</v>
      </c>
      <c r="F263" s="1030"/>
      <c r="G263" s="1030"/>
      <c r="H263" s="1030"/>
      <c r="I263" s="1031"/>
      <c r="J263" s="1031"/>
      <c r="K263" s="1032"/>
      <c r="L263" s="1031">
        <v>27.084</v>
      </c>
      <c r="M263" s="1031"/>
      <c r="N263" s="1568"/>
      <c r="O263" s="2152">
        <f t="shared" si="218"/>
        <v>-1</v>
      </c>
      <c r="P263" s="1031"/>
      <c r="Q263" s="1568"/>
      <c r="R263" s="1031"/>
      <c r="S263" s="1568"/>
      <c r="T263" s="2729"/>
      <c r="U263" s="1033"/>
      <c r="V263" s="1027"/>
      <c r="W263" s="1027"/>
      <c r="X263" s="1027"/>
      <c r="Y263" s="1027"/>
      <c r="Z263" s="1027"/>
      <c r="AA263" s="1027"/>
      <c r="AB263" s="1860"/>
      <c r="AC263" s="2694"/>
      <c r="AF263" s="84"/>
      <c r="AG263" s="84"/>
    </row>
    <row r="264" spans="1:33" ht="24.75" hidden="1" customHeight="1">
      <c r="A264" s="3025"/>
      <c r="B264" s="3026"/>
      <c r="C264" s="1028"/>
      <c r="D264" s="1028"/>
      <c r="E264" s="1029" t="s">
        <v>470</v>
      </c>
      <c r="F264" s="1030"/>
      <c r="G264" s="1030"/>
      <c r="H264" s="1030"/>
      <c r="I264" s="1031"/>
      <c r="J264" s="1031"/>
      <c r="K264" s="1034">
        <v>85.623999999999995</v>
      </c>
      <c r="L264" s="1033">
        <v>0</v>
      </c>
      <c r="M264" s="1904">
        <v>76.649000000000001</v>
      </c>
      <c r="N264" s="1569">
        <v>76.649000000000001</v>
      </c>
      <c r="O264" s="2152"/>
      <c r="P264" s="1904">
        <v>44.518999999999998</v>
      </c>
      <c r="Q264" s="1569">
        <v>44.518999999999998</v>
      </c>
      <c r="R264" s="1033"/>
      <c r="S264" s="1569"/>
      <c r="T264" s="2729"/>
      <c r="U264" s="1033"/>
      <c r="V264" s="1027"/>
      <c r="W264" s="1027"/>
      <c r="X264" s="1027"/>
      <c r="Y264" s="1027"/>
      <c r="Z264" s="1027"/>
      <c r="AA264" s="1027"/>
      <c r="AB264" s="1860"/>
      <c r="AC264" s="2694"/>
      <c r="AF264" s="84"/>
      <c r="AG264" s="84"/>
    </row>
    <row r="265" spans="1:33" ht="27" hidden="1" customHeight="1">
      <c r="A265" s="3025"/>
      <c r="B265" s="3026"/>
      <c r="C265" s="1028"/>
      <c r="D265" s="1028"/>
      <c r="E265" s="1029" t="s">
        <v>246</v>
      </c>
      <c r="F265" s="1030"/>
      <c r="G265" s="1030"/>
      <c r="H265" s="1030"/>
      <c r="I265" s="1031"/>
      <c r="J265" s="1031"/>
      <c r="K265" s="1034">
        <v>485.20400000000001</v>
      </c>
      <c r="L265" s="1033">
        <v>180.559</v>
      </c>
      <c r="M265" s="1904">
        <v>192.08</v>
      </c>
      <c r="N265" s="1569">
        <v>192.08</v>
      </c>
      <c r="O265" s="2152">
        <f t="shared" si="218"/>
        <v>6.3807398135789492E-2</v>
      </c>
      <c r="P265" s="1904">
        <v>180.273</v>
      </c>
      <c r="Q265" s="1569">
        <v>180.273</v>
      </c>
      <c r="R265" s="1033"/>
      <c r="S265" s="1569"/>
      <c r="T265" s="2729"/>
      <c r="U265" s="1033"/>
      <c r="V265" s="1027"/>
      <c r="W265" s="1027"/>
      <c r="X265" s="1027"/>
      <c r="Y265" s="1027"/>
      <c r="Z265" s="1027"/>
      <c r="AA265" s="1027"/>
      <c r="AB265" s="1860"/>
      <c r="AC265" s="2694"/>
      <c r="AF265" s="84"/>
      <c r="AG265" s="84"/>
    </row>
    <row r="266" spans="1:33" ht="30" hidden="1" customHeight="1">
      <c r="A266" s="3025"/>
      <c r="B266" s="3026"/>
      <c r="C266" s="1028"/>
      <c r="D266" s="1028"/>
      <c r="E266" s="1035" t="s">
        <v>1067</v>
      </c>
      <c r="F266" s="1030"/>
      <c r="G266" s="1030"/>
      <c r="H266" s="1030"/>
      <c r="I266" s="1031"/>
      <c r="J266" s="1031"/>
      <c r="K266" s="1032">
        <f>SUM(K263,K264,K265)</f>
        <v>570.82799999999997</v>
      </c>
      <c r="L266" s="1031">
        <f t="shared" ref="L266:P266" si="270">SUM(L263,L264,L265)</f>
        <v>207.643</v>
      </c>
      <c r="M266" s="1031">
        <f t="shared" si="270"/>
        <v>268.72900000000004</v>
      </c>
      <c r="N266" s="1568">
        <f t="shared" ref="N266" si="271">SUM(N263,N264,N265)</f>
        <v>268.72900000000004</v>
      </c>
      <c r="O266" s="2152">
        <f t="shared" si="218"/>
        <v>0.29418762009795679</v>
      </c>
      <c r="P266" s="1031">
        <f t="shared" si="270"/>
        <v>224.792</v>
      </c>
      <c r="Q266" s="1568">
        <f t="shared" ref="Q266" si="272">SUM(Q263,Q264,Q265)</f>
        <v>224.792</v>
      </c>
      <c r="R266" s="1031"/>
      <c r="S266" s="1568"/>
      <c r="T266" s="2729"/>
      <c r="U266" s="1033"/>
      <c r="V266" s="1027"/>
      <c r="W266" s="1027"/>
      <c r="X266" s="1027"/>
      <c r="Y266" s="1027"/>
      <c r="Z266" s="1027"/>
      <c r="AA266" s="1027"/>
      <c r="AB266" s="1860"/>
      <c r="AC266" s="2694"/>
      <c r="AF266" s="84"/>
      <c r="AG266" s="84"/>
    </row>
    <row r="267" spans="1:33" ht="36" customHeight="1">
      <c r="A267" s="2879" t="s">
        <v>2528</v>
      </c>
      <c r="B267" s="2703" t="s">
        <v>2785</v>
      </c>
      <c r="C267" s="2700" t="s">
        <v>1071</v>
      </c>
      <c r="D267" s="1977"/>
      <c r="E267" s="706" t="s">
        <v>2747</v>
      </c>
      <c r="F267" s="970"/>
      <c r="G267" s="970"/>
      <c r="H267" s="970"/>
      <c r="I267" s="722">
        <v>37.9</v>
      </c>
      <c r="J267" s="723">
        <f t="shared" ref="J267:J272" si="273">L267/I267-1</f>
        <v>0.25329815303430081</v>
      </c>
      <c r="K267" s="970">
        <v>0</v>
      </c>
      <c r="L267" s="722">
        <f>L273</f>
        <v>47.5</v>
      </c>
      <c r="M267" s="722">
        <v>51.26</v>
      </c>
      <c r="N267" s="1557"/>
      <c r="O267" s="2150">
        <f t="shared" si="218"/>
        <v>7.9157894736842066E-2</v>
      </c>
      <c r="P267" s="722">
        <v>0</v>
      </c>
      <c r="Q267" s="1557"/>
      <c r="R267" s="722"/>
      <c r="S267" s="1557"/>
      <c r="T267" s="2729"/>
      <c r="U267" s="2704" t="s">
        <v>3529</v>
      </c>
      <c r="V267" s="2694" t="s">
        <v>4723</v>
      </c>
      <c r="W267" s="2694" t="s">
        <v>3375</v>
      </c>
      <c r="X267" s="2694" t="s">
        <v>324</v>
      </c>
      <c r="Y267" s="2694" t="s">
        <v>3336</v>
      </c>
      <c r="Z267" s="2694" t="s">
        <v>3336</v>
      </c>
      <c r="AA267" s="2694" t="s">
        <v>3336</v>
      </c>
      <c r="AB267" s="3028" t="s">
        <v>3336</v>
      </c>
      <c r="AC267" s="2694"/>
      <c r="AF267" s="84"/>
      <c r="AG267" s="84"/>
    </row>
    <row r="268" spans="1:33" ht="36" customHeight="1">
      <c r="A268" s="2879"/>
      <c r="B268" s="2703"/>
      <c r="C268" s="2700"/>
      <c r="D268" s="1977"/>
      <c r="E268" s="706" t="s">
        <v>470</v>
      </c>
      <c r="F268" s="970"/>
      <c r="G268" s="970"/>
      <c r="H268" s="970"/>
      <c r="I268" s="722"/>
      <c r="J268" s="723"/>
      <c r="K268" s="970">
        <v>45.48</v>
      </c>
      <c r="L268" s="722">
        <f>L274</f>
        <v>0</v>
      </c>
      <c r="M268" s="974"/>
      <c r="N268" s="1557">
        <v>51.26</v>
      </c>
      <c r="O268" s="2150"/>
      <c r="P268" s="974">
        <v>55.604999999999997</v>
      </c>
      <c r="Q268" s="1557">
        <v>55.604999999999997</v>
      </c>
      <c r="R268" s="974">
        <v>59.95</v>
      </c>
      <c r="S268" s="1557">
        <v>59.95</v>
      </c>
      <c r="T268" s="2729"/>
      <c r="U268" s="2704"/>
      <c r="V268" s="2694"/>
      <c r="W268" s="2694"/>
      <c r="X268" s="2694"/>
      <c r="Y268" s="2694"/>
      <c r="Z268" s="2694"/>
      <c r="AA268" s="2694"/>
      <c r="AB268" s="3028"/>
      <c r="AC268" s="2694"/>
      <c r="AF268" s="84"/>
      <c r="AG268" s="84"/>
    </row>
    <row r="269" spans="1:33" ht="35.25" customHeight="1">
      <c r="A269" s="2879"/>
      <c r="B269" s="2703"/>
      <c r="C269" s="2700"/>
      <c r="D269" s="1977"/>
      <c r="E269" s="706" t="s">
        <v>246</v>
      </c>
      <c r="F269" s="970"/>
      <c r="G269" s="970"/>
      <c r="H269" s="970"/>
      <c r="I269" s="722">
        <v>46.186999999999998</v>
      </c>
      <c r="J269" s="723">
        <f t="shared" si="273"/>
        <v>-9.4983436897828399E-2</v>
      </c>
      <c r="K269" s="970">
        <v>46.186999999999998</v>
      </c>
      <c r="L269" s="722">
        <f>L275</f>
        <v>41.8</v>
      </c>
      <c r="M269" s="974">
        <v>39</v>
      </c>
      <c r="N269" s="1557">
        <v>39</v>
      </c>
      <c r="O269" s="2150">
        <f t="shared" si="218"/>
        <v>-6.6985645933014287E-2</v>
      </c>
      <c r="P269" s="974">
        <v>42.25</v>
      </c>
      <c r="Q269" s="1557">
        <v>42.25</v>
      </c>
      <c r="R269" s="974">
        <v>45.825000000000003</v>
      </c>
      <c r="S269" s="1557">
        <v>45.825000000000003</v>
      </c>
      <c r="T269" s="2729"/>
      <c r="U269" s="2734"/>
      <c r="V269" s="2694"/>
      <c r="W269" s="2694"/>
      <c r="X269" s="2694"/>
      <c r="Y269" s="2694"/>
      <c r="Z269" s="2694"/>
      <c r="AA269" s="2694"/>
      <c r="AB269" s="3028"/>
      <c r="AC269" s="2694"/>
      <c r="AD269" s="158"/>
      <c r="AF269" s="84"/>
      <c r="AG269" s="84"/>
    </row>
    <row r="270" spans="1:33" ht="35.25" hidden="1" customHeight="1">
      <c r="A270" s="2879"/>
      <c r="B270" s="2703"/>
      <c r="C270" s="2700"/>
      <c r="D270" s="1977"/>
      <c r="E270" s="706" t="s">
        <v>1358</v>
      </c>
      <c r="F270" s="970"/>
      <c r="G270" s="970"/>
      <c r="H270" s="970"/>
      <c r="I270" s="722"/>
      <c r="J270" s="723"/>
      <c r="K270" s="970"/>
      <c r="L270" s="722"/>
      <c r="M270" s="974"/>
      <c r="N270" s="1557"/>
      <c r="O270" s="2150" t="e">
        <f t="shared" si="218"/>
        <v>#DIV/0!</v>
      </c>
      <c r="P270" s="974"/>
      <c r="Q270" s="1557"/>
      <c r="R270" s="974"/>
      <c r="S270" s="1557"/>
      <c r="T270" s="2729"/>
      <c r="U270" s="2734"/>
      <c r="V270" s="2694"/>
      <c r="W270" s="2694"/>
      <c r="X270" s="2694"/>
      <c r="Y270" s="2694"/>
      <c r="Z270" s="2694"/>
      <c r="AA270" s="2694"/>
      <c r="AB270" s="3028"/>
      <c r="AC270" s="2694"/>
      <c r="AD270" s="158"/>
      <c r="AF270" s="84"/>
      <c r="AG270" s="84"/>
    </row>
    <row r="271" spans="1:33" ht="35.25" customHeight="1">
      <c r="A271" s="2879"/>
      <c r="B271" s="2703"/>
      <c r="C271" s="2700"/>
      <c r="D271" s="1977"/>
      <c r="E271" s="706" t="s">
        <v>3487</v>
      </c>
      <c r="F271" s="970"/>
      <c r="G271" s="970"/>
      <c r="H271" s="970"/>
      <c r="I271" s="722"/>
      <c r="J271" s="723"/>
      <c r="K271" s="970">
        <f>K276</f>
        <v>13.2</v>
      </c>
      <c r="L271" s="974">
        <f t="shared" ref="L271" si="274">L276</f>
        <v>13.2</v>
      </c>
      <c r="M271" s="974">
        <v>13.5</v>
      </c>
      <c r="N271" s="1557">
        <v>13.5</v>
      </c>
      <c r="O271" s="2150">
        <f>(M271-L271)/L271</f>
        <v>2.2727272727272783E-2</v>
      </c>
      <c r="P271" s="974">
        <v>13.8</v>
      </c>
      <c r="Q271" s="1557">
        <v>13.8</v>
      </c>
      <c r="R271" s="974">
        <v>14</v>
      </c>
      <c r="S271" s="1557">
        <v>14</v>
      </c>
      <c r="T271" s="2729"/>
      <c r="U271" s="2734"/>
      <c r="V271" s="2694"/>
      <c r="W271" s="2694"/>
      <c r="X271" s="2694"/>
      <c r="Y271" s="2694"/>
      <c r="Z271" s="2694"/>
      <c r="AA271" s="2694"/>
      <c r="AB271" s="3028"/>
      <c r="AC271" s="2694"/>
      <c r="AD271" s="158"/>
      <c r="AF271" s="84"/>
      <c r="AG271" s="84"/>
    </row>
    <row r="272" spans="1:33" ht="40.5" customHeight="1">
      <c r="A272" s="2879"/>
      <c r="B272" s="2703"/>
      <c r="C272" s="2700"/>
      <c r="D272" s="1977"/>
      <c r="E272" s="725" t="s">
        <v>1067</v>
      </c>
      <c r="F272" s="964">
        <f>F267</f>
        <v>0</v>
      </c>
      <c r="G272" s="964"/>
      <c r="H272" s="964"/>
      <c r="I272" s="728">
        <f>I267+I269</f>
        <v>84.086999999999989</v>
      </c>
      <c r="J272" s="729">
        <f t="shared" si="273"/>
        <v>0.21897558481096979</v>
      </c>
      <c r="K272" s="964">
        <f>SUM(K267,K268,K269,K271)</f>
        <v>104.867</v>
      </c>
      <c r="L272" s="988">
        <f>SUM(L267,L268,L269,L271)</f>
        <v>102.5</v>
      </c>
      <c r="M272" s="988">
        <f>SUM(M267,M268,M269,M271,M270)</f>
        <v>103.75999999999999</v>
      </c>
      <c r="N272" s="1558">
        <f t="shared" ref="N272:S272" si="275">SUM(N267,N268,N269,N271,N270)</f>
        <v>103.75999999999999</v>
      </c>
      <c r="O272" s="2162">
        <f t="shared" si="218"/>
        <v>1.229268292682918E-2</v>
      </c>
      <c r="P272" s="988">
        <f t="shared" si="275"/>
        <v>111.65499999999999</v>
      </c>
      <c r="Q272" s="1558">
        <f t="shared" si="275"/>
        <v>111.65499999999999</v>
      </c>
      <c r="R272" s="988">
        <f t="shared" si="275"/>
        <v>119.77500000000001</v>
      </c>
      <c r="S272" s="1558">
        <f t="shared" si="275"/>
        <v>119.77500000000001</v>
      </c>
      <c r="T272" s="2729"/>
      <c r="U272" s="2734"/>
      <c r="V272" s="2694"/>
      <c r="W272" s="2694"/>
      <c r="X272" s="2694"/>
      <c r="Y272" s="2694"/>
      <c r="Z272" s="2694"/>
      <c r="AA272" s="2694"/>
      <c r="AB272" s="3028"/>
      <c r="AC272" s="2694"/>
      <c r="AF272" s="84"/>
      <c r="AG272" s="84"/>
    </row>
    <row r="273" spans="1:33" ht="33.75" hidden="1" customHeight="1">
      <c r="A273" s="3055" t="s">
        <v>3126</v>
      </c>
      <c r="B273" s="3020" t="s">
        <v>1409</v>
      </c>
      <c r="C273" s="1362" t="s">
        <v>2747</v>
      </c>
      <c r="D273" s="1362"/>
      <c r="E273" s="1363"/>
      <c r="F273" s="1364"/>
      <c r="G273" s="1364"/>
      <c r="H273" s="1364"/>
      <c r="I273" s="1365"/>
      <c r="J273" s="1365"/>
      <c r="K273" s="1366"/>
      <c r="L273" s="1365">
        <v>47.5</v>
      </c>
      <c r="M273" s="1365"/>
      <c r="N273" s="1572"/>
      <c r="O273" s="2166">
        <f t="shared" si="218"/>
        <v>-1</v>
      </c>
      <c r="P273" s="1365"/>
      <c r="Q273" s="1572"/>
      <c r="R273" s="1365"/>
      <c r="S273" s="1572"/>
      <c r="T273" s="503"/>
      <c r="U273" s="1367"/>
      <c r="V273" s="1368"/>
      <c r="W273" s="1368"/>
      <c r="X273" s="1327"/>
      <c r="Y273" s="1327"/>
      <c r="Z273" s="1327"/>
      <c r="AA273" s="1327"/>
      <c r="AB273" s="1820"/>
      <c r="AC273" s="472"/>
      <c r="AF273" s="84"/>
      <c r="AG273" s="84"/>
    </row>
    <row r="274" spans="1:33" ht="34.5" hidden="1" customHeight="1">
      <c r="A274" s="3056"/>
      <c r="B274" s="3021"/>
      <c r="C274" s="496" t="s">
        <v>470</v>
      </c>
      <c r="D274" s="496"/>
      <c r="E274" s="500"/>
      <c r="F274" s="497"/>
      <c r="G274" s="497"/>
      <c r="H274" s="497"/>
      <c r="I274" s="498"/>
      <c r="J274" s="498"/>
      <c r="K274" s="624">
        <v>45.48</v>
      </c>
      <c r="L274" s="458">
        <v>0</v>
      </c>
      <c r="M274" s="498">
        <v>48.5</v>
      </c>
      <c r="N274" s="1573">
        <v>48.5</v>
      </c>
      <c r="O274" s="2154" t="e">
        <f t="shared" ref="O274:O291" si="276">(M274-L274)/L274</f>
        <v>#DIV/0!</v>
      </c>
      <c r="P274" s="498">
        <v>48.5</v>
      </c>
      <c r="Q274" s="1573">
        <v>48.5</v>
      </c>
      <c r="R274" s="498">
        <v>48.5</v>
      </c>
      <c r="S274" s="1573">
        <v>48.5</v>
      </c>
      <c r="T274" s="503"/>
      <c r="U274" s="174"/>
      <c r="V274" s="177"/>
      <c r="W274" s="177"/>
      <c r="X274" s="211"/>
      <c r="Y274" s="211"/>
      <c r="Z274" s="211"/>
      <c r="AA274" s="211"/>
      <c r="AB274" s="1862"/>
      <c r="AC274" s="472"/>
      <c r="AF274" s="84"/>
      <c r="AG274" s="84"/>
    </row>
    <row r="275" spans="1:33" ht="32.25" hidden="1" customHeight="1">
      <c r="A275" s="3056"/>
      <c r="B275" s="3021"/>
      <c r="C275" s="496" t="s">
        <v>246</v>
      </c>
      <c r="D275" s="496"/>
      <c r="E275" s="500"/>
      <c r="F275" s="497"/>
      <c r="G275" s="497"/>
      <c r="H275" s="497"/>
      <c r="I275" s="498"/>
      <c r="J275" s="498"/>
      <c r="K275" s="624">
        <v>46.186999999999998</v>
      </c>
      <c r="L275" s="458">
        <v>41.8</v>
      </c>
      <c r="M275" s="498">
        <v>43.000999999999998</v>
      </c>
      <c r="N275" s="1573">
        <v>43.000999999999998</v>
      </c>
      <c r="O275" s="2154">
        <f t="shared" si="276"/>
        <v>2.8732057416267956E-2</v>
      </c>
      <c r="P275" s="498">
        <v>43</v>
      </c>
      <c r="Q275" s="1573">
        <v>43</v>
      </c>
      <c r="R275" s="498">
        <v>43</v>
      </c>
      <c r="S275" s="1573">
        <v>43</v>
      </c>
      <c r="T275" s="503"/>
      <c r="U275" s="174"/>
      <c r="V275" s="177"/>
      <c r="W275" s="177"/>
      <c r="X275" s="211"/>
      <c r="Y275" s="211"/>
      <c r="Z275" s="211"/>
      <c r="AA275" s="211"/>
      <c r="AB275" s="1862"/>
      <c r="AC275" s="472"/>
      <c r="AF275" s="84"/>
      <c r="AG275" s="84"/>
    </row>
    <row r="276" spans="1:33" ht="32.25" hidden="1" customHeight="1">
      <c r="A276" s="3056"/>
      <c r="B276" s="3021"/>
      <c r="C276" s="496" t="s">
        <v>1353</v>
      </c>
      <c r="D276" s="496"/>
      <c r="E276" s="500"/>
      <c r="F276" s="497"/>
      <c r="G276" s="497"/>
      <c r="H276" s="497"/>
      <c r="I276" s="498"/>
      <c r="J276" s="498"/>
      <c r="K276" s="624">
        <v>13.2</v>
      </c>
      <c r="L276" s="458">
        <v>13.2</v>
      </c>
      <c r="M276" s="458">
        <v>13.2</v>
      </c>
      <c r="N276" s="1574">
        <v>13.2</v>
      </c>
      <c r="O276" s="2154">
        <f t="shared" si="276"/>
        <v>0</v>
      </c>
      <c r="P276" s="458">
        <v>13.2</v>
      </c>
      <c r="Q276" s="1574">
        <v>13.2</v>
      </c>
      <c r="R276" s="458">
        <v>13.2</v>
      </c>
      <c r="S276" s="1574">
        <v>13.2</v>
      </c>
      <c r="T276" s="503"/>
      <c r="U276" s="174"/>
      <c r="V276" s="177"/>
      <c r="W276" s="177"/>
      <c r="X276" s="211"/>
      <c r="Y276" s="211"/>
      <c r="Z276" s="211"/>
      <c r="AA276" s="211"/>
      <c r="AB276" s="1862"/>
      <c r="AC276" s="472"/>
      <c r="AF276" s="84"/>
      <c r="AG276" s="84"/>
    </row>
    <row r="277" spans="1:33" ht="29.25" hidden="1" customHeight="1">
      <c r="A277" s="3057"/>
      <c r="B277" s="3021"/>
      <c r="C277" s="500" t="s">
        <v>1067</v>
      </c>
      <c r="D277" s="500"/>
      <c r="E277" s="500"/>
      <c r="F277" s="497"/>
      <c r="G277" s="497"/>
      <c r="H277" s="497"/>
      <c r="I277" s="498"/>
      <c r="J277" s="498"/>
      <c r="K277" s="624">
        <f>SUM(K273,K274,K275,K276)</f>
        <v>104.867</v>
      </c>
      <c r="L277" s="629">
        <f>SUM(L273,L274,L275,L276)</f>
        <v>102.5</v>
      </c>
      <c r="M277" s="629">
        <f t="shared" ref="M277:P277" si="277">SUM(M273,M274,M275,M276)</f>
        <v>104.70100000000001</v>
      </c>
      <c r="N277" s="1573">
        <f t="shared" ref="N277" si="278">SUM(N273,N274,N275,N276)</f>
        <v>104.70100000000001</v>
      </c>
      <c r="O277" s="2154">
        <f t="shared" si="276"/>
        <v>2.1473170731707392E-2</v>
      </c>
      <c r="P277" s="629">
        <f t="shared" si="277"/>
        <v>104.7</v>
      </c>
      <c r="Q277" s="1573">
        <f t="shared" ref="Q277:R277" si="279">SUM(Q273,Q274,Q275,Q276)</f>
        <v>104.7</v>
      </c>
      <c r="R277" s="629">
        <f t="shared" si="279"/>
        <v>104.7</v>
      </c>
      <c r="S277" s="1573">
        <f t="shared" ref="S277" si="280">SUM(S273,S274,S275,S276)</f>
        <v>104.7</v>
      </c>
      <c r="T277" s="192"/>
      <c r="U277" s="958"/>
      <c r="V277" s="959"/>
      <c r="W277" s="959"/>
      <c r="X277" s="650"/>
      <c r="Y277" s="650"/>
      <c r="Z277" s="650"/>
      <c r="AA277" s="650"/>
      <c r="AB277" s="1819"/>
      <c r="AC277" s="652"/>
      <c r="AF277" s="84"/>
      <c r="AG277" s="84"/>
    </row>
    <row r="278" spans="1:33" ht="73.5" customHeight="1">
      <c r="A278" s="3048"/>
      <c r="B278" s="3048"/>
      <c r="C278" s="3048"/>
      <c r="D278" s="3048"/>
      <c r="E278" s="3048"/>
      <c r="F278" s="251" t="s">
        <v>1081</v>
      </c>
      <c r="G278" s="251"/>
      <c r="H278" s="251" t="str">
        <f>H13</f>
        <v>2024  m. išlaidų projektas (lėšų poreikis), tūkst. Eur</v>
      </c>
      <c r="I278" s="190" t="str">
        <f>I13</f>
        <v>2024  m.asignavimai ir kitos lėšos, tūkst. Eur</v>
      </c>
      <c r="J278" s="182" t="s">
        <v>2882</v>
      </c>
      <c r="K278" s="491" t="s">
        <v>2883</v>
      </c>
      <c r="L278" s="182" t="str">
        <f>L13</f>
        <v>2025 m. asignavimai ir kitos lėšos, tūkst. Eur</v>
      </c>
      <c r="M278" s="184" t="str">
        <f>M13</f>
        <v>2026 m. asignavimai ir kitos lėšos, tūkst. Eur</v>
      </c>
      <c r="N278" s="1610" t="str">
        <f>N13</f>
        <v>2026 m.asignavimai ir kitos lėšos, tūkst. Eur
(poreikis)</v>
      </c>
      <c r="O278" s="3756"/>
      <c r="P278" s="184" t="str">
        <f>P13</f>
        <v>2027 m.asignavimai ir kitos lėšos, tūkst. Eur</v>
      </c>
      <c r="Q278" s="1610" t="str">
        <f>Q13</f>
        <v>2027 m.asignavimai ir kitos lėšos, tūkst. Eur
(poreikis)</v>
      </c>
      <c r="R278" s="184" t="str">
        <f>R13</f>
        <v>2028 m.asignavimai ir kitos lėšos, tūkst. Eur</v>
      </c>
      <c r="S278" s="1575" t="str">
        <f>S13</f>
        <v>2028 m.asignavimai ir kitos lėšos, tūkst. Eur
(poreikis)</v>
      </c>
      <c r="T278" s="2684"/>
      <c r="U278" s="2684"/>
      <c r="V278" s="2684"/>
      <c r="W278" s="2684"/>
      <c r="X278" s="2684"/>
      <c r="Y278" s="2684"/>
      <c r="Z278" s="2684"/>
      <c r="AA278" s="2684"/>
      <c r="AB278" s="2684"/>
      <c r="AC278" s="2684"/>
      <c r="AF278" s="84"/>
      <c r="AG278" s="84"/>
    </row>
    <row r="279" spans="1:33" ht="44.4" customHeight="1">
      <c r="A279" s="210"/>
      <c r="B279" s="3050" t="s">
        <v>720</v>
      </c>
      <c r="C279" s="3050"/>
      <c r="D279" s="3050"/>
      <c r="E279" s="3050"/>
      <c r="F279" s="252">
        <f>SUM(F280,F281,F284,F285,F286,F287,)</f>
        <v>7165.9719999999988</v>
      </c>
      <c r="G279" s="253">
        <f t="shared" ref="G279:G281" si="281">I279/F279-1</f>
        <v>0.11174897138866857</v>
      </c>
      <c r="H279" s="252">
        <f>SUM(H280,H281,H284,H285,H286,H287,)</f>
        <v>7735.44</v>
      </c>
      <c r="I279" s="486">
        <f>SUM(I280,I281,I284,I285,I286,I287,)</f>
        <v>7966.7619999999988</v>
      </c>
      <c r="J279" s="488">
        <f t="shared" ref="J279:J291" si="282">L279/I279-1</f>
        <v>0.28830998089311577</v>
      </c>
      <c r="K279" s="626">
        <f t="shared" ref="K279:M279" si="283">SUM(K280,K281,K284,K285,K286,K287,)</f>
        <v>9253.8809999999994</v>
      </c>
      <c r="L279" s="486">
        <f>SUM(L280,L281,L284,L285,L286,L287,)</f>
        <v>10263.659</v>
      </c>
      <c r="M279" s="646">
        <f t="shared" si="283"/>
        <v>13452.432999999999</v>
      </c>
      <c r="N279" s="3757">
        <f t="shared" ref="N279" si="284">SUM(N280,N281,N284,N285,N286,N287,)</f>
        <v>13081.688</v>
      </c>
      <c r="O279" s="3758">
        <f t="shared" si="276"/>
        <v>0.3106858869726673</v>
      </c>
      <c r="P279" s="225">
        <f>SUM(P280,P281,P284,P285,P286,P287,)</f>
        <v>11998.092000000001</v>
      </c>
      <c r="Q279" s="1604">
        <f t="shared" ref="Q279:R279" si="285">SUM(Q280,Q281,Q284,Q285,Q286,Q287,)</f>
        <v>11953.096</v>
      </c>
      <c r="R279" s="390">
        <f t="shared" si="285"/>
        <v>9280.5136000000002</v>
      </c>
      <c r="S279" s="1585">
        <f t="shared" ref="S279" si="286">SUM(S280,S281,S284,S285,S286,S287,)</f>
        <v>9537.7690000000002</v>
      </c>
      <c r="T279" s="1048"/>
      <c r="U279" s="172"/>
      <c r="V279" s="172"/>
      <c r="W279" s="172"/>
      <c r="X279" s="193"/>
      <c r="Y279" s="193"/>
      <c r="Z279" s="193"/>
      <c r="AA279" s="193"/>
      <c r="AB279" s="1313"/>
      <c r="AC279" s="172"/>
      <c r="AF279" s="84"/>
      <c r="AG279" s="84"/>
    </row>
    <row r="280" spans="1:33" ht="39" customHeight="1">
      <c r="A280" s="164"/>
      <c r="B280" s="2973" t="s">
        <v>1913</v>
      </c>
      <c r="C280" s="2973"/>
      <c r="D280" s="2973"/>
      <c r="E280" s="2973"/>
      <c r="F280" s="249">
        <f>SUM(F16,F37,F40,F43,F76,F94,F98,F101,F104,F106,F110,F114,F117,F120,F122,F126,F130,F135,F141,F143,F148,F150,F152,F157,F162,F164,F177,F186,F191,F193,F202,F207,F211,F224,F227,F231,F254,F48)</f>
        <v>4300.5459999999994</v>
      </c>
      <c r="G280" s="253">
        <f t="shared" si="281"/>
        <v>-7.0987730395163928E-2</v>
      </c>
      <c r="H280" s="249">
        <f>SUM(H16,H37,H40,H43,H76,H94,H98,H101,H104,H106,H110,H114,H117,H120,H122,H126,H130,H135,H141,H143,H148,H150,H152,H157,H162,H164,H177,H186,H191,H193,H202,H207,H211,H224,H227,H231,H254,H48)</f>
        <v>4035.0029999999997</v>
      </c>
      <c r="I280" s="167">
        <f>SUM(I16,I37,I40,I43,I76,I94,I98,I101,I104,I106,I110,I114,I117,I120,I122,I126,I130,I141,I143,I148,I150,I152,I157,I162,I164,I177,I186,I191,I193,I202,I224,I227,I254,I48,)</f>
        <v>3995.2599999999989</v>
      </c>
      <c r="J280" s="634">
        <f t="shared" si="282"/>
        <v>7.4260498690948973E-2</v>
      </c>
      <c r="K280" s="625">
        <f>SUM(K16,K37,K40,K43,K76,K94,K98,K101,K104,K106,K110,K114,K117,K120,K122,K126,K130,K141,K143,K148,K150,K152,K157,K162,K164,K177,K186,K191,K193,K202,K224,K227,K254,K48,K268,K238,K212,K136,K232,K208,)</f>
        <v>3572.2099999999996</v>
      </c>
      <c r="L280" s="167">
        <f>SUM(L16,L37,L40,L43,L48,L76,L94,L98,L101,L104,L106,L110,L114,L117,L120,L122,L126,L130,L136,L143,L148,L150,L152,L157,L162,L164,L177,L186,L191,L193,L208,L212,L224,L232,L238,L254,L268,)</f>
        <v>4291.95</v>
      </c>
      <c r="M280" s="3759">
        <f>SUM(M16,M37,M40,M43,M48,M76,M94,M98,M101,M104,M106,M110,M114,M117,M120,M122,M126,M130,M136,M143,M148,M150,M152,M157,M162,M164,M177,M186,M191,M193,M208,M212,M224,M232,M238,M254,M268,)</f>
        <v>4453.1599999999989</v>
      </c>
      <c r="N280" s="1597">
        <f>SUM(N16,N37,N40,N43,N48,N76,N94,N98,N101,N104,N106,N110,N114,N117,N120,N122,N126,N130,N136,N143,N148,N150,N152,N157,N162,N164,N177,N186,N191,N193,N208,N212,N224,N232,N238,N254,N268,)</f>
        <v>6106.6930000000011</v>
      </c>
      <c r="O280" s="3760">
        <f t="shared" si="276"/>
        <v>3.7561015389275067E-2</v>
      </c>
      <c r="P280" s="213">
        <f>SUM(P16,P37,P40,P43,P48,P76,P94,P98,P101,P104,P106,P110,P114,P117,P120,P122,P126,P130,P136,P143,P148,P150,P152,P157,P162,P164,P177,P186,P191,P193,P208,P212,P224,P232,P238,P254,P268,)</f>
        <v>4914.1819999999998</v>
      </c>
      <c r="Q280" s="1601">
        <f>SUM(Q16,Q37,Q40,Q43,Q48,Q76,Q94,Q98,Q101,Q104,Q106,Q110,Q114,Q117,Q120,Q122,Q126,Q130,Q136,Q143,Q148,Q150,Q152,Q157,Q162,Q164,Q177,Q186,Q191,Q193,Q208,Q212,Q224,Q232,Q238,Q254,Q268,)</f>
        <v>5854.3689999999988</v>
      </c>
      <c r="R280" s="213">
        <f>SUM(R16,R37,R40,R43,R48,R76,R94,R98,R101,R104,R106,R110,R114,R117,R120,R122,R126,R130,R136,R143,R148,R150,R152,R157,R162,R164,R177,R186,R191,R193,R208,R212,R224,R232,R238,R254,R268,)</f>
        <v>5022.7356</v>
      </c>
      <c r="S280" s="1576">
        <f>SUM(S16,S37,S40,S43,S48,S76,S94,S98,S101,S104,S106,S110,S114,S117,S120,S122,S126,S130,S136,S143,S148,S150,S152,S157,S162,S164,S177,S186,S191,S193,S208,S212,S224,S232,S238,S254,S268,)</f>
        <v>5077.8220000000001</v>
      </c>
      <c r="T280" s="192"/>
      <c r="U280" s="172"/>
      <c r="V280" s="172"/>
      <c r="W280" s="172"/>
      <c r="X280" s="193"/>
      <c r="Y280" s="193"/>
      <c r="Z280" s="193"/>
      <c r="AA280" s="193"/>
      <c r="AB280" s="1313"/>
      <c r="AC280" s="172"/>
      <c r="AF280" s="84"/>
      <c r="AG280" s="84"/>
    </row>
    <row r="281" spans="1:33" ht="31.2" customHeight="1">
      <c r="A281" s="164"/>
      <c r="B281" s="2973" t="s">
        <v>722</v>
      </c>
      <c r="C281" s="2973"/>
      <c r="D281" s="2973"/>
      <c r="E281" s="2973"/>
      <c r="F281" s="249">
        <f>SUM(F19,F42,F44,F59,F61,F75,F89,F99,F107,F138,F145,F153,F154,F158,F179,F187,F194,)</f>
        <v>1857.5709999999999</v>
      </c>
      <c r="G281" s="253">
        <f t="shared" si="281"/>
        <v>0.2878199541228843</v>
      </c>
      <c r="H281" s="249">
        <f>SUM(H19,H42,H44,H59,H61,H75,H89,H99,H107,H138,H145,H153,H154,H158,H179,H187,H194,)</f>
        <v>2635.3169999999996</v>
      </c>
      <c r="I281" s="167">
        <f>I282+I283</f>
        <v>2392.2170000000001</v>
      </c>
      <c r="J281" s="634">
        <f t="shared" si="282"/>
        <v>3.6330734210148874E-2</v>
      </c>
      <c r="K281" s="625">
        <f>K282+K283</f>
        <v>2786.52</v>
      </c>
      <c r="L281" s="167">
        <f>L282+L283</f>
        <v>2479.1279999999997</v>
      </c>
      <c r="M281" s="3759">
        <f>M282+M283</f>
        <v>3011.203</v>
      </c>
      <c r="N281" s="1597">
        <f>N282+N283</f>
        <v>3014.3030000000003</v>
      </c>
      <c r="O281" s="3760">
        <f t="shared" si="276"/>
        <v>0.21462183477416266</v>
      </c>
      <c r="P281" s="213">
        <f>P282+P283</f>
        <v>3011.203</v>
      </c>
      <c r="Q281" s="1601">
        <f t="shared" ref="Q281" si="287">Q282+Q283</f>
        <v>3192.663</v>
      </c>
      <c r="R281" s="213">
        <f t="shared" ref="R281:S281" si="288">R282+R283</f>
        <v>3011.203</v>
      </c>
      <c r="S281" s="1576">
        <f t="shared" si="288"/>
        <v>3236.098</v>
      </c>
      <c r="T281" s="192"/>
      <c r="U281" s="172"/>
      <c r="V281" s="172"/>
      <c r="W281" s="172"/>
      <c r="X281" s="193"/>
      <c r="Y281" s="193"/>
      <c r="Z281" s="193"/>
      <c r="AA281" s="193"/>
      <c r="AB281" s="1313"/>
      <c r="AC281" s="172"/>
      <c r="AF281" s="84"/>
      <c r="AG281" s="84"/>
    </row>
    <row r="282" spans="1:33" ht="45" hidden="1" customHeight="1">
      <c r="A282" s="496"/>
      <c r="B282" s="3051" t="s">
        <v>4306</v>
      </c>
      <c r="C282" s="3052"/>
      <c r="D282" s="3052"/>
      <c r="E282" s="3053"/>
      <c r="F282" s="497"/>
      <c r="G282" s="497"/>
      <c r="H282" s="497"/>
      <c r="I282" s="580">
        <f>SUM(I42,I59,I61,I75,I89,I153)</f>
        <v>2128.585</v>
      </c>
      <c r="J282" s="635">
        <f t="shared" si="282"/>
        <v>-3.3652872683026636E-2</v>
      </c>
      <c r="K282" s="633">
        <f>SUM(K42,K59,K61,K75,K89,K153)</f>
        <v>2639.0479999999998</v>
      </c>
      <c r="L282" s="458">
        <f t="shared" ref="L282:S282" si="289">SUM(L42,L59,L61,L75,L89,L153,L180)</f>
        <v>2056.9519999999998</v>
      </c>
      <c r="M282" s="445">
        <f>SUM(M42,M59,M61,M75,M89,M153,M180)</f>
        <v>2423.7669999999998</v>
      </c>
      <c r="N282" s="1602">
        <f t="shared" si="289"/>
        <v>2544.3650000000002</v>
      </c>
      <c r="O282" s="3761">
        <f t="shared" si="276"/>
        <v>0.17832939222694555</v>
      </c>
      <c r="P282" s="445">
        <f t="shared" si="289"/>
        <v>2423.7669999999998</v>
      </c>
      <c r="Q282" s="1602">
        <f t="shared" si="289"/>
        <v>2608.788</v>
      </c>
      <c r="R282" s="445">
        <f t="shared" si="289"/>
        <v>2423.7669999999998</v>
      </c>
      <c r="S282" s="1574">
        <f t="shared" si="289"/>
        <v>2637.261</v>
      </c>
      <c r="T282" s="240"/>
      <c r="U282" s="172"/>
      <c r="V282" s="172"/>
      <c r="W282" s="172"/>
      <c r="X282" s="193"/>
      <c r="Y282" s="193"/>
      <c r="Z282" s="193"/>
      <c r="AA282" s="193"/>
      <c r="AB282" s="1313"/>
      <c r="AC282" s="172"/>
      <c r="AF282" s="84"/>
      <c r="AG282" s="84"/>
    </row>
    <row r="283" spans="1:33" ht="39" hidden="1" customHeight="1">
      <c r="A283" s="496"/>
      <c r="B283" s="630" t="s">
        <v>4336</v>
      </c>
      <c r="C283" s="631"/>
      <c r="D283" s="631"/>
      <c r="E283" s="632"/>
      <c r="F283" s="497"/>
      <c r="G283" s="497"/>
      <c r="H283" s="497"/>
      <c r="I283" s="580">
        <f>SUM(I19,I62,I107,I145,I154,I179,I187,I194,I158,I138,I99,)</f>
        <v>263.63200000000001</v>
      </c>
      <c r="J283" s="635">
        <f t="shared" si="282"/>
        <v>0.60138374704133035</v>
      </c>
      <c r="K283" s="633">
        <f>SUM(K19,K62,K107,K145,K154,K179,K187,K194,K158,K138,K99,K44,)</f>
        <v>147.47200000000001</v>
      </c>
      <c r="L283" s="580">
        <f>SUM(L19,L62,L107,L145,L154,L179,L187,L194,L158,L138,L99,L44,L203)</f>
        <v>422.17599999999999</v>
      </c>
      <c r="M283" s="3762">
        <f>SUM(M19,M62,M107,M145,M154,M179,M187,M194,M158,M138,M99,M44,M203)</f>
        <v>587.43600000000004</v>
      </c>
      <c r="N283" s="1594">
        <f>SUM(N19,N62,N107,N145,N154,N179,N187,N194,N158,N138,N99,N44,N203)</f>
        <v>469.93799999999999</v>
      </c>
      <c r="O283" s="3763">
        <f t="shared" si="276"/>
        <v>0.39144811642537725</v>
      </c>
      <c r="P283" s="445">
        <f>SUM(P19,P62,P107,P145,P154,P179,P187,P194,P158,P138,P99,P44,P203)</f>
        <v>587.43600000000004</v>
      </c>
      <c r="Q283" s="1602">
        <f>SUM(Q19,Q62,Q107,Q145,Q154,Q179,Q187,Q194,Q158,Q138,Q99,Q44,Q203)</f>
        <v>583.875</v>
      </c>
      <c r="R283" s="445">
        <f>SUM(R19,R62,R107,R145,R154,R179,R187,R194,R158,R138,R99,R44,R203)</f>
        <v>587.43600000000004</v>
      </c>
      <c r="S283" s="1574">
        <f>SUM(S19,S62,S107,S145,S154,S179,S187,S194,S158,S138,S99,S44,S203)</f>
        <v>598.83699999999999</v>
      </c>
      <c r="T283" s="192"/>
      <c r="U283" s="172"/>
      <c r="V283" s="172"/>
      <c r="W283" s="172"/>
      <c r="X283" s="193"/>
      <c r="Y283" s="193"/>
      <c r="Z283" s="193"/>
      <c r="AA283" s="193"/>
      <c r="AB283" s="1313"/>
      <c r="AC283" s="172"/>
      <c r="AF283" s="84"/>
      <c r="AG283" s="84"/>
    </row>
    <row r="284" spans="1:33" ht="29.25" customHeight="1">
      <c r="A284" s="164"/>
      <c r="B284" s="2973" t="s">
        <v>4334</v>
      </c>
      <c r="C284" s="2973"/>
      <c r="D284" s="2973"/>
      <c r="E284" s="2973"/>
      <c r="F284" s="249">
        <f>SUM(F17,F115,F132,F178,)</f>
        <v>472.85499999999996</v>
      </c>
      <c r="G284" s="250">
        <f t="shared" ref="G284:G289" si="290">I284/F284-1</f>
        <v>8.0246587220183851E-2</v>
      </c>
      <c r="H284" s="249">
        <f>SUM(H17,H115,H132,H178,)</f>
        <v>488.67900000000003</v>
      </c>
      <c r="I284" s="167">
        <f>SUM(I17,I115,I132,I178,)</f>
        <v>510.8</v>
      </c>
      <c r="J284" s="634">
        <f t="shared" si="282"/>
        <v>0.23541111981205942</v>
      </c>
      <c r="K284" s="625">
        <f>SUM(K17,K115,K132,K178,)</f>
        <v>2.9430000000000001</v>
      </c>
      <c r="L284" s="165">
        <f>SUM(L17,L115,L132,L178,L133,L271,)</f>
        <v>631.048</v>
      </c>
      <c r="M284" s="213">
        <f>SUM(M17,M115,M132,M178,M133,M271,M18)</f>
        <v>697.92600000000004</v>
      </c>
      <c r="N284" s="1527">
        <f>SUM(N17,N115,N132,N178,N133,N271,)</f>
        <v>617.41999999999996</v>
      </c>
      <c r="O284" s="3764">
        <f t="shared" si="276"/>
        <v>0.10597925989782084</v>
      </c>
      <c r="P284" s="213">
        <f>SUM(P17,P115,P132,P178,P133,P271,)</f>
        <v>641.33999999999992</v>
      </c>
      <c r="Q284" s="1601">
        <f>SUM(Q17,Q115,Q132,Q178,Q133,Q271,)</f>
        <v>641.33999999999992</v>
      </c>
      <c r="R284" s="213">
        <f>SUM(R17,R115,R132,R178,R133,R271,)</f>
        <v>651.22</v>
      </c>
      <c r="S284" s="1945">
        <f>SUM(S17,S115,S132,S178,S133,S271,)</f>
        <v>651.22</v>
      </c>
      <c r="T284" s="240"/>
      <c r="V284" s="172"/>
      <c r="W284" s="172"/>
      <c r="X284" s="193"/>
      <c r="Y284" s="193"/>
      <c r="Z284" s="193"/>
      <c r="AA284" s="193"/>
      <c r="AB284" s="1313"/>
      <c r="AC284" s="172"/>
      <c r="AF284" s="84"/>
      <c r="AG284" s="84"/>
    </row>
    <row r="285" spans="1:33" ht="29.4" customHeight="1">
      <c r="A285" s="164"/>
      <c r="B285" s="2973" t="s">
        <v>2687</v>
      </c>
      <c r="C285" s="2973"/>
      <c r="D285" s="2973"/>
      <c r="E285" s="2973"/>
      <c r="F285" s="249">
        <f>SUM(F139,F144,F189,F203,F213,F228,F233,F239,F256,F269,F166,)</f>
        <v>435</v>
      </c>
      <c r="G285" s="250">
        <f t="shared" si="290"/>
        <v>0.64348965517241385</v>
      </c>
      <c r="H285" s="249">
        <f>SUM(H139,H144,H189,H203,H213,H228,H233,H239,H256,H269,H166,)</f>
        <v>576.44100000000003</v>
      </c>
      <c r="I285" s="167">
        <f>SUM(I139,I144,I189,I203,I213,I228,I233,I234,I190,I146,I269,I239,I256,I166,I128)</f>
        <v>714.91800000000001</v>
      </c>
      <c r="J285" s="634">
        <f t="shared" si="282"/>
        <v>1.8337655507344901</v>
      </c>
      <c r="K285" s="625">
        <f>SUM(K139,K144,K189,K203,K213,K228,K233,K234,K190,K146,K269,K239,K256,K166,K128)</f>
        <v>2247.7319999999995</v>
      </c>
      <c r="L285" s="167">
        <f>SUM(L139,L144,L189,L213,L228,L233,L234,L190,L146,L269,L239,L256,L166,L128)</f>
        <v>2025.91</v>
      </c>
      <c r="M285" s="3759">
        <f>SUM(M139,M144,M189,,M213,M228,M233,M234,M190,M146,M269,M239,M256,M166,M128)</f>
        <v>3343.2719999999995</v>
      </c>
      <c r="N285" s="1597">
        <f t="shared" ref="N285:S285" si="291">SUM(N139,N144,N189,,N213,N228,N233,N234,N190,N146,N269,N239,N256,N166,N128)</f>
        <v>3343.2719999999995</v>
      </c>
      <c r="O285" s="3760">
        <f t="shared" si="276"/>
        <v>0.65025692158091886</v>
      </c>
      <c r="P285" s="213">
        <f>SUM(P139,P144,P189,,P213,P228,P233,P234,P190,P146,P269,P239,P256,P166,P128)</f>
        <v>2493.6379999999999</v>
      </c>
      <c r="Q285" s="1527">
        <f t="shared" si="291"/>
        <v>2264.7240000000002</v>
      </c>
      <c r="R285" s="213">
        <f>SUM(R139,R144,R189,,R213,R228,R233,R234,R190,R146,R269,R239,R256,R166,R128)</f>
        <v>572.62900000000002</v>
      </c>
      <c r="S285" s="1945">
        <f t="shared" si="291"/>
        <v>572.62900000000002</v>
      </c>
      <c r="T285" s="240"/>
      <c r="U285" s="172"/>
      <c r="V285" s="172"/>
      <c r="W285" s="172"/>
      <c r="X285" s="193"/>
      <c r="Y285" s="193"/>
      <c r="Z285" s="193"/>
      <c r="AA285" s="193"/>
      <c r="AB285" s="1313"/>
      <c r="AC285" s="172"/>
      <c r="AF285" s="84"/>
      <c r="AG285" s="84"/>
    </row>
    <row r="286" spans="1:33" ht="30.75" customHeight="1">
      <c r="A286" s="164"/>
      <c r="B286" s="2973" t="s">
        <v>724</v>
      </c>
      <c r="C286" s="2973"/>
      <c r="D286" s="2973"/>
      <c r="E286" s="2973"/>
      <c r="F286" s="249">
        <f>SUM(F209)</f>
        <v>100</v>
      </c>
      <c r="G286" s="250">
        <f t="shared" si="290"/>
        <v>0</v>
      </c>
      <c r="H286" s="249">
        <f>SUM(H209)</f>
        <v>0</v>
      </c>
      <c r="I286" s="167">
        <f>SUM(I209)</f>
        <v>100</v>
      </c>
      <c r="J286" s="634">
        <f t="shared" si="282"/>
        <v>-0.7379</v>
      </c>
      <c r="K286" s="625">
        <f>SUM(K209)</f>
        <v>26.213999999999999</v>
      </c>
      <c r="L286" s="167">
        <f>SUM(L209,L137,L167,L214,L235,L240,L257,L270,)</f>
        <v>26.21</v>
      </c>
      <c r="M286" s="3759">
        <f>SUM(M209,M137,M167,M214,M235,M240,M257,M270,)</f>
        <v>1058.3979999999999</v>
      </c>
      <c r="N286" s="1597">
        <f>SUM(N209,N137,N167,N214,N235,N240,N257,N270,)</f>
        <v>0</v>
      </c>
      <c r="O286" s="3760">
        <f t="shared" si="276"/>
        <v>39.381457458985118</v>
      </c>
      <c r="P286" s="213">
        <f>SUM(P209,P137,P167,P214,P235,P240,P257,P270,)</f>
        <v>937.72900000000004</v>
      </c>
      <c r="Q286" s="1601">
        <f t="shared" ref="Q286" si="292">SUM(Q209,Q137,Q167,Q214,Q235,Q240,Q257,Q270,)</f>
        <v>0</v>
      </c>
      <c r="R286" s="213">
        <f t="shared" ref="R286" si="293">SUM(R209,R137,R167,R214,R235,R240,R257,R270,)</f>
        <v>22.725999999999999</v>
      </c>
      <c r="S286" s="1576"/>
      <c r="T286" s="192"/>
      <c r="V286" s="172"/>
      <c r="W286" s="172"/>
      <c r="X286" s="193"/>
      <c r="Y286" s="193"/>
      <c r="Z286" s="193"/>
      <c r="AA286" s="193"/>
      <c r="AB286" s="1313"/>
      <c r="AC286" s="172"/>
      <c r="AF286" s="84"/>
      <c r="AG286" s="84"/>
    </row>
    <row r="287" spans="1:33" ht="26.4" customHeight="1">
      <c r="A287" s="164"/>
      <c r="B287" s="2973" t="s">
        <v>725</v>
      </c>
      <c r="C287" s="2973"/>
      <c r="D287" s="2973"/>
      <c r="E287" s="2973"/>
      <c r="F287" s="249">
        <v>0</v>
      </c>
      <c r="G287" s="250"/>
      <c r="H287" s="249">
        <v>0</v>
      </c>
      <c r="I287" s="167">
        <f>SUM(I24,I135,I207,I211,I231,I237,I267,)</f>
        <v>253.56699999999998</v>
      </c>
      <c r="J287" s="634">
        <f t="shared" si="282"/>
        <v>2.1921070170802981</v>
      </c>
      <c r="K287" s="625">
        <f>SUM(K24,K135,K207,K211,K231,K237,K267,)</f>
        <v>618.26199999999994</v>
      </c>
      <c r="L287" s="167">
        <f>SUM(L135,L207,L211,L231,L237,L267,L165,L255,)</f>
        <v>809.4129999999999</v>
      </c>
      <c r="M287" s="3759">
        <f>SUM(M135,M207,M211,M231,M237,M267,M165,M255,M131,M118,)</f>
        <v>888.47399999999993</v>
      </c>
      <c r="N287" s="1597">
        <f>SUM(N135,N207,N211,N231,N237,N267,N165,N255,)</f>
        <v>0</v>
      </c>
      <c r="O287" s="3760">
        <f t="shared" si="276"/>
        <v>9.7676958487200038E-2</v>
      </c>
      <c r="P287" s="213">
        <f t="shared" ref="P287:R287" si="294">SUM(P135,P207,P211,P231,P237,P267,P165,P255,)</f>
        <v>0</v>
      </c>
      <c r="Q287" s="1601">
        <f t="shared" si="294"/>
        <v>0</v>
      </c>
      <c r="R287" s="213">
        <f t="shared" si="294"/>
        <v>0</v>
      </c>
      <c r="S287" s="1576">
        <f t="shared" ref="S287" si="295">SUM(S135,S207,S211,S231,S237,S267,S165,S255,)</f>
        <v>0</v>
      </c>
      <c r="T287" s="240"/>
      <c r="U287" s="172"/>
      <c r="W287" s="172"/>
      <c r="X287" s="193"/>
      <c r="Y287" s="193"/>
      <c r="Z287" s="193"/>
      <c r="AA287" s="193"/>
      <c r="AB287" s="1313"/>
      <c r="AC287" s="172"/>
      <c r="AF287" s="84"/>
      <c r="AG287" s="84"/>
    </row>
    <row r="288" spans="1:33" ht="40.5" customHeight="1">
      <c r="A288" s="210"/>
      <c r="B288" s="3050" t="s">
        <v>726</v>
      </c>
      <c r="C288" s="3050"/>
      <c r="D288" s="3050"/>
      <c r="E288" s="3050"/>
      <c r="F288" s="254">
        <v>5249.6</v>
      </c>
      <c r="G288" s="255">
        <f t="shared" si="290"/>
        <v>0.2402468759524532</v>
      </c>
      <c r="H288" s="254"/>
      <c r="I288" s="487">
        <f>SUM(I36,I39,I46,)</f>
        <v>6510.7999999999993</v>
      </c>
      <c r="J288" s="636">
        <f t="shared" si="282"/>
        <v>0.1526847699207472</v>
      </c>
      <c r="K288" s="627">
        <f>SUM(K36,K39,K46,)</f>
        <v>7504.9000000000005</v>
      </c>
      <c r="L288" s="487">
        <f>SUM(L36,L39,L46,)</f>
        <v>7504.9000000000005</v>
      </c>
      <c r="M288" s="3765">
        <f>SUM(M36,M39,M46,M20)</f>
        <v>7974.92</v>
      </c>
      <c r="N288" s="1601">
        <f>SUM(N36,N39,N46,)</f>
        <v>7724.902</v>
      </c>
      <c r="O288" s="3764">
        <f t="shared" si="276"/>
        <v>6.2628416101480303E-2</v>
      </c>
      <c r="P288" s="617">
        <f>SUM(P36,P39,P46,P20)</f>
        <v>7972.6</v>
      </c>
      <c r="Q288" s="1601">
        <f t="shared" ref="Q288" si="296">SUM(Q36,Q39,Q46,)</f>
        <v>7503.7569999999996</v>
      </c>
      <c r="R288" s="617">
        <f>SUM(R36,R39,R46,R20)</f>
        <v>7973.1</v>
      </c>
      <c r="S288" s="1576">
        <f t="shared" ref="S288" si="297">SUM(S36,S39,S46,)</f>
        <v>7410.915</v>
      </c>
      <c r="T288" s="240"/>
      <c r="V288" s="172"/>
      <c r="W288" s="172"/>
      <c r="X288" s="193"/>
      <c r="Y288" s="193"/>
      <c r="Z288" s="193"/>
      <c r="AA288" s="193"/>
      <c r="AB288" s="1313"/>
      <c r="AC288" s="172"/>
      <c r="AF288" s="84"/>
      <c r="AG288" s="84"/>
    </row>
    <row r="289" spans="1:33" ht="27.75" customHeight="1">
      <c r="A289" s="164"/>
      <c r="B289" s="3049" t="s">
        <v>1082</v>
      </c>
      <c r="C289" s="3049"/>
      <c r="D289" s="3049"/>
      <c r="E289" s="3049"/>
      <c r="F289" s="252">
        <f>F279+F288</f>
        <v>12415.572</v>
      </c>
      <c r="G289" s="255">
        <f t="shared" si="290"/>
        <v>0.1660809505997789</v>
      </c>
      <c r="H289" s="252">
        <f>H279+H288</f>
        <v>7735.44</v>
      </c>
      <c r="I289" s="486">
        <f>I279+I288</f>
        <v>14477.561999999998</v>
      </c>
      <c r="J289" s="488">
        <f t="shared" si="282"/>
        <v>0.22731707175559013</v>
      </c>
      <c r="K289" s="626">
        <f t="shared" ref="K289:S289" si="298">K279+K288</f>
        <v>16758.780999999999</v>
      </c>
      <c r="L289" s="486">
        <f t="shared" si="298"/>
        <v>17768.559000000001</v>
      </c>
      <c r="M289" s="646">
        <f>M279+M288</f>
        <v>21427.352999999999</v>
      </c>
      <c r="N289" s="1604">
        <f t="shared" si="298"/>
        <v>20806.59</v>
      </c>
      <c r="O289" s="3766">
        <f t="shared" si="276"/>
        <v>0.20591394046078795</v>
      </c>
      <c r="P289" s="225">
        <f>P279+P288</f>
        <v>19970.692000000003</v>
      </c>
      <c r="Q289" s="1604">
        <f t="shared" si="298"/>
        <v>19456.852999999999</v>
      </c>
      <c r="R289" s="225">
        <f>R279+R288</f>
        <v>17253.613600000001</v>
      </c>
      <c r="S289" s="1585">
        <f t="shared" si="298"/>
        <v>16948.684000000001</v>
      </c>
      <c r="T289" s="191"/>
      <c r="U289" s="172"/>
      <c r="V289" s="172"/>
      <c r="W289" s="172"/>
      <c r="X289" s="193"/>
      <c r="Y289" s="193"/>
      <c r="Z289" s="193"/>
      <c r="AA289" s="193"/>
      <c r="AB289" s="1313"/>
      <c r="AC289" s="172"/>
      <c r="AF289" s="84"/>
      <c r="AG289" s="84"/>
    </row>
    <row r="290" spans="1:33" ht="33.75" customHeight="1">
      <c r="A290" s="164"/>
      <c r="B290" s="3050" t="s">
        <v>1914</v>
      </c>
      <c r="C290" s="3050"/>
      <c r="D290" s="3050"/>
      <c r="E290" s="3050"/>
      <c r="F290" s="252">
        <v>0</v>
      </c>
      <c r="G290" s="255"/>
      <c r="H290" s="252">
        <v>0</v>
      </c>
      <c r="I290" s="486">
        <f>SUM(I258,I241,I215,I140,I168)</f>
        <v>510</v>
      </c>
      <c r="J290" s="488">
        <f t="shared" si="282"/>
        <v>3.7665941176470588</v>
      </c>
      <c r="K290" s="626">
        <f>SUM(K258,K241,K215,K140,K168)</f>
        <v>2734.9119999999998</v>
      </c>
      <c r="L290" s="486">
        <f>SUM(L258,L241,L215,L140,L168)</f>
        <v>2430.9630000000002</v>
      </c>
      <c r="M290" s="646">
        <f>SUM(M258,M241,M215,M140,M168)</f>
        <v>4175.3609999999999</v>
      </c>
      <c r="N290" s="1604">
        <f t="shared" ref="N290" si="299">SUM(N258,N241,N215,N140,N168)</f>
        <v>3925.3610000000003</v>
      </c>
      <c r="O290" s="3766">
        <f t="shared" si="276"/>
        <v>0.71757488698923</v>
      </c>
      <c r="P290" s="225">
        <f>SUM(P258,P241,P215,P140,P168)</f>
        <v>2989.4429999999998</v>
      </c>
      <c r="Q290" s="1604">
        <f t="shared" ref="Q290" si="300">SUM(Q258,Q241,Q215,Q140,Q168)</f>
        <v>2760.529</v>
      </c>
      <c r="R290" s="225">
        <f>SUM(R258,R241,R215,R140,R168)</f>
        <v>145.54500000000002</v>
      </c>
      <c r="S290" s="1585">
        <f t="shared" ref="S290" si="301">SUM(S258,S241,S215,S140,S168)</f>
        <v>145.54500000000002</v>
      </c>
      <c r="T290" s="191"/>
      <c r="U290" s="172"/>
      <c r="V290" s="172"/>
      <c r="W290" s="172"/>
      <c r="X290" s="193"/>
      <c r="Y290" s="193"/>
      <c r="Z290" s="193"/>
      <c r="AA290" s="193"/>
      <c r="AB290" s="1313"/>
      <c r="AC290" s="172"/>
      <c r="AF290" s="84"/>
      <c r="AG290" s="84"/>
    </row>
    <row r="291" spans="1:33" ht="39" customHeight="1">
      <c r="A291" s="164"/>
      <c r="B291" s="3049" t="s">
        <v>727</v>
      </c>
      <c r="C291" s="3049"/>
      <c r="D291" s="3049"/>
      <c r="E291" s="3049"/>
      <c r="F291" s="252">
        <v>0</v>
      </c>
      <c r="G291" s="255"/>
      <c r="H291" s="252">
        <v>0</v>
      </c>
      <c r="I291" s="488">
        <f>I289/F289-1</f>
        <v>0.1660809505997789</v>
      </c>
      <c r="J291" s="488">
        <f t="shared" si="282"/>
        <v>0.36871249191834021</v>
      </c>
      <c r="K291" s="628">
        <f t="shared" ref="K291" si="302">K289/H289-1</f>
        <v>1.166493567269606</v>
      </c>
      <c r="L291" s="488">
        <f>L289/I289-1</f>
        <v>0.22731707175559013</v>
      </c>
      <c r="M291" s="3767">
        <f>(M289-L289)/L289</f>
        <v>0.20591394046078795</v>
      </c>
      <c r="N291" s="3768"/>
      <c r="O291" s="3758">
        <f t="shared" si="276"/>
        <v>-9.4155406496766264E-2</v>
      </c>
      <c r="P291" s="315">
        <f>(P289-M289)/M289</f>
        <v>-6.7981378754529156E-2</v>
      </c>
      <c r="Q291" s="3769"/>
      <c r="R291" s="315">
        <f>(R289-P289)/P289</f>
        <v>-0.13605329249482201</v>
      </c>
      <c r="S291" s="1586"/>
      <c r="T291" s="191"/>
      <c r="U291" s="172"/>
      <c r="V291" s="172"/>
      <c r="W291" s="172"/>
      <c r="X291" s="193"/>
      <c r="Y291" s="193"/>
      <c r="Z291" s="193"/>
      <c r="AA291" s="193"/>
      <c r="AB291" s="1313"/>
      <c r="AC291" s="172"/>
      <c r="AF291" s="84"/>
      <c r="AG291" s="84"/>
    </row>
    <row r="292" spans="1:33" hidden="1">
      <c r="A292" s="163"/>
      <c r="B292" s="163"/>
      <c r="C292" s="163"/>
      <c r="D292" s="163"/>
      <c r="E292" s="163"/>
      <c r="F292" s="163"/>
      <c r="G292" s="163"/>
      <c r="H292" s="163"/>
      <c r="I292" s="163"/>
      <c r="J292" s="163"/>
      <c r="K292" s="492"/>
      <c r="L292" s="163"/>
      <c r="M292" s="163"/>
      <c r="N292" s="1577"/>
      <c r="O292" s="2155"/>
      <c r="P292" s="163"/>
      <c r="Q292" s="1577"/>
      <c r="R292" s="163"/>
      <c r="S292" s="1577"/>
      <c r="T292" s="168"/>
      <c r="U292" s="163"/>
      <c r="V292" s="163"/>
      <c r="W292" s="163"/>
      <c r="X292" s="168"/>
      <c r="Y292" s="168"/>
      <c r="Z292" s="168"/>
      <c r="AA292" s="168"/>
      <c r="AB292" s="1309"/>
      <c r="AC292" s="89"/>
      <c r="AF292" s="84"/>
      <c r="AG292" s="84"/>
    </row>
    <row r="293" spans="1:33" hidden="1">
      <c r="F293" s="84"/>
      <c r="G293" s="84"/>
      <c r="K293" s="493" t="s">
        <v>3557</v>
      </c>
      <c r="L293" s="84">
        <v>5758.6210000000001</v>
      </c>
      <c r="AF293" s="84"/>
      <c r="AG293" s="84"/>
    </row>
    <row r="294" spans="1:33" hidden="1">
      <c r="A294" s="87"/>
      <c r="B294" s="124"/>
      <c r="C294" s="89"/>
      <c r="D294" s="89"/>
      <c r="E294" s="89"/>
      <c r="F294" s="123"/>
      <c r="G294" s="123"/>
      <c r="H294" s="152"/>
      <c r="I294" s="123">
        <v>4859.6270000000004</v>
      </c>
      <c r="J294" s="123"/>
      <c r="K294" s="494"/>
      <c r="L294" s="123"/>
      <c r="M294" s="123"/>
      <c r="N294" s="1579"/>
      <c r="O294" s="2168"/>
      <c r="P294" s="123"/>
      <c r="Q294" s="1579"/>
      <c r="R294" s="123"/>
      <c r="S294" s="1579"/>
      <c r="T294" s="124"/>
      <c r="U294" s="123"/>
      <c r="AF294" s="84"/>
      <c r="AG294" s="84"/>
    </row>
    <row r="295" spans="1:33" hidden="1">
      <c r="A295" s="87"/>
      <c r="B295" s="87"/>
      <c r="C295" s="87"/>
      <c r="D295" s="87"/>
      <c r="E295" s="87"/>
      <c r="F295" s="87"/>
      <c r="G295" s="87"/>
      <c r="H295" s="87"/>
      <c r="I295" s="87"/>
      <c r="J295" s="87"/>
      <c r="K295" s="490"/>
      <c r="L295" s="87"/>
      <c r="M295" s="87"/>
      <c r="N295" s="1553"/>
      <c r="O295" s="2145"/>
      <c r="P295" s="87"/>
      <c r="Q295" s="1553"/>
      <c r="R295" s="87"/>
      <c r="S295" s="1553"/>
      <c r="T295" s="125"/>
      <c r="U295" s="87"/>
      <c r="AF295" s="84"/>
      <c r="AG295" s="84"/>
    </row>
    <row r="296" spans="1:33" hidden="1">
      <c r="A296" s="87"/>
      <c r="B296" s="87"/>
      <c r="C296" s="87"/>
      <c r="D296" s="87"/>
      <c r="E296" s="87"/>
      <c r="F296" s="87"/>
      <c r="G296" s="87"/>
      <c r="H296" s="87"/>
      <c r="I296" s="115">
        <f>I294-I280-I284-I286-I287</f>
        <v>1.5631940186722204E-12</v>
      </c>
      <c r="J296" s="115"/>
      <c r="K296" s="495"/>
      <c r="L296" s="87"/>
      <c r="M296" s="87"/>
      <c r="N296" s="1553"/>
      <c r="O296" s="2145"/>
      <c r="P296" s="87"/>
      <c r="Q296" s="1553"/>
      <c r="R296" s="87"/>
      <c r="S296" s="1553"/>
      <c r="T296" s="125"/>
      <c r="U296" s="87"/>
      <c r="AF296" s="84"/>
      <c r="AG296" s="84"/>
    </row>
    <row r="297" spans="1:33" hidden="1">
      <c r="A297" s="87"/>
      <c r="B297" s="87"/>
      <c r="C297" s="87"/>
      <c r="D297" s="87"/>
      <c r="E297" s="87"/>
      <c r="F297" s="87"/>
      <c r="G297" s="87"/>
      <c r="H297" s="87"/>
      <c r="I297" s="87"/>
      <c r="J297" s="87"/>
      <c r="K297" s="490"/>
      <c r="L297" s="87"/>
      <c r="M297" s="87"/>
      <c r="N297" s="1553"/>
      <c r="O297" s="2145"/>
      <c r="P297" s="87"/>
      <c r="Q297" s="1553"/>
      <c r="R297" s="87"/>
      <c r="S297" s="1553"/>
      <c r="T297" s="125"/>
      <c r="U297" s="87"/>
      <c r="AF297" s="84"/>
      <c r="AG297" s="84"/>
    </row>
    <row r="298" spans="1:33" hidden="1">
      <c r="A298" s="87"/>
      <c r="B298" s="87"/>
      <c r="C298" s="87"/>
      <c r="D298" s="87"/>
      <c r="E298" s="87"/>
      <c r="F298" s="87"/>
      <c r="G298" s="87"/>
      <c r="H298" s="87"/>
      <c r="I298" s="87"/>
      <c r="J298" s="87"/>
      <c r="K298" s="490"/>
      <c r="L298" s="115">
        <f>L293-L280-L284-L286-L287</f>
        <v>0</v>
      </c>
      <c r="M298" s="87"/>
      <c r="N298" s="1553"/>
      <c r="O298" s="2145"/>
      <c r="P298" s="87"/>
      <c r="Q298" s="1553"/>
      <c r="R298" s="87"/>
      <c r="S298" s="1553"/>
      <c r="T298" s="125"/>
      <c r="U298" s="87"/>
      <c r="AF298" s="84"/>
      <c r="AG298" s="84"/>
    </row>
    <row r="299" spans="1:33" hidden="1">
      <c r="A299" s="87"/>
      <c r="B299" s="87"/>
      <c r="C299" s="87"/>
      <c r="D299" s="87"/>
      <c r="E299" s="87"/>
      <c r="F299" s="87"/>
      <c r="G299" s="87"/>
      <c r="H299" s="87"/>
      <c r="I299" s="87"/>
      <c r="J299" s="87"/>
      <c r="K299" s="490"/>
      <c r="L299" s="87"/>
      <c r="M299" s="87"/>
      <c r="N299" s="1553"/>
      <c r="O299" s="2145"/>
      <c r="P299" s="87"/>
      <c r="Q299" s="1553"/>
      <c r="R299" s="87"/>
      <c r="S299" s="1553"/>
      <c r="T299" s="125"/>
      <c r="U299" s="87"/>
      <c r="AF299" s="84"/>
      <c r="AG299" s="84"/>
    </row>
    <row r="300" spans="1:33" ht="15" hidden="1">
      <c r="A300" s="87"/>
      <c r="B300" s="87"/>
      <c r="C300" s="87"/>
      <c r="D300" s="87"/>
      <c r="E300" s="87"/>
      <c r="F300" s="87"/>
      <c r="G300" s="87"/>
      <c r="H300" s="87"/>
      <c r="I300" s="87"/>
      <c r="J300" s="87"/>
      <c r="K300" s="800"/>
      <c r="L300" s="815">
        <v>8795.2080000000005</v>
      </c>
      <c r="M300" s="816">
        <v>10759.049000000001</v>
      </c>
      <c r="N300" s="1580">
        <v>10759.049000000001</v>
      </c>
      <c r="O300" s="2156"/>
      <c r="P300" s="816">
        <v>8597.7929999999997</v>
      </c>
      <c r="Q300" s="1580">
        <v>8597.7929999999997</v>
      </c>
      <c r="R300" s="816">
        <v>8597.7929999999997</v>
      </c>
      <c r="S300" s="1580">
        <v>8597.7929999999997</v>
      </c>
      <c r="T300" s="1049"/>
      <c r="U300" s="87"/>
      <c r="AF300" s="84"/>
      <c r="AG300" s="84"/>
    </row>
    <row r="301" spans="1:33" ht="15" hidden="1">
      <c r="A301" s="87"/>
      <c r="B301" s="87"/>
      <c r="C301" s="87"/>
      <c r="D301" s="87"/>
      <c r="E301" s="87"/>
      <c r="F301" s="87"/>
      <c r="G301" s="87"/>
      <c r="H301" s="87"/>
      <c r="I301" s="87"/>
      <c r="J301" s="87"/>
      <c r="K301" s="803" t="s">
        <v>3504</v>
      </c>
      <c r="L301" s="819">
        <f t="shared" ref="L301:S301" si="303">L289-L300</f>
        <v>8973.3510000000006</v>
      </c>
      <c r="M301" s="817">
        <f t="shared" si="303"/>
        <v>10668.303999999998</v>
      </c>
      <c r="N301" s="1581">
        <f t="shared" si="303"/>
        <v>10047.540999999999</v>
      </c>
      <c r="O301" s="2156"/>
      <c r="P301" s="817">
        <f t="shared" si="303"/>
        <v>11372.899000000003</v>
      </c>
      <c r="Q301" s="1581">
        <f t="shared" si="303"/>
        <v>10859.06</v>
      </c>
      <c r="R301" s="817">
        <f t="shared" si="303"/>
        <v>8655.8206000000009</v>
      </c>
      <c r="S301" s="1581">
        <f t="shared" si="303"/>
        <v>8350.8910000000014</v>
      </c>
      <c r="T301" s="1049"/>
      <c r="U301" s="87"/>
      <c r="AF301" s="84"/>
      <c r="AG301" s="84"/>
    </row>
    <row r="302" spans="1:33" ht="15.6" hidden="1">
      <c r="A302" s="87"/>
      <c r="B302" s="87"/>
      <c r="C302" s="87"/>
      <c r="D302" s="87"/>
      <c r="E302" s="87"/>
      <c r="F302" s="87"/>
      <c r="G302" s="87"/>
      <c r="H302" s="87"/>
      <c r="I302" s="87"/>
      <c r="J302" s="87"/>
      <c r="K302" s="490"/>
      <c r="L302" s="817">
        <f t="shared" ref="L302:S302" si="304">L301-L288</f>
        <v>1468.451</v>
      </c>
      <c r="M302" s="823">
        <f t="shared" si="304"/>
        <v>2693.3839999999982</v>
      </c>
      <c r="N302" s="1582">
        <f t="shared" si="304"/>
        <v>2322.6389999999992</v>
      </c>
      <c r="O302" s="2156"/>
      <c r="P302" s="823">
        <f t="shared" si="304"/>
        <v>3400.2990000000027</v>
      </c>
      <c r="Q302" s="1582">
        <f t="shared" si="304"/>
        <v>3355.3029999999999</v>
      </c>
      <c r="R302" s="823">
        <f t="shared" si="304"/>
        <v>682.72060000000056</v>
      </c>
      <c r="S302" s="1582">
        <f t="shared" si="304"/>
        <v>939.97600000000148</v>
      </c>
      <c r="T302" s="1049"/>
      <c r="U302" s="87"/>
      <c r="AF302" s="84"/>
      <c r="AG302" s="84"/>
    </row>
    <row r="303" spans="1:33" ht="15" hidden="1">
      <c r="A303" s="87"/>
      <c r="B303" s="87"/>
      <c r="C303" s="87"/>
      <c r="D303" s="87"/>
      <c r="E303" s="87"/>
      <c r="F303" s="87"/>
      <c r="G303" s="87"/>
      <c r="H303" s="87"/>
      <c r="I303" s="87"/>
      <c r="J303" s="87"/>
      <c r="K303" s="495" t="s">
        <v>246</v>
      </c>
      <c r="L303" s="818">
        <f>L285-L302</f>
        <v>557.45900000000006</v>
      </c>
      <c r="M303" s="817"/>
      <c r="N303" s="1581"/>
      <c r="O303" s="2156"/>
      <c r="P303" s="816"/>
      <c r="Q303" s="1580"/>
      <c r="R303" s="816"/>
      <c r="S303" s="1580"/>
      <c r="T303" s="1049"/>
      <c r="U303" s="87"/>
      <c r="AF303" s="84"/>
      <c r="AG303" s="84"/>
    </row>
    <row r="304" spans="1:33" ht="15">
      <c r="A304" s="87"/>
      <c r="B304" s="87"/>
      <c r="C304" s="87"/>
      <c r="D304" s="87"/>
      <c r="E304" s="87"/>
      <c r="F304" s="87"/>
      <c r="G304" s="87"/>
      <c r="H304" s="87"/>
      <c r="I304" s="87"/>
      <c r="J304" s="87"/>
      <c r="K304" s="490"/>
      <c r="L304" s="816"/>
      <c r="M304" s="817"/>
      <c r="N304" s="1581"/>
      <c r="O304" s="2156"/>
      <c r="P304" s="816"/>
      <c r="Q304" s="1580"/>
      <c r="R304" s="816"/>
      <c r="S304" s="1580"/>
      <c r="T304" s="1050"/>
      <c r="U304" s="87"/>
      <c r="AF304" s="84"/>
      <c r="AG304" s="84"/>
    </row>
    <row r="305" spans="1:33" ht="15" hidden="1">
      <c r="A305" s="87"/>
      <c r="B305" s="87"/>
      <c r="C305" s="87"/>
      <c r="D305" s="87"/>
      <c r="E305" s="87"/>
      <c r="F305" s="87"/>
      <c r="G305" s="87"/>
      <c r="H305" s="87"/>
      <c r="I305" s="87"/>
      <c r="J305" s="87"/>
      <c r="K305" s="490"/>
      <c r="L305" s="816"/>
      <c r="M305" s="817">
        <f>SUM(M15,M35,M96,M160,)</f>
        <v>21427.352999999999</v>
      </c>
      <c r="N305" s="817">
        <f t="shared" ref="N305:R305" si="305">SUM(N15,N35,N96,N160,)</f>
        <v>20834.910000000003</v>
      </c>
      <c r="O305" s="817">
        <f t="shared" si="305"/>
        <v>1.4498240836741236</v>
      </c>
      <c r="P305" s="817">
        <f t="shared" si="305"/>
        <v>19970.691999999999</v>
      </c>
      <c r="Q305" s="817">
        <f t="shared" si="305"/>
        <v>19482.853000000003</v>
      </c>
      <c r="R305" s="817">
        <f t="shared" si="305"/>
        <v>17253.613600000001</v>
      </c>
      <c r="S305" s="1580"/>
      <c r="T305" s="1049"/>
      <c r="U305" s="87"/>
      <c r="AF305" s="84"/>
      <c r="AG305" s="84"/>
    </row>
    <row r="306" spans="1:33" ht="56.4" hidden="1" customHeight="1">
      <c r="A306" s="87"/>
      <c r="B306" s="87"/>
      <c r="C306" s="87"/>
      <c r="D306" s="87"/>
      <c r="E306" s="87"/>
      <c r="F306" s="87"/>
      <c r="G306" s="87"/>
      <c r="H306" s="87"/>
      <c r="I306" s="87"/>
      <c r="J306" s="87"/>
      <c r="K306" s="490"/>
      <c r="L306" s="87"/>
      <c r="M306" s="87"/>
      <c r="N306" s="669"/>
      <c r="O306" s="2157"/>
      <c r="P306" s="1923" t="s">
        <v>4157</v>
      </c>
      <c r="Q306" s="1923" t="s">
        <v>4159</v>
      </c>
      <c r="R306" s="1923" t="s">
        <v>4158</v>
      </c>
      <c r="S306" s="278"/>
      <c r="T306" s="125"/>
      <c r="U306" s="87"/>
      <c r="AF306" s="84"/>
      <c r="AG306" s="84"/>
    </row>
    <row r="307" spans="1:33" ht="30.6" hidden="1" customHeight="1">
      <c r="A307" s="87"/>
      <c r="B307" s="87"/>
      <c r="C307" s="87"/>
      <c r="D307" s="87"/>
      <c r="E307" s="87"/>
      <c r="F307" s="87"/>
      <c r="G307" s="87"/>
      <c r="H307" s="87"/>
      <c r="I307" s="87"/>
      <c r="J307" s="87"/>
      <c r="K307" s="490"/>
      <c r="L307" s="87"/>
      <c r="M307" s="87"/>
      <c r="N307" s="2748" t="s">
        <v>4160</v>
      </c>
      <c r="O307" s="2157" t="s">
        <v>4156</v>
      </c>
      <c r="P307" s="1935">
        <f>SUM(L16,L43,)</f>
        <v>3276.4399999999996</v>
      </c>
      <c r="Q307" s="1984">
        <f>SUM(M16,M43,)</f>
        <v>3487.37</v>
      </c>
      <c r="R307" s="1984">
        <f>SUM(N16,N43,)</f>
        <v>3453.0239999999999</v>
      </c>
      <c r="S307" s="1944">
        <f>(Q307-P307)/P307</f>
        <v>6.4377800295442711E-2</v>
      </c>
      <c r="T307" s="1943"/>
      <c r="U307" s="87"/>
      <c r="AF307" s="84"/>
      <c r="AG307" s="84"/>
    </row>
    <row r="308" spans="1:33" ht="27" hidden="1" customHeight="1">
      <c r="A308" s="87"/>
      <c r="B308" s="87"/>
      <c r="C308" s="87"/>
      <c r="D308" s="87"/>
      <c r="E308" s="87"/>
      <c r="F308" s="87"/>
      <c r="G308" s="87"/>
      <c r="H308" s="87"/>
      <c r="I308" s="87"/>
      <c r="J308" s="87"/>
      <c r="K308" s="490"/>
      <c r="L308" s="87"/>
      <c r="M308" s="87"/>
      <c r="N308" s="2748"/>
      <c r="O308" s="2157" t="s">
        <v>3508</v>
      </c>
      <c r="P308" s="1924">
        <f>SUM(L48,L94,L98,L101,L104,L106,L110,L114,L117,L120,L122,L130,L148,L150,L162,L186,L224,L193)</f>
        <v>955.51</v>
      </c>
      <c r="Q308" s="1924">
        <f>SUM(M48,M94,M98,M101,M104,M106,M110,M114,M117,M120,M122,M130,M148,M150,M162,M186,M224,M193)</f>
        <v>905.79</v>
      </c>
      <c r="R308" s="1924">
        <f>SUM(N48,N94,N98,N101,N104,N106,N110,N114,N117,N120,N122,N130,N148,N150,N162,N186,N224,N193)</f>
        <v>1151.797</v>
      </c>
      <c r="S308" s="1944">
        <f t="shared" ref="S308" si="306">(Q308-P308)/P308</f>
        <v>-5.2035038879760576E-2</v>
      </c>
      <c r="T308" s="125"/>
      <c r="U308" s="87"/>
      <c r="AF308" s="84"/>
      <c r="AG308" s="84"/>
    </row>
    <row r="309" spans="1:33" ht="24.6" hidden="1" customHeight="1">
      <c r="A309" s="87"/>
      <c r="B309" s="87"/>
      <c r="C309" s="87"/>
      <c r="D309" s="87"/>
      <c r="E309" s="87"/>
      <c r="F309" s="87"/>
      <c r="G309" s="87"/>
      <c r="H309" s="87"/>
      <c r="I309" s="87"/>
      <c r="J309" s="87"/>
      <c r="K309" s="490"/>
      <c r="L309" s="87"/>
      <c r="M309" s="87"/>
      <c r="N309" s="2748"/>
      <c r="O309" s="2157" t="s">
        <v>4155</v>
      </c>
      <c r="P309" s="1935">
        <f>SUM(L135,L136,L143,L165,L211,L231,L237,L255,L267,)</f>
        <v>869.4129999999999</v>
      </c>
      <c r="Q309" s="1935">
        <f>SUM(M135,M136,M143,M165,M211,M231,M237,M255,M267,M268,M254,M238,M232,M212,M164,)</f>
        <v>693.47399999999993</v>
      </c>
      <c r="R309" s="1935">
        <f>SUM(N135,N136,N143,N165,N211,N231,N237,N255,N267,N268,N254,N238,N232,N212,N164,)</f>
        <v>1501.8719999999998</v>
      </c>
      <c r="S309" s="1944">
        <f>(Q309-P309)/P309</f>
        <v>-0.2023652740412209</v>
      </c>
      <c r="T309" s="125"/>
      <c r="U309" s="87"/>
      <c r="AF309" s="84"/>
      <c r="AG309" s="84"/>
    </row>
    <row r="310" spans="1:33" ht="21" hidden="1" customHeight="1">
      <c r="A310" s="87"/>
      <c r="B310" s="87"/>
      <c r="C310" s="87"/>
      <c r="D310" s="87"/>
      <c r="E310" s="87"/>
      <c r="F310" s="87"/>
      <c r="G310" s="87"/>
      <c r="H310" s="87"/>
      <c r="I310" s="87"/>
      <c r="J310" s="87"/>
      <c r="K310" s="490"/>
      <c r="L310" s="87"/>
      <c r="M310" s="87"/>
      <c r="N310" s="1553"/>
      <c r="O310" s="2145"/>
      <c r="P310" s="792">
        <f>SUM(P307,P308,P309)</f>
        <v>5101.3629999999994</v>
      </c>
      <c r="Q310" s="792">
        <f t="shared" ref="Q310:R310" si="307">SUM(Q307,Q308,Q309)</f>
        <v>5086.634</v>
      </c>
      <c r="R310" s="792">
        <f t="shared" si="307"/>
        <v>6106.6929999999993</v>
      </c>
      <c r="S310" s="1553"/>
      <c r="T310" s="125"/>
      <c r="U310" s="87"/>
      <c r="AF310" s="84"/>
      <c r="AG310" s="84"/>
    </row>
    <row r="311" spans="1:33" ht="30.6" hidden="1" customHeight="1">
      <c r="A311" s="87"/>
      <c r="B311" s="87"/>
      <c r="C311" s="87"/>
      <c r="D311" s="87"/>
      <c r="E311" s="87"/>
      <c r="F311" s="87"/>
      <c r="G311" s="87"/>
      <c r="H311" s="87"/>
      <c r="I311" s="87"/>
      <c r="J311" s="87"/>
      <c r="K311" s="490"/>
      <c r="L311" s="87"/>
      <c r="M311" s="87"/>
      <c r="N311" s="1553"/>
      <c r="O311" s="2145"/>
      <c r="P311" s="115">
        <f>P310-L280-L287</f>
        <v>0</v>
      </c>
      <c r="Q311" s="115">
        <f t="shared" ref="Q311:R311" si="308">Q310-M280-M287</f>
        <v>-254.99999999999886</v>
      </c>
      <c r="R311" s="115">
        <f t="shared" si="308"/>
        <v>-1.8189894035458565E-12</v>
      </c>
      <c r="S311" s="1553"/>
      <c r="T311" s="125"/>
      <c r="U311" s="87"/>
      <c r="AF311" s="84"/>
      <c r="AG311" s="84"/>
    </row>
    <row r="312" spans="1:33" ht="66" hidden="1">
      <c r="A312" s="87"/>
      <c r="B312" s="87"/>
      <c r="C312" s="87"/>
      <c r="D312" s="87"/>
      <c r="E312" s="87"/>
      <c r="F312" s="87"/>
      <c r="G312" s="87"/>
      <c r="H312" s="87"/>
      <c r="I312" s="87"/>
      <c r="J312" s="87"/>
      <c r="K312" s="490"/>
      <c r="L312" s="87"/>
      <c r="M312" s="1921" t="s">
        <v>4171</v>
      </c>
      <c r="N312" s="1940">
        <f>Q308-P308</f>
        <v>-49.720000000000027</v>
      </c>
      <c r="O312" s="2145"/>
      <c r="P312" s="87"/>
      <c r="Q312" s="1905"/>
      <c r="R312" s="87"/>
      <c r="S312" s="1553"/>
      <c r="T312" s="125"/>
      <c r="U312" s="87"/>
      <c r="AF312" s="84"/>
      <c r="AG312" s="84"/>
    </row>
    <row r="313" spans="1:33" ht="66" hidden="1">
      <c r="A313" s="87"/>
      <c r="B313" s="87"/>
      <c r="C313" s="87"/>
      <c r="D313" s="87"/>
      <c r="E313" s="87"/>
      <c r="F313" s="87"/>
      <c r="G313" s="87"/>
      <c r="H313" s="87"/>
      <c r="I313" s="87"/>
      <c r="J313" s="87"/>
      <c r="K313" s="490"/>
      <c r="L313" s="87"/>
      <c r="M313" s="1921" t="s">
        <v>4172</v>
      </c>
      <c r="N313" s="1940">
        <f>Q309-P309</f>
        <v>-175.93899999999996</v>
      </c>
      <c r="O313" s="2145"/>
      <c r="P313" s="115">
        <f>SUM(P48,P94,P98,P101,P104,P106,P110,P114,P117,P120,P122,P130,P148,P150,P162,P186,P193,P224,)</f>
        <v>1232.9950000000001</v>
      </c>
      <c r="Q313" s="1905">
        <f>SUM(R48,R94,R98,R101,R104,R106,R110,R114,R117,R120,R122,R130,R148,R150,R162,R186,R193,R224,)</f>
        <v>1262.2155</v>
      </c>
      <c r="R313" s="87"/>
      <c r="S313" s="1553"/>
      <c r="T313" s="125"/>
      <c r="U313" s="87"/>
      <c r="AF313" s="84"/>
      <c r="AG313" s="84"/>
    </row>
    <row r="314" spans="1:33" hidden="1">
      <c r="A314" s="87"/>
      <c r="B314" s="87"/>
      <c r="C314" s="87"/>
      <c r="D314" s="87"/>
      <c r="E314" s="87"/>
      <c r="F314" s="87"/>
      <c r="G314" s="87"/>
      <c r="H314" s="87"/>
      <c r="I314" s="87"/>
      <c r="J314" s="87"/>
      <c r="K314" s="490"/>
      <c r="L314" s="87"/>
      <c r="M314" s="87"/>
      <c r="N314" s="1553"/>
      <c r="O314" s="2145"/>
      <c r="P314" s="115">
        <f>SUM(P16,P43,)</f>
        <v>3552.8919999999998</v>
      </c>
      <c r="Q314" s="115">
        <f>SUM(R43,R16)</f>
        <v>3621.6900999999998</v>
      </c>
      <c r="R314" s="87"/>
      <c r="S314" s="1553"/>
      <c r="T314" s="125"/>
      <c r="U314" s="87"/>
      <c r="AF314" s="84"/>
      <c r="AG314" s="84"/>
    </row>
    <row r="315" spans="1:33" ht="21" hidden="1" customHeight="1">
      <c r="A315" s="87"/>
      <c r="B315" s="87"/>
      <c r="C315" s="87"/>
      <c r="D315" s="87"/>
      <c r="E315" s="87"/>
      <c r="F315" s="87"/>
      <c r="G315" s="87"/>
      <c r="H315" s="87"/>
      <c r="I315" s="87"/>
      <c r="J315" s="87"/>
      <c r="K315" s="490"/>
      <c r="L315" s="87"/>
      <c r="M315" s="87"/>
      <c r="N315" s="1949">
        <f>SUM(N312,N313)</f>
        <v>-225.65899999999999</v>
      </c>
      <c r="O315" s="2145"/>
      <c r="P315" s="115"/>
      <c r="Q315" s="1553"/>
      <c r="R315" s="87"/>
      <c r="S315" s="1553"/>
      <c r="T315" s="125"/>
      <c r="U315" s="87"/>
      <c r="AF315" s="84"/>
      <c r="AG315" s="84"/>
    </row>
    <row r="316" spans="1:33" hidden="1">
      <c r="A316" s="87"/>
      <c r="B316" s="87"/>
      <c r="C316" s="87"/>
      <c r="D316" s="87"/>
      <c r="E316" s="87"/>
      <c r="F316" s="87"/>
      <c r="G316" s="87"/>
      <c r="H316" s="87"/>
      <c r="I316" s="87"/>
      <c r="J316" s="87"/>
      <c r="K316" s="490"/>
      <c r="L316" s="87"/>
      <c r="M316" s="87"/>
      <c r="N316" s="1553"/>
      <c r="O316" s="2145"/>
      <c r="P316" s="87"/>
      <c r="Q316" s="1553"/>
      <c r="R316" s="87"/>
      <c r="S316" s="1553"/>
      <c r="T316" s="125"/>
      <c r="U316" s="87"/>
      <c r="AF316" s="84"/>
      <c r="AG316" s="84"/>
    </row>
    <row r="317" spans="1:33" hidden="1">
      <c r="A317" s="87"/>
      <c r="B317" s="87"/>
      <c r="C317" s="87"/>
      <c r="D317" s="87"/>
      <c r="E317" s="87"/>
      <c r="F317" s="87"/>
      <c r="G317" s="87"/>
      <c r="H317" s="87"/>
      <c r="I317" s="87"/>
      <c r="J317" s="87"/>
      <c r="K317" s="490"/>
      <c r="L317" s="87"/>
      <c r="M317" s="115">
        <f>M289-M305</f>
        <v>0</v>
      </c>
      <c r="N317" s="115">
        <f t="shared" ref="N317:R317" si="309">N289-N305</f>
        <v>-28.320000000003347</v>
      </c>
      <c r="O317" s="115">
        <f t="shared" si="309"/>
        <v>-1.2439101432133357</v>
      </c>
      <c r="P317" s="115">
        <f t="shared" si="309"/>
        <v>0</v>
      </c>
      <c r="Q317" s="115">
        <f t="shared" si="309"/>
        <v>-26.000000000003638</v>
      </c>
      <c r="R317" s="115">
        <f t="shared" si="309"/>
        <v>0</v>
      </c>
      <c r="S317" s="1553"/>
      <c r="T317" s="125"/>
      <c r="U317" s="87"/>
      <c r="AF317" s="84"/>
      <c r="AG317" s="84"/>
    </row>
    <row r="318" spans="1:33" hidden="1">
      <c r="A318" s="87"/>
      <c r="B318" s="87"/>
      <c r="C318" s="87"/>
      <c r="D318" s="87"/>
      <c r="E318" s="87"/>
      <c r="F318" s="87"/>
      <c r="G318" s="87"/>
      <c r="H318" s="87"/>
      <c r="I318" s="87"/>
      <c r="J318" s="87"/>
      <c r="K318" s="490"/>
      <c r="L318" s="87"/>
      <c r="M318" s="87"/>
      <c r="N318" s="1553"/>
      <c r="O318" s="2145"/>
      <c r="P318" s="87"/>
      <c r="Q318" s="1553"/>
      <c r="R318" s="87"/>
      <c r="S318" s="1553"/>
      <c r="T318" s="125"/>
      <c r="U318" s="87"/>
      <c r="AF318" s="84"/>
      <c r="AG318" s="84"/>
    </row>
    <row r="319" spans="1:33" hidden="1">
      <c r="A319" s="87"/>
      <c r="B319" s="87"/>
      <c r="C319" s="87"/>
      <c r="D319" s="87"/>
      <c r="E319" s="87"/>
      <c r="F319" s="87"/>
      <c r="G319" s="87"/>
      <c r="H319" s="87"/>
      <c r="I319" s="87"/>
      <c r="J319" s="87"/>
      <c r="K319" s="490"/>
      <c r="L319" s="87"/>
      <c r="M319" s="87"/>
      <c r="N319" s="1553"/>
      <c r="O319" s="2145"/>
      <c r="P319" s="87"/>
      <c r="Q319" s="1553"/>
      <c r="R319" s="87"/>
      <c r="S319" s="1553"/>
      <c r="T319" s="125"/>
      <c r="U319" s="87"/>
      <c r="AF319" s="84"/>
      <c r="AG319" s="84"/>
    </row>
    <row r="320" spans="1:33">
      <c r="A320" s="87"/>
      <c r="B320" s="87"/>
      <c r="C320" s="87"/>
      <c r="D320" s="87"/>
      <c r="E320" s="87"/>
      <c r="F320" s="87"/>
      <c r="G320" s="87"/>
      <c r="H320" s="87"/>
      <c r="I320" s="87"/>
      <c r="J320" s="87"/>
      <c r="K320" s="490"/>
      <c r="L320" s="87"/>
      <c r="M320" s="87"/>
      <c r="N320" s="1553"/>
      <c r="O320" s="2145"/>
      <c r="P320" s="87"/>
      <c r="Q320" s="1553"/>
      <c r="R320" s="87"/>
      <c r="S320" s="1553"/>
      <c r="T320" s="125"/>
      <c r="U320" s="87"/>
      <c r="AF320" s="84"/>
      <c r="AG320" s="84"/>
    </row>
    <row r="321" spans="1:33">
      <c r="A321" s="87"/>
      <c r="B321" s="87"/>
      <c r="C321" s="87"/>
      <c r="D321" s="87"/>
      <c r="E321" s="87"/>
      <c r="F321" s="87"/>
      <c r="G321" s="87"/>
      <c r="H321" s="87"/>
      <c r="I321" s="87"/>
      <c r="J321" s="87"/>
      <c r="K321" s="490"/>
      <c r="L321" s="87"/>
      <c r="M321" s="87"/>
      <c r="N321" s="1553"/>
      <c r="O321" s="2145"/>
      <c r="P321" s="87"/>
      <c r="Q321" s="1553"/>
      <c r="R321" s="87"/>
      <c r="S321" s="1553"/>
      <c r="T321" s="125"/>
      <c r="U321" s="87"/>
      <c r="AF321" s="84"/>
      <c r="AG321" s="84"/>
    </row>
    <row r="322" spans="1:33">
      <c r="A322" s="87"/>
      <c r="B322" s="87"/>
      <c r="C322" s="87"/>
      <c r="D322" s="87"/>
      <c r="E322" s="87"/>
      <c r="F322" s="87"/>
      <c r="G322" s="87"/>
      <c r="H322" s="87"/>
      <c r="I322" s="87"/>
      <c r="J322" s="87"/>
      <c r="K322" s="490"/>
      <c r="L322" s="87"/>
      <c r="M322" s="87"/>
      <c r="N322" s="1553"/>
      <c r="O322" s="2145"/>
      <c r="P322" s="87"/>
      <c r="Q322" s="1553"/>
      <c r="R322" s="87"/>
      <c r="S322" s="1553"/>
      <c r="T322" s="125"/>
      <c r="U322" s="87"/>
      <c r="AF322" s="84"/>
      <c r="AG322" s="84"/>
    </row>
    <row r="323" spans="1:33">
      <c r="A323" s="87"/>
      <c r="B323" s="87"/>
      <c r="C323" s="87"/>
      <c r="D323" s="87"/>
      <c r="E323" s="87"/>
      <c r="F323" s="87"/>
      <c r="G323" s="87"/>
      <c r="H323" s="87"/>
      <c r="I323" s="87"/>
      <c r="J323" s="87"/>
      <c r="K323" s="490"/>
      <c r="L323" s="87"/>
      <c r="M323" s="87"/>
      <c r="N323" s="1553"/>
      <c r="O323" s="2145"/>
      <c r="P323" s="87"/>
      <c r="Q323" s="1553"/>
      <c r="R323" s="87"/>
      <c r="S323" s="1553"/>
      <c r="T323" s="125"/>
      <c r="U323" s="87"/>
      <c r="AF323" s="84"/>
      <c r="AG323" s="84"/>
    </row>
    <row r="324" spans="1:33">
      <c r="A324" s="87"/>
      <c r="B324" s="87"/>
      <c r="C324" s="87"/>
      <c r="D324" s="87"/>
      <c r="E324" s="87"/>
      <c r="F324" s="87"/>
      <c r="G324" s="87"/>
      <c r="H324" s="87"/>
      <c r="I324" s="87"/>
      <c r="J324" s="87"/>
      <c r="K324" s="490"/>
      <c r="L324" s="87"/>
      <c r="M324" s="87"/>
      <c r="N324" s="1553"/>
      <c r="O324" s="2145"/>
      <c r="P324" s="87"/>
      <c r="Q324" s="1553"/>
      <c r="R324" s="87"/>
      <c r="S324" s="1553"/>
      <c r="T324" s="125"/>
      <c r="U324" s="87"/>
      <c r="AF324" s="84"/>
      <c r="AG324" s="84"/>
    </row>
    <row r="325" spans="1:33">
      <c r="A325" s="87"/>
      <c r="B325" s="87"/>
      <c r="C325" s="87"/>
      <c r="D325" s="87"/>
      <c r="E325" s="87"/>
      <c r="F325" s="87"/>
      <c r="G325" s="87"/>
      <c r="H325" s="87"/>
      <c r="I325" s="87"/>
      <c r="J325" s="87"/>
      <c r="K325" s="490"/>
      <c r="L325" s="87"/>
      <c r="M325" s="87"/>
      <c r="N325" s="1553"/>
      <c r="O325" s="2145"/>
      <c r="P325" s="87"/>
      <c r="Q325" s="1553"/>
      <c r="R325" s="87"/>
      <c r="S325" s="1553"/>
      <c r="T325" s="125"/>
      <c r="U325" s="87"/>
      <c r="AF325" s="84"/>
      <c r="AG325" s="84"/>
    </row>
    <row r="326" spans="1:33">
      <c r="A326" s="87"/>
      <c r="B326" s="87"/>
      <c r="C326" s="87"/>
      <c r="D326" s="87"/>
      <c r="E326" s="87"/>
      <c r="F326" s="87"/>
      <c r="G326" s="87"/>
      <c r="H326" s="87"/>
      <c r="I326" s="87"/>
      <c r="J326" s="87"/>
      <c r="K326" s="490"/>
      <c r="L326" s="87"/>
      <c r="M326" s="87"/>
      <c r="N326" s="1553"/>
      <c r="O326" s="2145"/>
      <c r="P326" s="87"/>
      <c r="Q326" s="1553"/>
      <c r="R326" s="87"/>
      <c r="S326" s="1553"/>
      <c r="T326" s="125"/>
      <c r="U326" s="87"/>
      <c r="AF326" s="84"/>
      <c r="AG326" s="84"/>
    </row>
    <row r="327" spans="1:33">
      <c r="A327" s="87"/>
      <c r="B327" s="87"/>
      <c r="C327" s="87"/>
      <c r="D327" s="87"/>
      <c r="E327" s="87"/>
      <c r="F327" s="87"/>
      <c r="G327" s="87"/>
      <c r="H327" s="87"/>
      <c r="I327" s="87"/>
      <c r="J327" s="87"/>
      <c r="K327" s="490"/>
      <c r="L327" s="87"/>
      <c r="M327" s="87"/>
      <c r="N327" s="1553"/>
      <c r="O327" s="2145"/>
      <c r="P327" s="87"/>
      <c r="Q327" s="1553"/>
      <c r="R327" s="87"/>
      <c r="S327" s="1553"/>
      <c r="T327" s="125"/>
      <c r="U327" s="87"/>
      <c r="AF327" s="84"/>
      <c r="AG327" s="84"/>
    </row>
    <row r="328" spans="1:33">
      <c r="A328" s="87"/>
      <c r="B328" s="87"/>
      <c r="C328" s="87"/>
      <c r="D328" s="87"/>
      <c r="E328" s="87"/>
      <c r="F328" s="87"/>
      <c r="G328" s="87"/>
      <c r="H328" s="87"/>
      <c r="I328" s="87"/>
      <c r="J328" s="87"/>
      <c r="K328" s="490"/>
      <c r="L328" s="87"/>
      <c r="M328" s="87"/>
      <c r="N328" s="1553"/>
      <c r="O328" s="2145"/>
      <c r="P328" s="87"/>
      <c r="Q328" s="1553"/>
      <c r="R328" s="87"/>
      <c r="S328" s="1553"/>
      <c r="T328" s="125"/>
      <c r="U328" s="87"/>
      <c r="AF328" s="84"/>
      <c r="AG328" s="84"/>
    </row>
    <row r="329" spans="1:33">
      <c r="A329" s="87"/>
      <c r="B329" s="87"/>
      <c r="C329" s="87"/>
      <c r="D329" s="87"/>
      <c r="E329" s="87"/>
      <c r="F329" s="87"/>
      <c r="G329" s="87"/>
      <c r="H329" s="87"/>
      <c r="I329" s="87"/>
      <c r="J329" s="87"/>
      <c r="K329" s="490"/>
      <c r="L329" s="87"/>
      <c r="M329" s="87"/>
      <c r="N329" s="1553"/>
      <c r="O329" s="2145"/>
      <c r="P329" s="87"/>
      <c r="Q329" s="1553"/>
      <c r="R329" s="87"/>
      <c r="S329" s="1553"/>
      <c r="T329" s="125"/>
      <c r="U329" s="87"/>
      <c r="AF329" s="84"/>
      <c r="AG329" s="84"/>
    </row>
    <row r="330" spans="1:33">
      <c r="A330" s="87"/>
      <c r="B330" s="87"/>
      <c r="C330" s="87"/>
      <c r="D330" s="87"/>
      <c r="E330" s="87"/>
      <c r="F330" s="87"/>
      <c r="G330" s="87"/>
      <c r="H330" s="87"/>
      <c r="I330" s="87"/>
      <c r="J330" s="87"/>
      <c r="K330" s="490"/>
      <c r="L330" s="87"/>
      <c r="M330" s="87"/>
      <c r="N330" s="1553"/>
      <c r="O330" s="2145"/>
      <c r="P330" s="87"/>
      <c r="Q330" s="1553"/>
      <c r="R330" s="87"/>
      <c r="S330" s="1553"/>
      <c r="T330" s="125"/>
      <c r="U330" s="87"/>
      <c r="AF330" s="84"/>
      <c r="AG330" s="84"/>
    </row>
    <row r="331" spans="1:33">
      <c r="A331" s="87"/>
      <c r="B331" s="87"/>
      <c r="C331" s="87"/>
      <c r="D331" s="87"/>
      <c r="E331" s="87"/>
      <c r="F331" s="87"/>
      <c r="G331" s="87"/>
      <c r="H331" s="87"/>
      <c r="I331" s="87"/>
      <c r="J331" s="87"/>
      <c r="K331" s="490"/>
      <c r="L331" s="87"/>
      <c r="M331" s="87"/>
      <c r="N331" s="1553"/>
      <c r="O331" s="2145"/>
      <c r="P331" s="87"/>
      <c r="Q331" s="1553"/>
      <c r="R331" s="87"/>
      <c r="S331" s="1553"/>
      <c r="T331" s="125"/>
      <c r="U331" s="87"/>
      <c r="AF331" s="84"/>
      <c r="AG331" s="84"/>
    </row>
    <row r="332" spans="1:33">
      <c r="A332" s="87"/>
      <c r="B332" s="87"/>
      <c r="C332" s="87"/>
      <c r="D332" s="87"/>
      <c r="E332" s="87"/>
      <c r="F332" s="87"/>
      <c r="G332" s="87"/>
      <c r="H332" s="87"/>
      <c r="I332" s="87"/>
      <c r="J332" s="87"/>
      <c r="K332" s="490"/>
      <c r="L332" s="87"/>
      <c r="M332" s="87"/>
      <c r="N332" s="1553"/>
      <c r="O332" s="2145"/>
      <c r="P332" s="87"/>
      <c r="Q332" s="1553"/>
      <c r="R332" s="87"/>
      <c r="S332" s="1553"/>
      <c r="T332" s="125"/>
      <c r="U332" s="87"/>
      <c r="AF332" s="84"/>
      <c r="AG332" s="84"/>
    </row>
    <row r="333" spans="1:33">
      <c r="A333" s="87"/>
      <c r="B333" s="87"/>
      <c r="C333" s="87"/>
      <c r="D333" s="87"/>
      <c r="E333" s="87"/>
      <c r="F333" s="87"/>
      <c r="G333" s="87"/>
      <c r="H333" s="87"/>
      <c r="I333" s="87"/>
      <c r="J333" s="87"/>
      <c r="K333" s="490"/>
      <c r="L333" s="87"/>
      <c r="M333" s="87"/>
      <c r="N333" s="1553"/>
      <c r="O333" s="2145"/>
      <c r="P333" s="87"/>
      <c r="Q333" s="1553"/>
      <c r="R333" s="87"/>
      <c r="S333" s="1553"/>
      <c r="T333" s="125"/>
      <c r="U333" s="87"/>
      <c r="AF333" s="84"/>
      <c r="AG333" s="84"/>
    </row>
    <row r="334" spans="1:33">
      <c r="A334" s="87"/>
      <c r="B334" s="87"/>
      <c r="C334" s="87"/>
      <c r="D334" s="87"/>
      <c r="E334" s="87"/>
      <c r="F334" s="87"/>
      <c r="G334" s="87"/>
      <c r="H334" s="87"/>
      <c r="I334" s="87"/>
      <c r="J334" s="87"/>
      <c r="K334" s="490"/>
      <c r="L334" s="87"/>
      <c r="M334" s="87"/>
      <c r="N334" s="1553"/>
      <c r="O334" s="2145"/>
      <c r="P334" s="87"/>
      <c r="Q334" s="1553"/>
      <c r="R334" s="87"/>
      <c r="S334" s="1553"/>
      <c r="T334" s="125"/>
      <c r="U334" s="87"/>
      <c r="AF334" s="84"/>
      <c r="AG334" s="84"/>
    </row>
    <row r="335" spans="1:33">
      <c r="A335" s="87"/>
      <c r="B335" s="87"/>
      <c r="C335" s="87"/>
      <c r="D335" s="87"/>
      <c r="E335" s="87"/>
      <c r="F335" s="87"/>
      <c r="G335" s="87"/>
      <c r="H335" s="87"/>
      <c r="I335" s="87"/>
      <c r="J335" s="87"/>
      <c r="K335" s="490"/>
      <c r="L335" s="87"/>
      <c r="M335" s="87"/>
      <c r="N335" s="1553"/>
      <c r="O335" s="2145"/>
      <c r="P335" s="87"/>
      <c r="Q335" s="1553"/>
      <c r="R335" s="87"/>
      <c r="S335" s="1553"/>
      <c r="T335" s="125"/>
      <c r="U335" s="87"/>
      <c r="AF335" s="84"/>
      <c r="AG335" s="84"/>
    </row>
    <row r="336" spans="1:33">
      <c r="A336" s="87"/>
      <c r="B336" s="87"/>
      <c r="C336" s="87"/>
      <c r="D336" s="87"/>
      <c r="E336" s="87"/>
      <c r="F336" s="87"/>
      <c r="G336" s="87"/>
      <c r="H336" s="87"/>
      <c r="I336" s="87"/>
      <c r="J336" s="87"/>
      <c r="K336" s="490"/>
      <c r="L336" s="87"/>
      <c r="M336" s="87"/>
      <c r="N336" s="1553"/>
      <c r="O336" s="2145"/>
      <c r="P336" s="87"/>
      <c r="Q336" s="1553"/>
      <c r="R336" s="87"/>
      <c r="S336" s="1553"/>
      <c r="T336" s="125"/>
      <c r="U336" s="87"/>
      <c r="AF336" s="84"/>
      <c r="AG336" s="84"/>
    </row>
    <row r="337" spans="1:33">
      <c r="A337" s="87"/>
      <c r="B337" s="87"/>
      <c r="C337" s="87"/>
      <c r="D337" s="87"/>
      <c r="E337" s="87"/>
      <c r="F337" s="87"/>
      <c r="G337" s="87"/>
      <c r="H337" s="87"/>
      <c r="I337" s="87"/>
      <c r="J337" s="87"/>
      <c r="K337" s="490"/>
      <c r="L337" s="87"/>
      <c r="M337" s="87"/>
      <c r="N337" s="1553"/>
      <c r="O337" s="2145"/>
      <c r="P337" s="87"/>
      <c r="Q337" s="1553"/>
      <c r="R337" s="87"/>
      <c r="S337" s="1553"/>
      <c r="T337" s="125"/>
      <c r="U337" s="87"/>
      <c r="AF337" s="84"/>
      <c r="AG337" s="84"/>
    </row>
    <row r="338" spans="1:33">
      <c r="A338" s="87"/>
      <c r="B338" s="87"/>
      <c r="C338" s="87"/>
      <c r="D338" s="87"/>
      <c r="E338" s="87"/>
      <c r="F338" s="87"/>
      <c r="G338" s="87"/>
      <c r="H338" s="87"/>
      <c r="I338" s="87"/>
      <c r="J338" s="87"/>
      <c r="K338" s="490"/>
      <c r="L338" s="87"/>
      <c r="M338" s="87"/>
      <c r="N338" s="1553"/>
      <c r="O338" s="2145"/>
      <c r="P338" s="87"/>
      <c r="Q338" s="1553"/>
      <c r="R338" s="87"/>
      <c r="S338" s="1553"/>
      <c r="T338" s="125"/>
      <c r="U338" s="87"/>
      <c r="AF338" s="84"/>
      <c r="AG338" s="84"/>
    </row>
    <row r="339" spans="1:33">
      <c r="A339" s="87"/>
      <c r="B339" s="87"/>
      <c r="C339" s="87"/>
      <c r="D339" s="87"/>
      <c r="E339" s="87"/>
      <c r="F339" s="87"/>
      <c r="G339" s="87"/>
      <c r="H339" s="87"/>
      <c r="I339" s="87"/>
      <c r="J339" s="87"/>
      <c r="K339" s="490"/>
      <c r="L339" s="87"/>
      <c r="M339" s="87"/>
      <c r="N339" s="1553"/>
      <c r="O339" s="2145"/>
      <c r="P339" s="87"/>
      <c r="Q339" s="1553"/>
      <c r="R339" s="87"/>
      <c r="S339" s="1553"/>
      <c r="T339" s="125"/>
      <c r="U339" s="87"/>
      <c r="AF339" s="84"/>
      <c r="AG339" s="84"/>
    </row>
    <row r="340" spans="1:33">
      <c r="A340" s="87"/>
      <c r="B340" s="87"/>
      <c r="C340" s="87"/>
      <c r="D340" s="87"/>
      <c r="E340" s="87"/>
      <c r="F340" s="87"/>
      <c r="G340" s="87"/>
      <c r="H340" s="87"/>
      <c r="I340" s="87"/>
      <c r="J340" s="87"/>
      <c r="K340" s="490"/>
      <c r="L340" s="87"/>
      <c r="M340" s="87"/>
      <c r="N340" s="1553"/>
      <c r="O340" s="2145"/>
      <c r="P340" s="87"/>
      <c r="Q340" s="1553"/>
      <c r="R340" s="87"/>
      <c r="S340" s="1553"/>
      <c r="T340" s="125"/>
      <c r="U340" s="87"/>
      <c r="AF340" s="84"/>
      <c r="AG340" s="84"/>
    </row>
    <row r="341" spans="1:33">
      <c r="A341" s="87"/>
      <c r="B341" s="87"/>
      <c r="C341" s="87"/>
      <c r="D341" s="87"/>
      <c r="E341" s="87"/>
      <c r="F341" s="87"/>
      <c r="G341" s="87"/>
      <c r="H341" s="87"/>
      <c r="I341" s="87"/>
      <c r="J341" s="87"/>
      <c r="K341" s="490"/>
      <c r="L341" s="87"/>
      <c r="M341" s="87"/>
      <c r="N341" s="1553"/>
      <c r="O341" s="2145"/>
      <c r="P341" s="87"/>
      <c r="Q341" s="1553"/>
      <c r="R341" s="87"/>
      <c r="S341" s="1553"/>
      <c r="T341" s="125"/>
      <c r="U341" s="87"/>
      <c r="AF341" s="84"/>
      <c r="AG341" s="84"/>
    </row>
    <row r="342" spans="1:33">
      <c r="A342" s="87"/>
      <c r="B342" s="87"/>
      <c r="C342" s="87"/>
      <c r="D342" s="87"/>
      <c r="E342" s="87"/>
      <c r="F342" s="87"/>
      <c r="G342" s="87"/>
      <c r="H342" s="87"/>
      <c r="I342" s="87"/>
      <c r="J342" s="87"/>
      <c r="K342" s="490"/>
      <c r="L342" s="87"/>
      <c r="M342" s="87"/>
      <c r="N342" s="1553"/>
      <c r="O342" s="2145"/>
      <c r="P342" s="87"/>
      <c r="Q342" s="1553"/>
      <c r="R342" s="87"/>
      <c r="S342" s="1553"/>
      <c r="T342" s="125"/>
      <c r="U342" s="87"/>
      <c r="AF342" s="84"/>
      <c r="AG342" s="84"/>
    </row>
    <row r="343" spans="1:33">
      <c r="F343" s="84"/>
      <c r="G343" s="84"/>
      <c r="AF343" s="84"/>
      <c r="AG343" s="84"/>
    </row>
    <row r="344" spans="1:33">
      <c r="F344" s="84"/>
      <c r="G344" s="84"/>
      <c r="AF344" s="84"/>
      <c r="AG344" s="84"/>
    </row>
    <row r="345" spans="1:33">
      <c r="F345" s="84"/>
      <c r="G345" s="84"/>
      <c r="AF345" s="84"/>
      <c r="AG345" s="84"/>
    </row>
    <row r="346" spans="1:33">
      <c r="F346" s="84"/>
      <c r="G346" s="84"/>
      <c r="AF346" s="84"/>
      <c r="AG346" s="84"/>
    </row>
    <row r="347" spans="1:33">
      <c r="F347" s="84"/>
      <c r="G347" s="84"/>
      <c r="AF347" s="84"/>
      <c r="AG347" s="84"/>
    </row>
    <row r="348" spans="1:33">
      <c r="F348" s="84"/>
      <c r="G348" s="84"/>
      <c r="AF348" s="84"/>
      <c r="AG348" s="84"/>
    </row>
    <row r="349" spans="1:33">
      <c r="F349" s="84"/>
      <c r="G349" s="84"/>
      <c r="AF349" s="84"/>
      <c r="AG349" s="84"/>
    </row>
    <row r="350" spans="1:33">
      <c r="F350" s="84"/>
      <c r="G350" s="84"/>
      <c r="AF350" s="84"/>
      <c r="AG350" s="84"/>
    </row>
    <row r="351" spans="1:33">
      <c r="F351" s="84"/>
      <c r="G351" s="84"/>
      <c r="AF351" s="84"/>
      <c r="AG351" s="84"/>
    </row>
    <row r="352" spans="1:33">
      <c r="F352" s="84"/>
      <c r="G352" s="84"/>
      <c r="AF352" s="84"/>
      <c r="AG352" s="84"/>
    </row>
    <row r="353" spans="6:33">
      <c r="F353" s="84"/>
      <c r="G353" s="84"/>
      <c r="AF353" s="84"/>
      <c r="AG353" s="84"/>
    </row>
    <row r="354" spans="6:33">
      <c r="F354" s="84"/>
      <c r="G354" s="84"/>
      <c r="AF354" s="84"/>
      <c r="AG354" s="84"/>
    </row>
    <row r="355" spans="6:33">
      <c r="F355" s="84"/>
      <c r="G355" s="84"/>
      <c r="AF355" s="84"/>
      <c r="AG355" s="84"/>
    </row>
    <row r="356" spans="6:33">
      <c r="F356" s="84"/>
      <c r="G356" s="84"/>
      <c r="AF356" s="84"/>
      <c r="AG356" s="84"/>
    </row>
    <row r="357" spans="6:33">
      <c r="F357" s="84"/>
      <c r="G357" s="84"/>
      <c r="AF357" s="84"/>
      <c r="AG357" s="84"/>
    </row>
    <row r="358" spans="6:33">
      <c r="F358" s="84"/>
      <c r="G358" s="84"/>
      <c r="AF358" s="84"/>
      <c r="AG358" s="84"/>
    </row>
    <row r="359" spans="6:33">
      <c r="F359" s="84"/>
      <c r="G359" s="84"/>
      <c r="AF359" s="84"/>
      <c r="AG359" s="84"/>
    </row>
    <row r="360" spans="6:33">
      <c r="F360" s="84"/>
      <c r="G360" s="84"/>
      <c r="AF360" s="84"/>
      <c r="AG360" s="84"/>
    </row>
    <row r="361" spans="6:33">
      <c r="F361" s="84"/>
      <c r="G361" s="84"/>
      <c r="AF361" s="84"/>
      <c r="AG361" s="84"/>
    </row>
    <row r="362" spans="6:33">
      <c r="F362" s="84"/>
      <c r="G362" s="84"/>
      <c r="AF362" s="84"/>
      <c r="AG362" s="84"/>
    </row>
    <row r="363" spans="6:33">
      <c r="F363" s="84"/>
      <c r="G363" s="84"/>
      <c r="AF363" s="84"/>
      <c r="AG363" s="84"/>
    </row>
    <row r="364" spans="6:33">
      <c r="F364" s="84"/>
      <c r="G364" s="84"/>
      <c r="AF364" s="84"/>
      <c r="AG364" s="84"/>
    </row>
    <row r="365" spans="6:33">
      <c r="F365" s="84"/>
      <c r="G365" s="84"/>
      <c r="AF365" s="84"/>
      <c r="AG365" s="84"/>
    </row>
    <row r="366" spans="6:33">
      <c r="F366" s="84"/>
      <c r="G366" s="84"/>
      <c r="AF366" s="84"/>
      <c r="AG366" s="84"/>
    </row>
    <row r="367" spans="6:33">
      <c r="F367" s="84"/>
      <c r="G367" s="84"/>
      <c r="AF367" s="84"/>
      <c r="AG367" s="84"/>
    </row>
    <row r="368" spans="6:33">
      <c r="F368" s="84"/>
      <c r="G368" s="84"/>
      <c r="AF368" s="84"/>
      <c r="AG368" s="84"/>
    </row>
    <row r="369" spans="6:33">
      <c r="F369" s="84"/>
      <c r="G369" s="84"/>
      <c r="AF369" s="84"/>
      <c r="AG369" s="84"/>
    </row>
    <row r="370" spans="6:33">
      <c r="F370" s="84"/>
      <c r="G370" s="84"/>
      <c r="AF370" s="84"/>
      <c r="AG370" s="84"/>
    </row>
    <row r="371" spans="6:33">
      <c r="F371" s="84"/>
      <c r="G371" s="84"/>
      <c r="AF371" s="84"/>
      <c r="AG371" s="84"/>
    </row>
    <row r="372" spans="6:33">
      <c r="F372" s="84"/>
      <c r="G372" s="84"/>
      <c r="AF372" s="84"/>
      <c r="AG372" s="84"/>
    </row>
    <row r="373" spans="6:33">
      <c r="F373" s="84"/>
      <c r="G373" s="84"/>
      <c r="AF373" s="84"/>
      <c r="AG373" s="84"/>
    </row>
    <row r="374" spans="6:33">
      <c r="F374" s="84"/>
      <c r="G374" s="84"/>
      <c r="AF374" s="84"/>
      <c r="AG374" s="84"/>
    </row>
    <row r="375" spans="6:33">
      <c r="F375" s="84"/>
      <c r="G375" s="84"/>
      <c r="AF375" s="84"/>
      <c r="AG375" s="84"/>
    </row>
    <row r="376" spans="6:33">
      <c r="F376" s="84"/>
      <c r="G376" s="84"/>
      <c r="AF376" s="84"/>
      <c r="AG376" s="84"/>
    </row>
    <row r="377" spans="6:33">
      <c r="F377" s="84"/>
      <c r="G377" s="84"/>
      <c r="AF377" s="84"/>
      <c r="AG377" s="84"/>
    </row>
    <row r="378" spans="6:33">
      <c r="F378" s="84"/>
      <c r="G378" s="84"/>
      <c r="AF378" s="84"/>
      <c r="AG378" s="84"/>
    </row>
    <row r="379" spans="6:33">
      <c r="F379" s="84"/>
      <c r="G379" s="84"/>
      <c r="AF379" s="84"/>
      <c r="AG379" s="84"/>
    </row>
    <row r="380" spans="6:33">
      <c r="F380" s="84"/>
      <c r="G380" s="84"/>
      <c r="AF380" s="84"/>
      <c r="AG380" s="84"/>
    </row>
    <row r="381" spans="6:33">
      <c r="F381" s="84"/>
      <c r="G381" s="84"/>
      <c r="AF381" s="84"/>
      <c r="AG381" s="84"/>
    </row>
    <row r="382" spans="6:33">
      <c r="F382" s="84"/>
      <c r="G382" s="84"/>
      <c r="AF382" s="84"/>
      <c r="AG382" s="84"/>
    </row>
    <row r="383" spans="6:33">
      <c r="F383" s="84"/>
      <c r="G383" s="84"/>
      <c r="AF383" s="84"/>
      <c r="AG383" s="84"/>
    </row>
    <row r="384" spans="6:33">
      <c r="F384" s="84"/>
      <c r="G384" s="84"/>
      <c r="AF384" s="84"/>
      <c r="AG384" s="84"/>
    </row>
    <row r="385" spans="6:33">
      <c r="F385" s="84"/>
      <c r="G385" s="84"/>
      <c r="AF385" s="84"/>
      <c r="AG385" s="84"/>
    </row>
    <row r="386" spans="6:33">
      <c r="F386" s="84"/>
      <c r="G386" s="84"/>
      <c r="AF386" s="84"/>
      <c r="AG386" s="84"/>
    </row>
    <row r="387" spans="6:33">
      <c r="F387" s="84"/>
      <c r="G387" s="84"/>
      <c r="AF387" s="84"/>
      <c r="AG387" s="84"/>
    </row>
    <row r="388" spans="6:33">
      <c r="F388" s="84"/>
      <c r="G388" s="84"/>
      <c r="AF388" s="84"/>
      <c r="AG388" s="84"/>
    </row>
    <row r="389" spans="6:33">
      <c r="F389" s="84"/>
      <c r="G389" s="84"/>
      <c r="AF389" s="84"/>
      <c r="AG389" s="84"/>
    </row>
    <row r="390" spans="6:33">
      <c r="F390" s="84"/>
      <c r="G390" s="84"/>
      <c r="AF390" s="84"/>
      <c r="AG390" s="84"/>
    </row>
    <row r="391" spans="6:33">
      <c r="F391" s="84"/>
      <c r="G391" s="84"/>
      <c r="AF391" s="84"/>
      <c r="AG391" s="84"/>
    </row>
    <row r="392" spans="6:33">
      <c r="F392" s="84"/>
      <c r="G392" s="84"/>
      <c r="AF392" s="84"/>
      <c r="AG392" s="84"/>
    </row>
    <row r="393" spans="6:33">
      <c r="F393" s="84"/>
      <c r="G393" s="84"/>
      <c r="AF393" s="84"/>
      <c r="AG393" s="84"/>
    </row>
    <row r="394" spans="6:33">
      <c r="F394" s="84"/>
      <c r="G394" s="84"/>
      <c r="AF394" s="84"/>
      <c r="AG394" s="84"/>
    </row>
    <row r="395" spans="6:33">
      <c r="F395" s="84"/>
      <c r="G395" s="84"/>
      <c r="AF395" s="84"/>
      <c r="AG395" s="84"/>
    </row>
    <row r="396" spans="6:33">
      <c r="F396" s="84"/>
      <c r="G396" s="84"/>
      <c r="AF396" s="84"/>
      <c r="AG396" s="84"/>
    </row>
    <row r="397" spans="6:33">
      <c r="F397" s="84"/>
      <c r="G397" s="84"/>
      <c r="AF397" s="84"/>
      <c r="AG397" s="84"/>
    </row>
    <row r="398" spans="6:33">
      <c r="F398" s="84"/>
      <c r="G398" s="84"/>
      <c r="AF398" s="84"/>
      <c r="AG398" s="84"/>
    </row>
    <row r="399" spans="6:33">
      <c r="F399" s="84"/>
      <c r="G399" s="84"/>
      <c r="AF399" s="84"/>
      <c r="AG399" s="84"/>
    </row>
    <row r="400" spans="6:33">
      <c r="F400" s="84"/>
      <c r="G400" s="84"/>
      <c r="AF400" s="84"/>
      <c r="AG400" s="84"/>
    </row>
    <row r="401" spans="6:33">
      <c r="F401" s="84"/>
      <c r="G401" s="84"/>
      <c r="AF401" s="84"/>
      <c r="AG401" s="84"/>
    </row>
    <row r="402" spans="6:33">
      <c r="F402" s="84"/>
      <c r="G402" s="84"/>
      <c r="AF402" s="84"/>
      <c r="AG402" s="84"/>
    </row>
    <row r="403" spans="6:33">
      <c r="F403" s="84"/>
      <c r="G403" s="84"/>
      <c r="AF403" s="84"/>
      <c r="AG403" s="84"/>
    </row>
    <row r="404" spans="6:33">
      <c r="F404" s="84"/>
      <c r="G404" s="84"/>
      <c r="AF404" s="84"/>
      <c r="AG404" s="84"/>
    </row>
    <row r="405" spans="6:33">
      <c r="F405" s="84"/>
      <c r="G405" s="84"/>
      <c r="AF405" s="84"/>
      <c r="AG405" s="84"/>
    </row>
    <row r="406" spans="6:33">
      <c r="F406" s="84"/>
      <c r="G406" s="84"/>
      <c r="AF406" s="84"/>
      <c r="AG406" s="84"/>
    </row>
    <row r="407" spans="6:33">
      <c r="F407" s="84"/>
      <c r="G407" s="84"/>
      <c r="AF407" s="84"/>
      <c r="AG407" s="84"/>
    </row>
    <row r="408" spans="6:33">
      <c r="F408" s="84"/>
      <c r="G408" s="84"/>
      <c r="AF408" s="84"/>
      <c r="AG408" s="84"/>
    </row>
    <row r="409" spans="6:33">
      <c r="F409" s="84"/>
      <c r="G409" s="84"/>
      <c r="AF409" s="84"/>
      <c r="AG409" s="84"/>
    </row>
    <row r="410" spans="6:33">
      <c r="F410" s="84"/>
      <c r="G410" s="84"/>
      <c r="AF410" s="84"/>
      <c r="AG410" s="84"/>
    </row>
    <row r="411" spans="6:33">
      <c r="F411" s="84"/>
      <c r="G411" s="84"/>
      <c r="AF411" s="84"/>
      <c r="AG411" s="84"/>
    </row>
    <row r="412" spans="6:33">
      <c r="F412" s="84"/>
      <c r="G412" s="84"/>
      <c r="AF412" s="84"/>
      <c r="AG412" s="84"/>
    </row>
    <row r="413" spans="6:33">
      <c r="F413" s="84"/>
      <c r="G413" s="84"/>
      <c r="AF413" s="84"/>
      <c r="AG413" s="84"/>
    </row>
    <row r="414" spans="6:33">
      <c r="F414" s="84"/>
      <c r="G414" s="84"/>
      <c r="AF414" s="84"/>
      <c r="AG414" s="84"/>
    </row>
    <row r="415" spans="6:33">
      <c r="F415" s="84"/>
      <c r="G415" s="84"/>
      <c r="AF415" s="84"/>
      <c r="AG415" s="84"/>
    </row>
    <row r="416" spans="6:33">
      <c r="F416" s="84"/>
      <c r="G416" s="84"/>
      <c r="AF416" s="84"/>
      <c r="AG416" s="84"/>
    </row>
    <row r="417" spans="6:33">
      <c r="F417" s="84"/>
      <c r="G417" s="84"/>
      <c r="AF417" s="84"/>
      <c r="AG417" s="84"/>
    </row>
    <row r="418" spans="6:33">
      <c r="F418" s="84"/>
      <c r="G418" s="84"/>
      <c r="AF418" s="84"/>
      <c r="AG418" s="84"/>
    </row>
    <row r="419" spans="6:33">
      <c r="F419" s="84"/>
      <c r="G419" s="84"/>
      <c r="AF419" s="84"/>
      <c r="AG419" s="84"/>
    </row>
    <row r="420" spans="6:33">
      <c r="F420" s="84"/>
      <c r="G420" s="84"/>
      <c r="AF420" s="84"/>
      <c r="AG420" s="84"/>
    </row>
    <row r="421" spans="6:33">
      <c r="F421" s="84"/>
      <c r="G421" s="84"/>
      <c r="AF421" s="84"/>
      <c r="AG421" s="84"/>
    </row>
    <row r="422" spans="6:33">
      <c r="F422" s="84"/>
      <c r="G422" s="84"/>
      <c r="AF422" s="84"/>
      <c r="AG422" s="84"/>
    </row>
    <row r="423" spans="6:33">
      <c r="F423" s="84"/>
      <c r="G423" s="84"/>
      <c r="AF423" s="84"/>
      <c r="AG423" s="84"/>
    </row>
    <row r="424" spans="6:33">
      <c r="F424" s="84"/>
      <c r="G424" s="84"/>
      <c r="AF424" s="84"/>
      <c r="AG424" s="84"/>
    </row>
    <row r="425" spans="6:33">
      <c r="F425" s="84"/>
      <c r="G425" s="84"/>
      <c r="AF425" s="84"/>
      <c r="AG425" s="84"/>
    </row>
    <row r="426" spans="6:33">
      <c r="F426" s="84"/>
      <c r="G426" s="84"/>
      <c r="AF426" s="84"/>
      <c r="AG426" s="84"/>
    </row>
    <row r="427" spans="6:33">
      <c r="F427" s="84"/>
      <c r="G427" s="84"/>
      <c r="AF427" s="84"/>
      <c r="AG427" s="84"/>
    </row>
    <row r="428" spans="6:33">
      <c r="F428" s="84"/>
      <c r="G428" s="84"/>
      <c r="AF428" s="84"/>
      <c r="AG428" s="84"/>
    </row>
    <row r="429" spans="6:33">
      <c r="F429" s="84"/>
      <c r="G429" s="84"/>
      <c r="AF429" s="84"/>
      <c r="AG429" s="84"/>
    </row>
    <row r="430" spans="6:33">
      <c r="F430" s="84"/>
      <c r="G430" s="84"/>
      <c r="AF430" s="84"/>
      <c r="AG430" s="84"/>
    </row>
    <row r="431" spans="6:33">
      <c r="F431" s="84"/>
      <c r="G431" s="84"/>
      <c r="AF431" s="84"/>
      <c r="AG431" s="84"/>
    </row>
    <row r="432" spans="6:33">
      <c r="F432" s="84"/>
      <c r="G432" s="84"/>
      <c r="AF432" s="84"/>
      <c r="AG432" s="84"/>
    </row>
    <row r="433" spans="6:33">
      <c r="F433" s="84"/>
      <c r="G433" s="84"/>
      <c r="AF433" s="84"/>
      <c r="AG433" s="84"/>
    </row>
    <row r="434" spans="6:33">
      <c r="F434" s="84"/>
      <c r="G434" s="84"/>
      <c r="AF434" s="84"/>
      <c r="AG434" s="84"/>
    </row>
    <row r="435" spans="6:33">
      <c r="F435" s="84"/>
      <c r="G435" s="84"/>
      <c r="AF435" s="84"/>
      <c r="AG435" s="84"/>
    </row>
    <row r="436" spans="6:33">
      <c r="F436" s="84"/>
      <c r="G436" s="84"/>
      <c r="AF436" s="84"/>
      <c r="AG436" s="84"/>
    </row>
    <row r="437" spans="6:33">
      <c r="F437" s="84"/>
      <c r="G437" s="84"/>
      <c r="AF437" s="84"/>
      <c r="AG437" s="84"/>
    </row>
    <row r="438" spans="6:33">
      <c r="F438" s="84"/>
      <c r="G438" s="84"/>
      <c r="AF438" s="84"/>
      <c r="AG438" s="84"/>
    </row>
    <row r="439" spans="6:33">
      <c r="F439" s="84"/>
      <c r="G439" s="84"/>
      <c r="AF439" s="84"/>
      <c r="AG439" s="84"/>
    </row>
    <row r="440" spans="6:33">
      <c r="F440" s="84"/>
      <c r="G440" s="84"/>
      <c r="AF440" s="84"/>
      <c r="AG440" s="84"/>
    </row>
    <row r="441" spans="6:33">
      <c r="F441" s="84"/>
      <c r="G441" s="84"/>
      <c r="AF441" s="84"/>
      <c r="AG441" s="84"/>
    </row>
    <row r="442" spans="6:33">
      <c r="F442" s="84"/>
      <c r="G442" s="84"/>
      <c r="AF442" s="84"/>
      <c r="AG442" s="84"/>
    </row>
    <row r="443" spans="6:33">
      <c r="F443" s="84"/>
      <c r="G443" s="84"/>
      <c r="AF443" s="84"/>
      <c r="AG443" s="84"/>
    </row>
    <row r="444" spans="6:33">
      <c r="F444" s="84"/>
      <c r="G444" s="84"/>
      <c r="AF444" s="84"/>
      <c r="AG444" s="84"/>
    </row>
    <row r="445" spans="6:33">
      <c r="F445" s="84"/>
      <c r="G445" s="84"/>
      <c r="AF445" s="84"/>
      <c r="AG445" s="84"/>
    </row>
    <row r="446" spans="6:33">
      <c r="F446" s="84"/>
      <c r="G446" s="84"/>
      <c r="AF446" s="84"/>
      <c r="AG446" s="84"/>
    </row>
    <row r="447" spans="6:33">
      <c r="F447" s="84"/>
      <c r="G447" s="84"/>
      <c r="AF447" s="84"/>
      <c r="AG447" s="84"/>
    </row>
    <row r="448" spans="6:33">
      <c r="F448" s="84"/>
      <c r="G448" s="84"/>
      <c r="AF448" s="84"/>
      <c r="AG448" s="84"/>
    </row>
    <row r="449" spans="6:33">
      <c r="F449" s="84"/>
      <c r="G449" s="84"/>
      <c r="AF449" s="84"/>
      <c r="AG449" s="84"/>
    </row>
    <row r="450" spans="6:33">
      <c r="F450" s="84"/>
      <c r="G450" s="84"/>
      <c r="AF450" s="84"/>
      <c r="AG450" s="84"/>
    </row>
    <row r="451" spans="6:33">
      <c r="F451" s="84"/>
      <c r="G451" s="84"/>
      <c r="AF451" s="84"/>
      <c r="AG451" s="84"/>
    </row>
    <row r="452" spans="6:33">
      <c r="F452" s="84"/>
      <c r="G452" s="84"/>
      <c r="AF452" s="84"/>
      <c r="AG452" s="84"/>
    </row>
    <row r="453" spans="6:33">
      <c r="F453" s="84"/>
      <c r="G453" s="84"/>
      <c r="AF453" s="84"/>
      <c r="AG453" s="84"/>
    </row>
    <row r="454" spans="6:33">
      <c r="F454" s="84"/>
      <c r="G454" s="84"/>
      <c r="AF454" s="84"/>
      <c r="AG454" s="84"/>
    </row>
    <row r="455" spans="6:33">
      <c r="F455" s="84"/>
      <c r="G455" s="84"/>
      <c r="AF455" s="84"/>
      <c r="AG455" s="84"/>
    </row>
    <row r="456" spans="6:33">
      <c r="F456" s="84"/>
      <c r="G456" s="84"/>
      <c r="AF456" s="84"/>
      <c r="AG456" s="84"/>
    </row>
    <row r="457" spans="6:33">
      <c r="F457" s="84"/>
      <c r="G457" s="84"/>
      <c r="AF457" s="84"/>
      <c r="AG457" s="84"/>
    </row>
    <row r="458" spans="6:33">
      <c r="F458" s="84"/>
      <c r="G458" s="84"/>
      <c r="AF458" s="84"/>
      <c r="AG458" s="84"/>
    </row>
    <row r="459" spans="6:33">
      <c r="F459" s="84"/>
      <c r="G459" s="84"/>
      <c r="AF459" s="84"/>
      <c r="AG459" s="84"/>
    </row>
    <row r="460" spans="6:33">
      <c r="F460" s="84"/>
      <c r="G460" s="84"/>
      <c r="AF460" s="84"/>
      <c r="AG460" s="84"/>
    </row>
    <row r="461" spans="6:33">
      <c r="F461" s="84"/>
      <c r="G461" s="84"/>
      <c r="AF461" s="84"/>
      <c r="AG461" s="84"/>
    </row>
    <row r="462" spans="6:33">
      <c r="F462" s="84"/>
      <c r="G462" s="84"/>
      <c r="AF462" s="84"/>
      <c r="AG462" s="84"/>
    </row>
    <row r="463" spans="6:33">
      <c r="F463" s="84"/>
      <c r="G463" s="84"/>
      <c r="AF463" s="84"/>
      <c r="AG463" s="84"/>
    </row>
    <row r="464" spans="6:33">
      <c r="F464" s="84"/>
      <c r="G464" s="84"/>
      <c r="AF464" s="84"/>
      <c r="AG464" s="84"/>
    </row>
    <row r="465" spans="6:33">
      <c r="F465" s="84"/>
      <c r="G465" s="84"/>
      <c r="AF465" s="84"/>
      <c r="AG465" s="84"/>
    </row>
    <row r="466" spans="6:33">
      <c r="F466" s="84"/>
      <c r="G466" s="84"/>
      <c r="AF466" s="84"/>
      <c r="AG466" s="84"/>
    </row>
    <row r="467" spans="6:33">
      <c r="F467" s="84"/>
      <c r="G467" s="84"/>
      <c r="AF467" s="84"/>
      <c r="AG467" s="84"/>
    </row>
    <row r="468" spans="6:33">
      <c r="F468" s="84"/>
      <c r="G468" s="84"/>
      <c r="AF468" s="84"/>
      <c r="AG468" s="84"/>
    </row>
    <row r="469" spans="6:33">
      <c r="F469" s="84"/>
      <c r="G469" s="84"/>
      <c r="AF469" s="84"/>
      <c r="AG469" s="84"/>
    </row>
    <row r="470" spans="6:33">
      <c r="F470" s="84"/>
      <c r="G470" s="84"/>
      <c r="AF470" s="84"/>
      <c r="AG470" s="84"/>
    </row>
    <row r="471" spans="6:33">
      <c r="F471" s="84"/>
      <c r="G471" s="84"/>
      <c r="AF471" s="84"/>
      <c r="AG471" s="84"/>
    </row>
    <row r="472" spans="6:33">
      <c r="F472" s="84"/>
      <c r="G472" s="84"/>
      <c r="AF472" s="84"/>
      <c r="AG472" s="84"/>
    </row>
    <row r="473" spans="6:33">
      <c r="F473" s="84"/>
      <c r="G473" s="84"/>
      <c r="AF473" s="84"/>
      <c r="AG473" s="84"/>
    </row>
    <row r="474" spans="6:33">
      <c r="F474" s="84"/>
      <c r="G474" s="84"/>
      <c r="AF474" s="84"/>
      <c r="AG474" s="84"/>
    </row>
    <row r="475" spans="6:33">
      <c r="F475" s="84"/>
      <c r="G475" s="84"/>
      <c r="AF475" s="84"/>
      <c r="AG475" s="84"/>
    </row>
    <row r="476" spans="6:33">
      <c r="F476" s="84"/>
      <c r="G476" s="84"/>
      <c r="AF476" s="84"/>
      <c r="AG476" s="84"/>
    </row>
    <row r="477" spans="6:33">
      <c r="F477" s="84"/>
      <c r="G477" s="84"/>
      <c r="AF477" s="84"/>
      <c r="AG477" s="84"/>
    </row>
    <row r="478" spans="6:33">
      <c r="F478" s="84"/>
      <c r="G478" s="84"/>
      <c r="AF478" s="84"/>
      <c r="AG478" s="84"/>
    </row>
    <row r="479" spans="6:33">
      <c r="F479" s="84"/>
      <c r="G479" s="84"/>
      <c r="AF479" s="84"/>
      <c r="AG479" s="84"/>
    </row>
    <row r="480" spans="6:33">
      <c r="F480" s="84"/>
      <c r="G480" s="84"/>
      <c r="AF480" s="84"/>
      <c r="AG480" s="84"/>
    </row>
    <row r="481" spans="6:33">
      <c r="F481" s="84"/>
      <c r="G481" s="84"/>
      <c r="AF481" s="84"/>
      <c r="AG481" s="84"/>
    </row>
    <row r="482" spans="6:33">
      <c r="F482" s="84"/>
      <c r="G482" s="84"/>
      <c r="AF482" s="84"/>
      <c r="AG482" s="84"/>
    </row>
    <row r="483" spans="6:33">
      <c r="F483" s="84"/>
      <c r="G483" s="84"/>
      <c r="AF483" s="84"/>
      <c r="AG483" s="84"/>
    </row>
    <row r="484" spans="6:33">
      <c r="F484" s="84"/>
      <c r="G484" s="84"/>
      <c r="AF484" s="84"/>
      <c r="AG484" s="84"/>
    </row>
    <row r="485" spans="6:33">
      <c r="F485" s="84"/>
      <c r="G485" s="84"/>
      <c r="AF485" s="84"/>
      <c r="AG485" s="84"/>
    </row>
    <row r="486" spans="6:33">
      <c r="F486" s="84"/>
      <c r="G486" s="84"/>
      <c r="AF486" s="84"/>
      <c r="AG486" s="84"/>
    </row>
    <row r="487" spans="6:33">
      <c r="F487" s="84"/>
      <c r="G487" s="84"/>
      <c r="AF487" s="84"/>
      <c r="AG487" s="84"/>
    </row>
    <row r="488" spans="6:33">
      <c r="F488" s="84"/>
      <c r="G488" s="84"/>
      <c r="AF488" s="84"/>
      <c r="AG488" s="84"/>
    </row>
    <row r="489" spans="6:33">
      <c r="F489" s="84"/>
      <c r="G489" s="84"/>
      <c r="AF489" s="84"/>
      <c r="AG489" s="84"/>
    </row>
    <row r="490" spans="6:33">
      <c r="F490" s="84"/>
      <c r="G490" s="84"/>
      <c r="AF490" s="84"/>
      <c r="AG490" s="84"/>
    </row>
    <row r="491" spans="6:33">
      <c r="F491" s="84"/>
      <c r="G491" s="84"/>
      <c r="AF491" s="84"/>
      <c r="AG491" s="84"/>
    </row>
    <row r="492" spans="6:33">
      <c r="F492" s="84"/>
      <c r="G492" s="84"/>
      <c r="AF492" s="84"/>
      <c r="AG492" s="84"/>
    </row>
    <row r="493" spans="6:33">
      <c r="F493" s="84"/>
      <c r="G493" s="84"/>
      <c r="AF493" s="84"/>
      <c r="AG493" s="84"/>
    </row>
    <row r="494" spans="6:33">
      <c r="F494" s="84"/>
      <c r="G494" s="84"/>
      <c r="AF494" s="84"/>
      <c r="AG494" s="84"/>
    </row>
    <row r="495" spans="6:33">
      <c r="F495" s="84"/>
      <c r="G495" s="84"/>
      <c r="AF495" s="84"/>
      <c r="AG495" s="84"/>
    </row>
    <row r="496" spans="6:33">
      <c r="F496" s="84"/>
      <c r="G496" s="84"/>
      <c r="AF496" s="84"/>
      <c r="AG496" s="84"/>
    </row>
    <row r="497" spans="6:33">
      <c r="F497" s="84"/>
      <c r="G497" s="84"/>
      <c r="AF497" s="84"/>
      <c r="AG497" s="84"/>
    </row>
    <row r="498" spans="6:33">
      <c r="F498" s="84"/>
      <c r="G498" s="84"/>
      <c r="AF498" s="84"/>
      <c r="AG498" s="84"/>
    </row>
    <row r="499" spans="6:33">
      <c r="F499" s="84"/>
      <c r="G499" s="84"/>
      <c r="AF499" s="84"/>
      <c r="AG499" s="84"/>
    </row>
    <row r="500" spans="6:33">
      <c r="F500" s="84"/>
      <c r="G500" s="84"/>
      <c r="AF500" s="84"/>
      <c r="AG500" s="84"/>
    </row>
    <row r="501" spans="6:33">
      <c r="F501" s="84"/>
      <c r="G501" s="84"/>
      <c r="AF501" s="84"/>
      <c r="AG501" s="84"/>
    </row>
    <row r="502" spans="6:33">
      <c r="F502" s="84"/>
      <c r="G502" s="84"/>
      <c r="AF502" s="84"/>
      <c r="AG502" s="84"/>
    </row>
    <row r="503" spans="6:33">
      <c r="F503" s="84"/>
      <c r="G503" s="84"/>
      <c r="AF503" s="84"/>
      <c r="AG503" s="84"/>
    </row>
    <row r="504" spans="6:33">
      <c r="F504" s="84"/>
      <c r="G504" s="84"/>
      <c r="AF504" s="84"/>
      <c r="AG504" s="84"/>
    </row>
    <row r="505" spans="6:33">
      <c r="F505" s="84"/>
      <c r="G505" s="84"/>
      <c r="AF505" s="84"/>
      <c r="AG505" s="84"/>
    </row>
    <row r="506" spans="6:33">
      <c r="F506" s="84"/>
      <c r="G506" s="84"/>
      <c r="AF506" s="84"/>
      <c r="AG506" s="84"/>
    </row>
    <row r="507" spans="6:33">
      <c r="F507" s="84"/>
      <c r="G507" s="84"/>
      <c r="AF507" s="84"/>
      <c r="AG507" s="84"/>
    </row>
    <row r="508" spans="6:33">
      <c r="F508" s="84"/>
      <c r="G508" s="84"/>
      <c r="AF508" s="84"/>
      <c r="AG508" s="84"/>
    </row>
    <row r="509" spans="6:33">
      <c r="F509" s="84"/>
      <c r="G509" s="84"/>
      <c r="AF509" s="84"/>
      <c r="AG509" s="84"/>
    </row>
    <row r="510" spans="6:33">
      <c r="F510" s="84"/>
      <c r="G510" s="84"/>
      <c r="AF510" s="84"/>
      <c r="AG510" s="84"/>
    </row>
    <row r="511" spans="6:33">
      <c r="F511" s="84"/>
      <c r="G511" s="84"/>
      <c r="AF511" s="84"/>
      <c r="AG511" s="84"/>
    </row>
    <row r="512" spans="6:33">
      <c r="F512" s="84"/>
      <c r="G512" s="84"/>
      <c r="AF512" s="84"/>
      <c r="AG512" s="84"/>
    </row>
    <row r="513" spans="6:33">
      <c r="F513" s="84"/>
      <c r="G513" s="84"/>
      <c r="AF513" s="84"/>
      <c r="AG513" s="84"/>
    </row>
    <row r="514" spans="6:33">
      <c r="F514" s="84"/>
      <c r="G514" s="84"/>
      <c r="AF514" s="84"/>
      <c r="AG514" s="84"/>
    </row>
    <row r="515" spans="6:33">
      <c r="F515" s="84"/>
      <c r="G515" s="84"/>
      <c r="AF515" s="84"/>
      <c r="AG515" s="84"/>
    </row>
    <row r="516" spans="6:33">
      <c r="F516" s="84"/>
      <c r="G516" s="84"/>
      <c r="AF516" s="84"/>
      <c r="AG516" s="84"/>
    </row>
    <row r="517" spans="6:33">
      <c r="F517" s="84"/>
      <c r="G517" s="84"/>
      <c r="AF517" s="84"/>
      <c r="AG517" s="84"/>
    </row>
    <row r="518" spans="6:33">
      <c r="F518" s="84"/>
      <c r="G518" s="84"/>
      <c r="AF518" s="84"/>
      <c r="AG518" s="84"/>
    </row>
    <row r="519" spans="6:33">
      <c r="F519" s="84"/>
      <c r="G519" s="84"/>
      <c r="AF519" s="84"/>
      <c r="AG519" s="84"/>
    </row>
    <row r="520" spans="6:33">
      <c r="F520" s="84"/>
      <c r="G520" s="84"/>
      <c r="AF520" s="84"/>
      <c r="AG520" s="84"/>
    </row>
    <row r="521" spans="6:33">
      <c r="F521" s="84"/>
      <c r="G521" s="84"/>
      <c r="AF521" s="84"/>
      <c r="AG521" s="84"/>
    </row>
    <row r="522" spans="6:33">
      <c r="F522" s="84"/>
      <c r="G522" s="84"/>
      <c r="AF522" s="84"/>
      <c r="AG522" s="84"/>
    </row>
    <row r="523" spans="6:33">
      <c r="F523" s="84"/>
      <c r="G523" s="84"/>
      <c r="AF523" s="84"/>
      <c r="AG523" s="84"/>
    </row>
    <row r="524" spans="6:33">
      <c r="F524" s="84"/>
      <c r="G524" s="84"/>
      <c r="AF524" s="84"/>
      <c r="AG524" s="84"/>
    </row>
    <row r="525" spans="6:33">
      <c r="F525" s="84"/>
      <c r="G525" s="84"/>
      <c r="AF525" s="84"/>
      <c r="AG525" s="84"/>
    </row>
    <row r="526" spans="6:33">
      <c r="F526" s="84"/>
      <c r="G526" s="84"/>
      <c r="AF526" s="84"/>
      <c r="AG526" s="84"/>
    </row>
    <row r="527" spans="6:33">
      <c r="F527" s="84"/>
      <c r="G527" s="84"/>
      <c r="AF527" s="84"/>
      <c r="AG527" s="84"/>
    </row>
    <row r="528" spans="6:33">
      <c r="F528" s="84"/>
      <c r="G528" s="84"/>
      <c r="AF528" s="84"/>
      <c r="AG528" s="84"/>
    </row>
    <row r="529" spans="6:33">
      <c r="F529" s="84"/>
      <c r="G529" s="84"/>
      <c r="AF529" s="84"/>
      <c r="AG529" s="84"/>
    </row>
    <row r="530" spans="6:33">
      <c r="F530" s="84"/>
      <c r="G530" s="84"/>
      <c r="AF530" s="84"/>
      <c r="AG530" s="84"/>
    </row>
    <row r="531" spans="6:33">
      <c r="F531" s="84"/>
      <c r="G531" s="84"/>
      <c r="AF531" s="84"/>
      <c r="AG531" s="84"/>
    </row>
    <row r="532" spans="6:33">
      <c r="F532" s="84"/>
      <c r="G532" s="84"/>
      <c r="AF532" s="84"/>
      <c r="AG532" s="84"/>
    </row>
    <row r="533" spans="6:33">
      <c r="F533" s="84"/>
      <c r="G533" s="84"/>
      <c r="AF533" s="84"/>
      <c r="AG533" s="84"/>
    </row>
    <row r="534" spans="6:33">
      <c r="F534" s="84"/>
      <c r="G534" s="84"/>
      <c r="AF534" s="84"/>
      <c r="AG534" s="84"/>
    </row>
    <row r="535" spans="6:33">
      <c r="F535" s="84"/>
      <c r="G535" s="84"/>
      <c r="AF535" s="84"/>
      <c r="AG535" s="84"/>
    </row>
    <row r="536" spans="6:33">
      <c r="F536" s="84"/>
      <c r="G536" s="84"/>
      <c r="AF536" s="84"/>
      <c r="AG536" s="84"/>
    </row>
    <row r="537" spans="6:33">
      <c r="F537" s="84"/>
      <c r="G537" s="84"/>
      <c r="AF537" s="84"/>
      <c r="AG537" s="84"/>
    </row>
    <row r="538" spans="6:33">
      <c r="F538" s="84"/>
      <c r="G538" s="84"/>
      <c r="AF538" s="84"/>
      <c r="AG538" s="84"/>
    </row>
    <row r="539" spans="6:33">
      <c r="F539" s="84"/>
      <c r="G539" s="84"/>
      <c r="AF539" s="84"/>
      <c r="AG539" s="84"/>
    </row>
    <row r="540" spans="6:33">
      <c r="F540" s="84"/>
      <c r="G540" s="84"/>
      <c r="AF540" s="84"/>
      <c r="AG540" s="84"/>
    </row>
    <row r="541" spans="6:33">
      <c r="F541" s="84"/>
      <c r="G541" s="84"/>
      <c r="AF541" s="84"/>
      <c r="AG541" s="84"/>
    </row>
    <row r="542" spans="6:33">
      <c r="F542" s="84"/>
      <c r="G542" s="84"/>
      <c r="AF542" s="84"/>
      <c r="AG542" s="84"/>
    </row>
    <row r="543" spans="6:33">
      <c r="F543" s="84"/>
      <c r="G543" s="84"/>
      <c r="AF543" s="84"/>
      <c r="AG543" s="84"/>
    </row>
    <row r="544" spans="6:33">
      <c r="F544" s="84"/>
      <c r="G544" s="84"/>
      <c r="AF544" s="84"/>
      <c r="AG544" s="84"/>
    </row>
    <row r="545" spans="6:33">
      <c r="F545" s="84"/>
      <c r="G545" s="84"/>
      <c r="AF545" s="84"/>
      <c r="AG545" s="84"/>
    </row>
    <row r="546" spans="6:33">
      <c r="F546" s="84"/>
      <c r="G546" s="84"/>
      <c r="AF546" s="84"/>
      <c r="AG546" s="84"/>
    </row>
    <row r="547" spans="6:33">
      <c r="F547" s="84"/>
      <c r="G547" s="84"/>
      <c r="AF547" s="84"/>
      <c r="AG547" s="84"/>
    </row>
    <row r="548" spans="6:33">
      <c r="F548" s="84"/>
      <c r="G548" s="84"/>
      <c r="AF548" s="84"/>
      <c r="AG548" s="84"/>
    </row>
    <row r="549" spans="6:33">
      <c r="F549" s="84"/>
      <c r="G549" s="84"/>
      <c r="AF549" s="84"/>
      <c r="AG549" s="84"/>
    </row>
    <row r="550" spans="6:33">
      <c r="F550" s="84"/>
      <c r="G550" s="84"/>
      <c r="AF550" s="84"/>
      <c r="AG550" s="84"/>
    </row>
    <row r="551" spans="6:33">
      <c r="F551" s="84"/>
      <c r="G551" s="84"/>
      <c r="AF551" s="84"/>
      <c r="AG551" s="84"/>
    </row>
    <row r="552" spans="6:33">
      <c r="F552" s="84"/>
      <c r="G552" s="84"/>
      <c r="AF552" s="84"/>
      <c r="AG552" s="84"/>
    </row>
    <row r="553" spans="6:33">
      <c r="F553" s="84"/>
      <c r="G553" s="84"/>
      <c r="AF553" s="84"/>
      <c r="AG553" s="84"/>
    </row>
    <row r="554" spans="6:33">
      <c r="F554" s="84"/>
      <c r="G554" s="84"/>
      <c r="AF554" s="84"/>
      <c r="AG554" s="84"/>
    </row>
    <row r="555" spans="6:33">
      <c r="F555" s="84"/>
      <c r="G555" s="84"/>
      <c r="AF555" s="84"/>
      <c r="AG555" s="84"/>
    </row>
    <row r="556" spans="6:33">
      <c r="F556" s="84"/>
      <c r="G556" s="84"/>
      <c r="AF556" s="84"/>
      <c r="AG556" s="84"/>
    </row>
    <row r="557" spans="6:33">
      <c r="F557" s="84"/>
      <c r="G557" s="84"/>
      <c r="AF557" s="84"/>
      <c r="AG557" s="84"/>
    </row>
    <row r="558" spans="6:33">
      <c r="F558" s="84"/>
      <c r="G558" s="84"/>
      <c r="AF558" s="84"/>
      <c r="AG558" s="84"/>
    </row>
    <row r="559" spans="6:33">
      <c r="F559" s="84"/>
      <c r="G559" s="84"/>
      <c r="AF559" s="84"/>
      <c r="AG559" s="84"/>
    </row>
    <row r="560" spans="6:33">
      <c r="F560" s="84"/>
      <c r="G560" s="84"/>
      <c r="AF560" s="84"/>
      <c r="AG560" s="84"/>
    </row>
    <row r="561" spans="6:33">
      <c r="F561" s="84"/>
      <c r="G561" s="84"/>
      <c r="AF561" s="84"/>
      <c r="AG561" s="84"/>
    </row>
    <row r="562" spans="6:33">
      <c r="F562" s="84"/>
      <c r="G562" s="84"/>
      <c r="AF562" s="84"/>
      <c r="AG562" s="84"/>
    </row>
    <row r="563" spans="6:33">
      <c r="F563" s="84"/>
      <c r="G563" s="84"/>
      <c r="AF563" s="84"/>
      <c r="AG563" s="84"/>
    </row>
    <row r="564" spans="6:33">
      <c r="F564" s="84"/>
      <c r="G564" s="84"/>
      <c r="AF564" s="84"/>
      <c r="AG564" s="84"/>
    </row>
    <row r="565" spans="6:33">
      <c r="F565" s="84"/>
      <c r="G565" s="84"/>
      <c r="AF565" s="84"/>
      <c r="AG565" s="84"/>
    </row>
    <row r="566" spans="6:33">
      <c r="F566" s="84"/>
      <c r="G566" s="84"/>
      <c r="AF566" s="84"/>
      <c r="AG566" s="84"/>
    </row>
    <row r="567" spans="6:33">
      <c r="F567" s="84"/>
      <c r="G567" s="84"/>
      <c r="AF567" s="84"/>
      <c r="AG567" s="84"/>
    </row>
    <row r="568" spans="6:33">
      <c r="F568" s="84"/>
      <c r="G568" s="84"/>
      <c r="AF568" s="84"/>
      <c r="AG568" s="84"/>
    </row>
    <row r="569" spans="6:33">
      <c r="F569" s="84"/>
      <c r="G569" s="84"/>
      <c r="AF569" s="84"/>
      <c r="AG569" s="84"/>
    </row>
    <row r="570" spans="6:33">
      <c r="F570" s="84"/>
      <c r="G570" s="84"/>
      <c r="AF570" s="84"/>
      <c r="AG570" s="84"/>
    </row>
    <row r="571" spans="6:33">
      <c r="F571" s="84"/>
      <c r="G571" s="84"/>
      <c r="AF571" s="84"/>
      <c r="AG571" s="84"/>
    </row>
    <row r="572" spans="6:33">
      <c r="F572" s="84"/>
      <c r="G572" s="84"/>
      <c r="AF572" s="84"/>
      <c r="AG572" s="84"/>
    </row>
    <row r="573" spans="6:33">
      <c r="F573" s="84"/>
      <c r="G573" s="84"/>
      <c r="AF573" s="84"/>
      <c r="AG573" s="84"/>
    </row>
    <row r="574" spans="6:33">
      <c r="F574" s="84"/>
      <c r="G574" s="84"/>
      <c r="AF574" s="84"/>
      <c r="AG574" s="84"/>
    </row>
    <row r="575" spans="6:33">
      <c r="F575" s="84"/>
      <c r="G575" s="84"/>
      <c r="AF575" s="84"/>
      <c r="AG575" s="84"/>
    </row>
    <row r="576" spans="6:33">
      <c r="F576" s="84"/>
      <c r="G576" s="84"/>
      <c r="AF576" s="84"/>
      <c r="AG576" s="84"/>
    </row>
    <row r="577" spans="6:33">
      <c r="F577" s="84"/>
      <c r="G577" s="84"/>
      <c r="AF577" s="84"/>
      <c r="AG577" s="84"/>
    </row>
    <row r="578" spans="6:33">
      <c r="F578" s="84"/>
      <c r="G578" s="84"/>
      <c r="AF578" s="84"/>
      <c r="AG578" s="84"/>
    </row>
    <row r="579" spans="6:33">
      <c r="F579" s="84"/>
      <c r="G579" s="84"/>
      <c r="AF579" s="84"/>
      <c r="AG579" s="84"/>
    </row>
    <row r="580" spans="6:33">
      <c r="F580" s="84"/>
      <c r="G580" s="84"/>
      <c r="AF580" s="84"/>
      <c r="AG580" s="84"/>
    </row>
    <row r="581" spans="6:33">
      <c r="F581" s="84"/>
      <c r="G581" s="84"/>
      <c r="AF581" s="84"/>
      <c r="AG581" s="84"/>
    </row>
    <row r="582" spans="6:33">
      <c r="F582" s="84"/>
      <c r="G582" s="84"/>
      <c r="AF582" s="84"/>
      <c r="AG582" s="84"/>
    </row>
    <row r="583" spans="6:33">
      <c r="F583" s="84"/>
      <c r="G583" s="84"/>
      <c r="AF583" s="84"/>
      <c r="AG583" s="84"/>
    </row>
    <row r="584" spans="6:33">
      <c r="F584" s="84"/>
      <c r="G584" s="84"/>
      <c r="AF584" s="84"/>
      <c r="AG584" s="84"/>
    </row>
    <row r="585" spans="6:33">
      <c r="F585" s="84"/>
      <c r="G585" s="84"/>
      <c r="AF585" s="84"/>
      <c r="AG585" s="84"/>
    </row>
    <row r="586" spans="6:33">
      <c r="F586" s="84"/>
      <c r="G586" s="84"/>
      <c r="AF586" s="84"/>
      <c r="AG586" s="84"/>
    </row>
    <row r="587" spans="6:33">
      <c r="F587" s="84"/>
      <c r="G587" s="84"/>
      <c r="AF587" s="84"/>
      <c r="AG587" s="84"/>
    </row>
    <row r="588" spans="6:33">
      <c r="F588" s="84"/>
      <c r="G588" s="84"/>
      <c r="AF588" s="84"/>
      <c r="AG588" s="84"/>
    </row>
    <row r="589" spans="6:33">
      <c r="F589" s="84"/>
      <c r="G589" s="84"/>
      <c r="AF589" s="84"/>
      <c r="AG589" s="84"/>
    </row>
    <row r="590" spans="6:33">
      <c r="F590" s="84"/>
      <c r="G590" s="84"/>
      <c r="AF590" s="84"/>
      <c r="AG590" s="84"/>
    </row>
    <row r="591" spans="6:33">
      <c r="F591" s="84"/>
      <c r="G591" s="84"/>
      <c r="AF591" s="84"/>
      <c r="AG591" s="84"/>
    </row>
    <row r="592" spans="6:33">
      <c r="F592" s="84"/>
      <c r="G592" s="84"/>
      <c r="AF592" s="84"/>
      <c r="AG592" s="84"/>
    </row>
    <row r="593" spans="6:33">
      <c r="F593" s="84"/>
      <c r="G593" s="84"/>
      <c r="AF593" s="84"/>
      <c r="AG593" s="84"/>
    </row>
    <row r="594" spans="6:33">
      <c r="F594" s="84"/>
      <c r="G594" s="84"/>
      <c r="AF594" s="84"/>
      <c r="AG594" s="84"/>
    </row>
    <row r="595" spans="6:33">
      <c r="F595" s="84"/>
      <c r="G595" s="84"/>
      <c r="AF595" s="84"/>
      <c r="AG595" s="84"/>
    </row>
    <row r="596" spans="6:33">
      <c r="F596" s="84"/>
      <c r="G596" s="84"/>
      <c r="AF596" s="84"/>
      <c r="AG596" s="84"/>
    </row>
    <row r="597" spans="6:33">
      <c r="F597" s="84"/>
      <c r="G597" s="84"/>
      <c r="AF597" s="84"/>
      <c r="AG597" s="84"/>
    </row>
    <row r="598" spans="6:33">
      <c r="F598" s="84"/>
      <c r="G598" s="84"/>
      <c r="AF598" s="84"/>
      <c r="AG598" s="84"/>
    </row>
    <row r="599" spans="6:33">
      <c r="F599" s="84"/>
      <c r="G599" s="84"/>
      <c r="AF599" s="84"/>
      <c r="AG599" s="84"/>
    </row>
    <row r="600" spans="6:33">
      <c r="F600" s="84"/>
      <c r="G600" s="84"/>
      <c r="AF600" s="84"/>
      <c r="AG600" s="84"/>
    </row>
    <row r="601" spans="6:33">
      <c r="F601" s="84"/>
      <c r="G601" s="84"/>
      <c r="AF601" s="84"/>
      <c r="AG601" s="84"/>
    </row>
    <row r="602" spans="6:33">
      <c r="F602" s="84"/>
      <c r="G602" s="84"/>
      <c r="AF602" s="84"/>
      <c r="AG602" s="84"/>
    </row>
    <row r="603" spans="6:33">
      <c r="F603" s="84"/>
      <c r="G603" s="84"/>
      <c r="AF603" s="84"/>
      <c r="AG603" s="84"/>
    </row>
    <row r="604" spans="6:33">
      <c r="F604" s="84"/>
      <c r="G604" s="84"/>
      <c r="AF604" s="84"/>
      <c r="AG604" s="84"/>
    </row>
    <row r="605" spans="6:33">
      <c r="F605" s="84"/>
      <c r="G605" s="84"/>
      <c r="AF605" s="84"/>
      <c r="AG605" s="84"/>
    </row>
    <row r="606" spans="6:33">
      <c r="F606" s="84"/>
      <c r="G606" s="84"/>
      <c r="AF606" s="84"/>
      <c r="AG606" s="84"/>
    </row>
    <row r="607" spans="6:33">
      <c r="F607" s="84"/>
      <c r="G607" s="84"/>
      <c r="AF607" s="84"/>
      <c r="AG607" s="84"/>
    </row>
    <row r="608" spans="6:33">
      <c r="F608" s="84"/>
      <c r="G608" s="84"/>
      <c r="AF608" s="84"/>
      <c r="AG608" s="84"/>
    </row>
    <row r="609" spans="6:33">
      <c r="F609" s="84"/>
      <c r="G609" s="84"/>
      <c r="AF609" s="84"/>
      <c r="AG609" s="84"/>
    </row>
    <row r="610" spans="6:33">
      <c r="F610" s="84"/>
      <c r="G610" s="84"/>
      <c r="AF610" s="84"/>
      <c r="AG610" s="84"/>
    </row>
    <row r="611" spans="6:33">
      <c r="F611" s="84"/>
      <c r="G611" s="84"/>
      <c r="AF611" s="84"/>
      <c r="AG611" s="84"/>
    </row>
    <row r="612" spans="6:33">
      <c r="F612" s="84"/>
      <c r="G612" s="84"/>
      <c r="AF612" s="84"/>
      <c r="AG612" s="84"/>
    </row>
    <row r="613" spans="6:33">
      <c r="F613" s="84"/>
      <c r="G613" s="84"/>
      <c r="AF613" s="84"/>
      <c r="AG613" s="84"/>
    </row>
    <row r="614" spans="6:33">
      <c r="F614" s="84"/>
      <c r="G614" s="84"/>
      <c r="AF614" s="84"/>
      <c r="AG614" s="84"/>
    </row>
    <row r="615" spans="6:33">
      <c r="F615" s="84"/>
      <c r="G615" s="84"/>
      <c r="AF615" s="84"/>
      <c r="AG615" s="84"/>
    </row>
    <row r="616" spans="6:33">
      <c r="F616" s="84"/>
      <c r="G616" s="84"/>
      <c r="AF616" s="84"/>
      <c r="AG616" s="84"/>
    </row>
    <row r="617" spans="6:33">
      <c r="F617" s="84"/>
      <c r="G617" s="84"/>
      <c r="AF617" s="84"/>
      <c r="AG617" s="84"/>
    </row>
    <row r="618" spans="6:33">
      <c r="F618" s="84"/>
      <c r="G618" s="84"/>
      <c r="AF618" s="84"/>
      <c r="AG618" s="84"/>
    </row>
    <row r="619" spans="6:33">
      <c r="F619" s="84"/>
      <c r="G619" s="84"/>
      <c r="AF619" s="84"/>
      <c r="AG619" s="84"/>
    </row>
    <row r="620" spans="6:33">
      <c r="F620" s="84"/>
      <c r="G620" s="84"/>
      <c r="AF620" s="84"/>
      <c r="AG620" s="84"/>
    </row>
    <row r="621" spans="6:33">
      <c r="F621" s="84"/>
      <c r="G621" s="84"/>
      <c r="AF621" s="84"/>
      <c r="AG621" s="84"/>
    </row>
    <row r="622" spans="6:33">
      <c r="F622" s="84"/>
      <c r="G622" s="84"/>
      <c r="AF622" s="84"/>
      <c r="AG622" s="84"/>
    </row>
    <row r="623" spans="6:33">
      <c r="F623" s="84"/>
      <c r="G623" s="84"/>
      <c r="AF623" s="84"/>
      <c r="AG623" s="84"/>
    </row>
    <row r="624" spans="6:33">
      <c r="F624" s="84"/>
      <c r="G624" s="84"/>
      <c r="AF624" s="84"/>
      <c r="AG624" s="84"/>
    </row>
    <row r="625" spans="6:33">
      <c r="F625" s="84"/>
      <c r="G625" s="84"/>
      <c r="AF625" s="84"/>
      <c r="AG625" s="84"/>
    </row>
    <row r="626" spans="6:33">
      <c r="F626" s="84"/>
      <c r="G626" s="84"/>
      <c r="AF626" s="84"/>
      <c r="AG626" s="84"/>
    </row>
    <row r="627" spans="6:33">
      <c r="F627" s="84"/>
      <c r="G627" s="84"/>
      <c r="AF627" s="84"/>
      <c r="AG627" s="84"/>
    </row>
    <row r="628" spans="6:33">
      <c r="F628" s="84"/>
      <c r="G628" s="84"/>
      <c r="AF628" s="84"/>
      <c r="AG628" s="84"/>
    </row>
    <row r="629" spans="6:33">
      <c r="F629" s="84"/>
      <c r="G629" s="84"/>
      <c r="AF629" s="84"/>
      <c r="AG629" s="84"/>
    </row>
    <row r="630" spans="6:33">
      <c r="F630" s="84"/>
      <c r="G630" s="84"/>
      <c r="AF630" s="84"/>
      <c r="AG630" s="84"/>
    </row>
    <row r="631" spans="6:33">
      <c r="F631" s="84"/>
      <c r="G631" s="84"/>
      <c r="AF631" s="84"/>
      <c r="AG631" s="84"/>
    </row>
    <row r="632" spans="6:33">
      <c r="F632" s="84"/>
      <c r="G632" s="84"/>
      <c r="AF632" s="84"/>
      <c r="AG632" s="84"/>
    </row>
    <row r="633" spans="6:33">
      <c r="F633" s="84"/>
      <c r="G633" s="84"/>
      <c r="AF633" s="84"/>
      <c r="AG633" s="84"/>
    </row>
    <row r="634" spans="6:33">
      <c r="F634" s="84"/>
      <c r="G634" s="84"/>
      <c r="AF634" s="84"/>
      <c r="AG634" s="84"/>
    </row>
    <row r="635" spans="6:33">
      <c r="F635" s="84"/>
      <c r="G635" s="84"/>
      <c r="AF635" s="84"/>
      <c r="AG635" s="84"/>
    </row>
    <row r="636" spans="6:33">
      <c r="F636" s="84"/>
      <c r="G636" s="84"/>
      <c r="AF636" s="84"/>
      <c r="AG636" s="84"/>
    </row>
    <row r="637" spans="6:33">
      <c r="F637" s="84"/>
      <c r="G637" s="84"/>
      <c r="AF637" s="84"/>
      <c r="AG637" s="84"/>
    </row>
    <row r="638" spans="6:33">
      <c r="F638" s="84"/>
      <c r="G638" s="84"/>
      <c r="AF638" s="84"/>
      <c r="AG638" s="84"/>
    </row>
    <row r="639" spans="6:33">
      <c r="F639" s="84"/>
      <c r="G639" s="84"/>
      <c r="AF639" s="84"/>
      <c r="AG639" s="84"/>
    </row>
    <row r="640" spans="6:33">
      <c r="F640" s="84"/>
      <c r="G640" s="84"/>
      <c r="AF640" s="84"/>
      <c r="AG640" s="84"/>
    </row>
    <row r="641" spans="6:33">
      <c r="F641" s="84"/>
      <c r="G641" s="84"/>
      <c r="AF641" s="84"/>
      <c r="AG641" s="84"/>
    </row>
    <row r="642" spans="6:33">
      <c r="F642" s="84"/>
      <c r="G642" s="84"/>
      <c r="AF642" s="84"/>
      <c r="AG642" s="84"/>
    </row>
    <row r="643" spans="6:33">
      <c r="F643" s="84"/>
      <c r="G643" s="84"/>
      <c r="AF643" s="84"/>
      <c r="AG643" s="84"/>
    </row>
    <row r="644" spans="6:33">
      <c r="F644" s="84"/>
      <c r="G644" s="84"/>
      <c r="AF644" s="84"/>
      <c r="AG644" s="84"/>
    </row>
    <row r="645" spans="6:33">
      <c r="F645" s="84"/>
      <c r="G645" s="84"/>
      <c r="AF645" s="84"/>
      <c r="AG645" s="84"/>
    </row>
    <row r="646" spans="6:33">
      <c r="F646" s="84"/>
      <c r="G646" s="84"/>
      <c r="AF646" s="84"/>
      <c r="AG646" s="84"/>
    </row>
    <row r="647" spans="6:33">
      <c r="F647" s="84"/>
      <c r="G647" s="84"/>
      <c r="AF647" s="84"/>
      <c r="AG647" s="84"/>
    </row>
    <row r="648" spans="6:33">
      <c r="F648" s="84"/>
      <c r="G648" s="84"/>
      <c r="AF648" s="84"/>
      <c r="AG648" s="84"/>
    </row>
    <row r="649" spans="6:33">
      <c r="F649" s="84"/>
      <c r="G649" s="84"/>
      <c r="AF649" s="84"/>
      <c r="AG649" s="84"/>
    </row>
    <row r="650" spans="6:33">
      <c r="F650" s="84"/>
      <c r="G650" s="84"/>
      <c r="AF650" s="84"/>
      <c r="AG650" s="84"/>
    </row>
    <row r="651" spans="6:33">
      <c r="F651" s="84"/>
      <c r="G651" s="84"/>
      <c r="AF651" s="84"/>
      <c r="AG651" s="84"/>
    </row>
    <row r="652" spans="6:33">
      <c r="F652" s="84"/>
      <c r="G652" s="84"/>
      <c r="AF652" s="84"/>
      <c r="AG652" s="84"/>
    </row>
    <row r="653" spans="6:33">
      <c r="F653" s="84"/>
      <c r="G653" s="84"/>
      <c r="AF653" s="84"/>
      <c r="AG653" s="84"/>
    </row>
    <row r="654" spans="6:33">
      <c r="F654" s="84"/>
      <c r="G654" s="84"/>
      <c r="AF654" s="84"/>
      <c r="AG654" s="84"/>
    </row>
    <row r="655" spans="6:33">
      <c r="F655" s="84"/>
      <c r="G655" s="84"/>
      <c r="AF655" s="84"/>
      <c r="AG655" s="84"/>
    </row>
    <row r="656" spans="6:33">
      <c r="F656" s="84"/>
      <c r="G656" s="84"/>
      <c r="AF656" s="84"/>
      <c r="AG656" s="84"/>
    </row>
    <row r="657" spans="6:33">
      <c r="F657" s="84"/>
      <c r="G657" s="84"/>
      <c r="AF657" s="84"/>
      <c r="AG657" s="84"/>
    </row>
    <row r="658" spans="6:33">
      <c r="F658" s="84"/>
      <c r="G658" s="84"/>
      <c r="AF658" s="84"/>
      <c r="AG658" s="84"/>
    </row>
    <row r="659" spans="6:33">
      <c r="F659" s="84"/>
      <c r="G659" s="84"/>
      <c r="AF659" s="84"/>
      <c r="AG659" s="84"/>
    </row>
    <row r="660" spans="6:33">
      <c r="F660" s="84"/>
      <c r="G660" s="84"/>
      <c r="AF660" s="84"/>
      <c r="AG660" s="84"/>
    </row>
    <row r="661" spans="6:33">
      <c r="F661" s="84"/>
      <c r="G661" s="84"/>
      <c r="AF661" s="84"/>
      <c r="AG661" s="84"/>
    </row>
    <row r="662" spans="6:33">
      <c r="F662" s="84"/>
      <c r="G662" s="84"/>
      <c r="AF662" s="84"/>
      <c r="AG662" s="84"/>
    </row>
    <row r="663" spans="6:33">
      <c r="F663" s="84"/>
      <c r="G663" s="84"/>
      <c r="AF663" s="84"/>
      <c r="AG663" s="84"/>
    </row>
    <row r="664" spans="6:33">
      <c r="F664" s="84"/>
      <c r="G664" s="84"/>
      <c r="AF664" s="84"/>
      <c r="AG664" s="84"/>
    </row>
    <row r="665" spans="6:33">
      <c r="F665" s="84"/>
      <c r="G665" s="84"/>
      <c r="AF665" s="84"/>
      <c r="AG665" s="84"/>
    </row>
    <row r="666" spans="6:33">
      <c r="F666" s="84"/>
      <c r="G666" s="84"/>
      <c r="AF666" s="84"/>
      <c r="AG666" s="84"/>
    </row>
    <row r="667" spans="6:33">
      <c r="F667" s="84"/>
      <c r="G667" s="84"/>
      <c r="AF667" s="84"/>
      <c r="AG667" s="84"/>
    </row>
    <row r="668" spans="6:33">
      <c r="F668" s="84"/>
      <c r="G668" s="84"/>
      <c r="AF668" s="84"/>
      <c r="AG668" s="84"/>
    </row>
    <row r="669" spans="6:33">
      <c r="F669" s="84"/>
      <c r="G669" s="84"/>
      <c r="AF669" s="84"/>
      <c r="AG669" s="84"/>
    </row>
    <row r="670" spans="6:33">
      <c r="F670" s="84"/>
      <c r="G670" s="84"/>
      <c r="AF670" s="84"/>
      <c r="AG670" s="84"/>
    </row>
    <row r="671" spans="6:33">
      <c r="F671" s="84"/>
      <c r="G671" s="84"/>
      <c r="AF671" s="84"/>
      <c r="AG671" s="84"/>
    </row>
    <row r="672" spans="6:33">
      <c r="F672" s="84"/>
      <c r="G672" s="84"/>
      <c r="AF672" s="84"/>
      <c r="AG672" s="84"/>
    </row>
    <row r="673" spans="6:33">
      <c r="F673" s="84"/>
      <c r="G673" s="84"/>
      <c r="AF673" s="84"/>
      <c r="AG673" s="84"/>
    </row>
    <row r="674" spans="6:33">
      <c r="F674" s="84"/>
      <c r="G674" s="84"/>
      <c r="AF674" s="84"/>
      <c r="AG674" s="84"/>
    </row>
    <row r="675" spans="6:33">
      <c r="F675" s="84"/>
      <c r="G675" s="84"/>
      <c r="AF675" s="84"/>
      <c r="AG675" s="84"/>
    </row>
    <row r="676" spans="6:33">
      <c r="F676" s="84"/>
      <c r="G676" s="84"/>
      <c r="AF676" s="84"/>
      <c r="AG676" s="84"/>
    </row>
    <row r="677" spans="6:33">
      <c r="F677" s="84"/>
      <c r="G677" s="84"/>
      <c r="AF677" s="84"/>
      <c r="AG677" s="84"/>
    </row>
    <row r="678" spans="6:33">
      <c r="F678" s="84"/>
      <c r="G678" s="84"/>
      <c r="AF678" s="84"/>
      <c r="AG678" s="84"/>
    </row>
    <row r="679" spans="6:33">
      <c r="F679" s="84"/>
      <c r="G679" s="84"/>
      <c r="AF679" s="84"/>
      <c r="AG679" s="84"/>
    </row>
    <row r="680" spans="6:33">
      <c r="F680" s="84"/>
      <c r="G680" s="84"/>
      <c r="AF680" s="84"/>
      <c r="AG680" s="84"/>
    </row>
    <row r="681" spans="6:33">
      <c r="F681" s="84"/>
      <c r="G681" s="84"/>
      <c r="AF681" s="84"/>
      <c r="AG681" s="84"/>
    </row>
    <row r="682" spans="6:33">
      <c r="F682" s="84"/>
      <c r="G682" s="84"/>
      <c r="AF682" s="84"/>
      <c r="AG682" s="84"/>
    </row>
    <row r="683" spans="6:33">
      <c r="F683" s="84"/>
      <c r="G683" s="84"/>
      <c r="AF683" s="84"/>
      <c r="AG683" s="84"/>
    </row>
    <row r="684" spans="6:33">
      <c r="F684" s="84"/>
      <c r="G684" s="84"/>
      <c r="AF684" s="84"/>
      <c r="AG684" s="84"/>
    </row>
    <row r="685" spans="6:33">
      <c r="F685" s="84"/>
      <c r="G685" s="84"/>
      <c r="AF685" s="84"/>
      <c r="AG685" s="84"/>
    </row>
    <row r="686" spans="6:33">
      <c r="F686" s="84"/>
      <c r="G686" s="84"/>
      <c r="AF686" s="84"/>
      <c r="AG686" s="84"/>
    </row>
    <row r="687" spans="6:33">
      <c r="F687" s="84"/>
      <c r="G687" s="84"/>
      <c r="AF687" s="84"/>
      <c r="AG687" s="84"/>
    </row>
    <row r="688" spans="6:33">
      <c r="F688" s="84"/>
      <c r="G688" s="84"/>
      <c r="AF688" s="84"/>
      <c r="AG688" s="84"/>
    </row>
    <row r="689" spans="6:33">
      <c r="F689" s="84"/>
      <c r="G689" s="84"/>
      <c r="AF689" s="84"/>
      <c r="AG689" s="84"/>
    </row>
    <row r="690" spans="6:33">
      <c r="F690" s="84"/>
      <c r="G690" s="84"/>
      <c r="AF690" s="84"/>
      <c r="AG690" s="84"/>
    </row>
    <row r="691" spans="6:33">
      <c r="F691" s="84"/>
      <c r="G691" s="84"/>
      <c r="AF691" s="84"/>
      <c r="AG691" s="84"/>
    </row>
    <row r="692" spans="6:33">
      <c r="F692" s="84"/>
      <c r="G692" s="84"/>
      <c r="AF692" s="84"/>
      <c r="AG692" s="84"/>
    </row>
    <row r="693" spans="6:33">
      <c r="F693" s="84"/>
      <c r="G693" s="84"/>
      <c r="AF693" s="84"/>
      <c r="AG693" s="84"/>
    </row>
    <row r="694" spans="6:33">
      <c r="F694" s="84"/>
      <c r="G694" s="84"/>
      <c r="AF694" s="84"/>
      <c r="AG694" s="84"/>
    </row>
    <row r="695" spans="6:33">
      <c r="F695" s="84"/>
      <c r="G695" s="84"/>
      <c r="AF695" s="84"/>
      <c r="AG695" s="84"/>
    </row>
    <row r="696" spans="6:33">
      <c r="F696" s="84"/>
      <c r="G696" s="84"/>
      <c r="AF696" s="84"/>
      <c r="AG696" s="84"/>
    </row>
    <row r="697" spans="6:33">
      <c r="F697" s="84"/>
      <c r="G697" s="84"/>
      <c r="AF697" s="84"/>
      <c r="AG697" s="84"/>
    </row>
    <row r="698" spans="6:33">
      <c r="F698" s="84"/>
      <c r="G698" s="84"/>
      <c r="AF698" s="84"/>
      <c r="AG698" s="84"/>
    </row>
    <row r="699" spans="6:33">
      <c r="F699" s="84"/>
      <c r="G699" s="84"/>
      <c r="AF699" s="84"/>
      <c r="AG699" s="84"/>
    </row>
    <row r="700" spans="6:33">
      <c r="F700" s="84"/>
      <c r="G700" s="84"/>
      <c r="AF700" s="84"/>
      <c r="AG700" s="84"/>
    </row>
    <row r="701" spans="6:33">
      <c r="F701" s="84"/>
      <c r="G701" s="84"/>
      <c r="AF701" s="84"/>
      <c r="AG701" s="84"/>
    </row>
    <row r="702" spans="6:33">
      <c r="F702" s="84"/>
      <c r="G702" s="84"/>
      <c r="AF702" s="84"/>
      <c r="AG702" s="84"/>
    </row>
    <row r="703" spans="6:33">
      <c r="F703" s="84"/>
      <c r="G703" s="84"/>
      <c r="AF703" s="84"/>
      <c r="AG703" s="84"/>
    </row>
    <row r="704" spans="6:33">
      <c r="F704" s="84"/>
      <c r="G704" s="84"/>
      <c r="AF704" s="84"/>
      <c r="AG704" s="84"/>
    </row>
    <row r="705" spans="6:33">
      <c r="F705" s="84"/>
      <c r="G705" s="84"/>
      <c r="AF705" s="84"/>
      <c r="AG705" s="84"/>
    </row>
    <row r="706" spans="6:33">
      <c r="F706" s="84"/>
      <c r="G706" s="84"/>
      <c r="AF706" s="84"/>
      <c r="AG706" s="84"/>
    </row>
    <row r="707" spans="6:33">
      <c r="F707" s="84"/>
      <c r="G707" s="84"/>
      <c r="AF707" s="84"/>
      <c r="AG707" s="84"/>
    </row>
    <row r="708" spans="6:33">
      <c r="F708" s="84"/>
      <c r="G708" s="84"/>
      <c r="AF708" s="84"/>
      <c r="AG708" s="84"/>
    </row>
    <row r="709" spans="6:33">
      <c r="F709" s="84"/>
      <c r="G709" s="84"/>
      <c r="AF709" s="84"/>
      <c r="AG709" s="84"/>
    </row>
    <row r="710" spans="6:33">
      <c r="F710" s="84"/>
      <c r="G710" s="84"/>
      <c r="AF710" s="84"/>
      <c r="AG710" s="84"/>
    </row>
    <row r="711" spans="6:33">
      <c r="F711" s="84"/>
      <c r="G711" s="84"/>
      <c r="AF711" s="84"/>
      <c r="AG711" s="84"/>
    </row>
    <row r="712" spans="6:33">
      <c r="F712" s="84"/>
      <c r="G712" s="84"/>
      <c r="AF712" s="84"/>
      <c r="AG712" s="84"/>
    </row>
    <row r="713" spans="6:33">
      <c r="F713" s="84"/>
      <c r="G713" s="84"/>
      <c r="AF713" s="84"/>
      <c r="AG713" s="84"/>
    </row>
    <row r="714" spans="6:33">
      <c r="F714" s="84"/>
      <c r="G714" s="84"/>
      <c r="AF714" s="84"/>
      <c r="AG714" s="84"/>
    </row>
    <row r="715" spans="6:33">
      <c r="F715" s="84"/>
      <c r="G715" s="84"/>
      <c r="AF715" s="84"/>
      <c r="AG715" s="84"/>
    </row>
    <row r="716" spans="6:33">
      <c r="F716" s="84"/>
      <c r="G716" s="84"/>
      <c r="AF716" s="84"/>
      <c r="AG716" s="84"/>
    </row>
    <row r="717" spans="6:33">
      <c r="F717" s="84"/>
      <c r="G717" s="84"/>
      <c r="AF717" s="84"/>
      <c r="AG717" s="84"/>
    </row>
    <row r="718" spans="6:33">
      <c r="F718" s="84"/>
      <c r="G718" s="84"/>
      <c r="AF718" s="84"/>
      <c r="AG718" s="84"/>
    </row>
    <row r="719" spans="6:33">
      <c r="F719" s="84"/>
      <c r="G719" s="84"/>
      <c r="AF719" s="84"/>
      <c r="AG719" s="84"/>
    </row>
    <row r="720" spans="6:33">
      <c r="F720" s="84"/>
      <c r="G720" s="84"/>
      <c r="AF720" s="84"/>
      <c r="AG720" s="84"/>
    </row>
    <row r="721" spans="6:33">
      <c r="F721" s="84"/>
      <c r="G721" s="84"/>
      <c r="AF721" s="84"/>
      <c r="AG721" s="84"/>
    </row>
    <row r="722" spans="6:33">
      <c r="F722" s="84"/>
      <c r="G722" s="84"/>
      <c r="AF722" s="84"/>
      <c r="AG722" s="84"/>
    </row>
    <row r="723" spans="6:33">
      <c r="F723" s="84"/>
      <c r="G723" s="84"/>
      <c r="AF723" s="84"/>
      <c r="AG723" s="84"/>
    </row>
    <row r="724" spans="6:33">
      <c r="F724" s="84"/>
      <c r="G724" s="84"/>
      <c r="AF724" s="84"/>
      <c r="AG724" s="84"/>
    </row>
    <row r="725" spans="6:33">
      <c r="F725" s="84"/>
      <c r="G725" s="84"/>
      <c r="AF725" s="84"/>
      <c r="AG725" s="84"/>
    </row>
    <row r="726" spans="6:33">
      <c r="F726" s="84"/>
      <c r="G726" s="84"/>
      <c r="AF726" s="84"/>
      <c r="AG726" s="84"/>
    </row>
    <row r="727" spans="6:33">
      <c r="F727" s="84"/>
      <c r="G727" s="84"/>
      <c r="AF727" s="84"/>
      <c r="AG727" s="84"/>
    </row>
    <row r="728" spans="6:33">
      <c r="F728" s="84"/>
      <c r="G728" s="84"/>
      <c r="AF728" s="84"/>
      <c r="AG728" s="84"/>
    </row>
    <row r="729" spans="6:33">
      <c r="F729" s="84"/>
      <c r="G729" s="84"/>
      <c r="AF729" s="84"/>
      <c r="AG729" s="84"/>
    </row>
    <row r="730" spans="6:33">
      <c r="F730" s="84"/>
      <c r="G730" s="84"/>
      <c r="AF730" s="84"/>
      <c r="AG730" s="84"/>
    </row>
    <row r="731" spans="6:33">
      <c r="F731" s="84"/>
      <c r="G731" s="84"/>
      <c r="AF731" s="84"/>
      <c r="AG731" s="84"/>
    </row>
    <row r="732" spans="6:33">
      <c r="F732" s="84"/>
      <c r="G732" s="84"/>
      <c r="AF732" s="84"/>
      <c r="AG732" s="84"/>
    </row>
    <row r="733" spans="6:33">
      <c r="F733" s="84"/>
      <c r="G733" s="84"/>
      <c r="AF733" s="84"/>
      <c r="AG733" s="84"/>
    </row>
    <row r="734" spans="6:33">
      <c r="F734" s="84"/>
      <c r="G734" s="84"/>
      <c r="AF734" s="84"/>
      <c r="AG734" s="84"/>
    </row>
    <row r="735" spans="6:33">
      <c r="F735" s="84"/>
      <c r="G735" s="84"/>
      <c r="AF735" s="84"/>
      <c r="AG735" s="84"/>
    </row>
    <row r="736" spans="6:33">
      <c r="F736" s="84"/>
      <c r="G736" s="84"/>
      <c r="AF736" s="84"/>
      <c r="AG736" s="84"/>
    </row>
    <row r="737" spans="6:33">
      <c r="F737" s="84"/>
      <c r="G737" s="84"/>
      <c r="AF737" s="84"/>
      <c r="AG737" s="84"/>
    </row>
    <row r="738" spans="6:33">
      <c r="F738" s="84"/>
      <c r="G738" s="84"/>
      <c r="AF738" s="84"/>
      <c r="AG738" s="84"/>
    </row>
    <row r="739" spans="6:33">
      <c r="F739" s="84"/>
      <c r="G739" s="84"/>
      <c r="AF739" s="84"/>
      <c r="AG739" s="84"/>
    </row>
    <row r="740" spans="6:33">
      <c r="F740" s="84"/>
      <c r="G740" s="84"/>
      <c r="AF740" s="84"/>
      <c r="AG740" s="84"/>
    </row>
    <row r="741" spans="6:33">
      <c r="F741" s="84"/>
      <c r="G741" s="84"/>
      <c r="AF741" s="84"/>
      <c r="AG741" s="84"/>
    </row>
    <row r="742" spans="6:33">
      <c r="F742" s="84"/>
      <c r="G742" s="84"/>
      <c r="AF742" s="84"/>
      <c r="AG742" s="84"/>
    </row>
    <row r="743" spans="6:33">
      <c r="F743" s="84"/>
      <c r="G743" s="84"/>
      <c r="AF743" s="84"/>
      <c r="AG743" s="84"/>
    </row>
    <row r="744" spans="6:33">
      <c r="F744" s="84"/>
      <c r="G744" s="84"/>
      <c r="AF744" s="84"/>
      <c r="AG744" s="84"/>
    </row>
    <row r="745" spans="6:33">
      <c r="F745" s="84"/>
      <c r="G745" s="84"/>
      <c r="AF745" s="84"/>
      <c r="AG745" s="84"/>
    </row>
    <row r="746" spans="6:33">
      <c r="F746" s="84"/>
      <c r="G746" s="84"/>
      <c r="AF746" s="84"/>
      <c r="AG746" s="84"/>
    </row>
    <row r="747" spans="6:33">
      <c r="F747" s="84"/>
      <c r="G747" s="84"/>
      <c r="AF747" s="84"/>
      <c r="AG747" s="84"/>
    </row>
    <row r="748" spans="6:33">
      <c r="F748" s="84"/>
      <c r="G748" s="84"/>
      <c r="AF748" s="84"/>
      <c r="AG748" s="84"/>
    </row>
    <row r="749" spans="6:33">
      <c r="F749" s="84"/>
      <c r="G749" s="84"/>
      <c r="AF749" s="84"/>
      <c r="AG749" s="84"/>
    </row>
    <row r="750" spans="6:33">
      <c r="F750" s="84"/>
      <c r="G750" s="84"/>
      <c r="AF750" s="84"/>
      <c r="AG750" s="84"/>
    </row>
    <row r="751" spans="6:33">
      <c r="F751" s="84"/>
      <c r="G751" s="84"/>
      <c r="AF751" s="84"/>
      <c r="AG751" s="84"/>
    </row>
    <row r="752" spans="6:33">
      <c r="F752" s="84"/>
      <c r="G752" s="84"/>
      <c r="AF752" s="84"/>
      <c r="AG752" s="84"/>
    </row>
    <row r="753" spans="6:33">
      <c r="F753" s="84"/>
      <c r="G753" s="84"/>
      <c r="AF753" s="84"/>
      <c r="AG753" s="84"/>
    </row>
    <row r="754" spans="6:33">
      <c r="F754" s="84"/>
      <c r="G754" s="84"/>
      <c r="AF754" s="84"/>
      <c r="AG754" s="84"/>
    </row>
    <row r="755" spans="6:33">
      <c r="F755" s="84"/>
      <c r="G755" s="84"/>
      <c r="AF755" s="84"/>
      <c r="AG755" s="84"/>
    </row>
    <row r="756" spans="6:33">
      <c r="F756" s="84"/>
      <c r="G756" s="84"/>
      <c r="AF756" s="84"/>
      <c r="AG756" s="84"/>
    </row>
    <row r="757" spans="6:33">
      <c r="F757" s="84"/>
      <c r="G757" s="84"/>
      <c r="AF757" s="84"/>
      <c r="AG757" s="84"/>
    </row>
    <row r="758" spans="6:33">
      <c r="F758" s="84"/>
      <c r="G758" s="84"/>
      <c r="AF758" s="84"/>
      <c r="AG758" s="84"/>
    </row>
    <row r="759" spans="6:33">
      <c r="F759" s="84"/>
      <c r="G759" s="84"/>
      <c r="AF759" s="84"/>
      <c r="AG759" s="84"/>
    </row>
    <row r="760" spans="6:33">
      <c r="F760" s="84"/>
      <c r="G760" s="84"/>
      <c r="AF760" s="84"/>
      <c r="AG760" s="84"/>
    </row>
    <row r="761" spans="6:33">
      <c r="F761" s="84"/>
      <c r="G761" s="84"/>
      <c r="AF761" s="84"/>
      <c r="AG761" s="84"/>
    </row>
    <row r="762" spans="6:33">
      <c r="F762" s="84"/>
      <c r="G762" s="84"/>
      <c r="AF762" s="84"/>
      <c r="AG762" s="84"/>
    </row>
    <row r="763" spans="6:33">
      <c r="F763" s="84"/>
      <c r="G763" s="84"/>
      <c r="AF763" s="84"/>
      <c r="AG763" s="84"/>
    </row>
    <row r="764" spans="6:33">
      <c r="F764" s="84"/>
      <c r="G764" s="84"/>
      <c r="AF764" s="84"/>
      <c r="AG764" s="84"/>
    </row>
    <row r="765" spans="6:33">
      <c r="F765" s="84"/>
      <c r="G765" s="84"/>
      <c r="AF765" s="84"/>
      <c r="AG765" s="84"/>
    </row>
    <row r="766" spans="6:33">
      <c r="F766" s="84"/>
      <c r="G766" s="84"/>
      <c r="AF766" s="84"/>
      <c r="AG766" s="84"/>
    </row>
    <row r="767" spans="6:33">
      <c r="F767" s="84"/>
      <c r="G767" s="84"/>
      <c r="AF767" s="84"/>
      <c r="AG767" s="84"/>
    </row>
    <row r="768" spans="6:33">
      <c r="F768" s="84"/>
      <c r="G768" s="84"/>
      <c r="AF768" s="84"/>
      <c r="AG768" s="84"/>
    </row>
    <row r="769" spans="6:33">
      <c r="F769" s="84"/>
      <c r="G769" s="84"/>
      <c r="AF769" s="84"/>
      <c r="AG769" s="84"/>
    </row>
    <row r="770" spans="6:33">
      <c r="F770" s="84"/>
      <c r="G770" s="84"/>
      <c r="AF770" s="84"/>
      <c r="AG770" s="84"/>
    </row>
    <row r="771" spans="6:33">
      <c r="F771" s="84"/>
      <c r="G771" s="84"/>
      <c r="AF771" s="84"/>
      <c r="AG771" s="84"/>
    </row>
    <row r="772" spans="6:33">
      <c r="F772" s="84"/>
      <c r="G772" s="84"/>
      <c r="AF772" s="84"/>
      <c r="AG772" s="84"/>
    </row>
    <row r="773" spans="6:33">
      <c r="F773" s="84"/>
      <c r="G773" s="84"/>
      <c r="AF773" s="84"/>
      <c r="AG773" s="84"/>
    </row>
    <row r="774" spans="6:33">
      <c r="F774" s="84"/>
      <c r="G774" s="84"/>
      <c r="AF774" s="84"/>
      <c r="AG774" s="84"/>
    </row>
    <row r="775" spans="6:33">
      <c r="F775" s="84"/>
      <c r="G775" s="84"/>
      <c r="AF775" s="84"/>
      <c r="AG775" s="84"/>
    </row>
    <row r="776" spans="6:33">
      <c r="F776" s="84"/>
      <c r="G776" s="84"/>
      <c r="AF776" s="84"/>
      <c r="AG776" s="84"/>
    </row>
    <row r="777" spans="6:33">
      <c r="F777" s="84"/>
      <c r="G777" s="84"/>
      <c r="AF777" s="84"/>
      <c r="AG777" s="84"/>
    </row>
    <row r="778" spans="6:33">
      <c r="F778" s="84"/>
      <c r="G778" s="84"/>
      <c r="AF778" s="84"/>
      <c r="AG778" s="84"/>
    </row>
    <row r="779" spans="6:33">
      <c r="F779" s="84"/>
      <c r="G779" s="84"/>
      <c r="AF779" s="84"/>
      <c r="AG779" s="84"/>
    </row>
    <row r="780" spans="6:33">
      <c r="F780" s="84"/>
      <c r="G780" s="84"/>
      <c r="AF780" s="84"/>
      <c r="AG780" s="84"/>
    </row>
    <row r="781" spans="6:33">
      <c r="F781" s="84"/>
      <c r="G781" s="84"/>
      <c r="AF781" s="84"/>
      <c r="AG781" s="84"/>
    </row>
    <row r="782" spans="6:33">
      <c r="F782" s="84"/>
      <c r="G782" s="84"/>
      <c r="AF782" s="84"/>
      <c r="AG782" s="84"/>
    </row>
    <row r="783" spans="6:33">
      <c r="F783" s="84"/>
      <c r="G783" s="84"/>
      <c r="AF783" s="84"/>
      <c r="AG783" s="84"/>
    </row>
    <row r="784" spans="6:33">
      <c r="F784" s="84"/>
      <c r="G784" s="84"/>
      <c r="AF784" s="84"/>
      <c r="AG784" s="84"/>
    </row>
    <row r="785" spans="6:33">
      <c r="F785" s="84"/>
      <c r="G785" s="84"/>
      <c r="AF785" s="84"/>
      <c r="AG785" s="84"/>
    </row>
    <row r="786" spans="6:33">
      <c r="F786" s="84"/>
      <c r="G786" s="84"/>
      <c r="AF786" s="84"/>
      <c r="AG786" s="84"/>
    </row>
    <row r="787" spans="6:33">
      <c r="F787" s="84"/>
      <c r="G787" s="84"/>
      <c r="AF787" s="84"/>
      <c r="AG787" s="84"/>
    </row>
    <row r="788" spans="6:33">
      <c r="F788" s="84"/>
      <c r="G788" s="84"/>
      <c r="AF788" s="84"/>
      <c r="AG788" s="84"/>
    </row>
    <row r="789" spans="6:33">
      <c r="F789" s="84"/>
      <c r="G789" s="84"/>
      <c r="AF789" s="84"/>
      <c r="AG789" s="84"/>
    </row>
    <row r="790" spans="6:33">
      <c r="F790" s="84"/>
      <c r="G790" s="84"/>
      <c r="AF790" s="84"/>
      <c r="AG790" s="84"/>
    </row>
    <row r="791" spans="6:33">
      <c r="F791" s="84"/>
      <c r="G791" s="84"/>
      <c r="AF791" s="84"/>
      <c r="AG791" s="84"/>
    </row>
    <row r="792" spans="6:33">
      <c r="F792" s="84"/>
      <c r="G792" s="84"/>
      <c r="AF792" s="84"/>
      <c r="AG792" s="84"/>
    </row>
    <row r="793" spans="6:33">
      <c r="F793" s="84"/>
      <c r="G793" s="84"/>
      <c r="AF793" s="84"/>
      <c r="AG793" s="84"/>
    </row>
    <row r="794" spans="6:33">
      <c r="F794" s="84"/>
      <c r="G794" s="84"/>
      <c r="AF794" s="84"/>
      <c r="AG794" s="84"/>
    </row>
    <row r="795" spans="6:33">
      <c r="F795" s="84"/>
      <c r="G795" s="84"/>
      <c r="AF795" s="84"/>
      <c r="AG795" s="84"/>
    </row>
    <row r="796" spans="6:33">
      <c r="F796" s="84"/>
      <c r="G796" s="84"/>
      <c r="AF796" s="84"/>
      <c r="AG796" s="84"/>
    </row>
    <row r="797" spans="6:33">
      <c r="F797" s="84"/>
      <c r="G797" s="84"/>
      <c r="AF797" s="84"/>
      <c r="AG797" s="84"/>
    </row>
    <row r="798" spans="6:33">
      <c r="F798" s="84"/>
      <c r="G798" s="84"/>
      <c r="AF798" s="84"/>
      <c r="AG798" s="84"/>
    </row>
    <row r="799" spans="6:33">
      <c r="F799" s="84"/>
      <c r="G799" s="84"/>
      <c r="AF799" s="84"/>
      <c r="AG799" s="84"/>
    </row>
    <row r="800" spans="6:33">
      <c r="F800" s="84"/>
      <c r="G800" s="84"/>
      <c r="AF800" s="84"/>
      <c r="AG800" s="84"/>
    </row>
    <row r="801" spans="6:33">
      <c r="F801" s="84"/>
      <c r="G801" s="84"/>
      <c r="AF801" s="84"/>
      <c r="AG801" s="84"/>
    </row>
    <row r="802" spans="6:33">
      <c r="F802" s="84"/>
      <c r="G802" s="84"/>
      <c r="AF802" s="84"/>
      <c r="AG802" s="84"/>
    </row>
    <row r="803" spans="6:33">
      <c r="F803" s="84"/>
      <c r="G803" s="84"/>
      <c r="AF803" s="84"/>
      <c r="AG803" s="84"/>
    </row>
    <row r="804" spans="6:33">
      <c r="F804" s="84"/>
      <c r="G804" s="84"/>
      <c r="AF804" s="84"/>
      <c r="AG804" s="84"/>
    </row>
    <row r="805" spans="6:33">
      <c r="F805" s="84"/>
      <c r="G805" s="84"/>
      <c r="AF805" s="84"/>
      <c r="AG805" s="84"/>
    </row>
    <row r="806" spans="6:33">
      <c r="F806" s="84"/>
      <c r="G806" s="84"/>
      <c r="AF806" s="84"/>
      <c r="AG806" s="84"/>
    </row>
    <row r="807" spans="6:33">
      <c r="F807" s="84"/>
      <c r="G807" s="84"/>
      <c r="AF807" s="84"/>
      <c r="AG807" s="84"/>
    </row>
    <row r="808" spans="6:33">
      <c r="F808" s="84"/>
      <c r="G808" s="84"/>
      <c r="AF808" s="84"/>
      <c r="AG808" s="84"/>
    </row>
    <row r="809" spans="6:33">
      <c r="F809" s="84"/>
      <c r="G809" s="84"/>
      <c r="AF809" s="84"/>
      <c r="AG809" s="84"/>
    </row>
    <row r="810" spans="6:33">
      <c r="F810" s="84"/>
      <c r="G810" s="84"/>
      <c r="AF810" s="84"/>
      <c r="AG810" s="84"/>
    </row>
    <row r="811" spans="6:33">
      <c r="F811" s="84"/>
      <c r="G811" s="84"/>
      <c r="AF811" s="84"/>
      <c r="AG811" s="84"/>
    </row>
    <row r="812" spans="6:33">
      <c r="F812" s="84"/>
      <c r="G812" s="84"/>
      <c r="AF812" s="84"/>
      <c r="AG812" s="84"/>
    </row>
    <row r="813" spans="6:33">
      <c r="F813" s="84"/>
      <c r="G813" s="84"/>
      <c r="AF813" s="84"/>
      <c r="AG813" s="84"/>
    </row>
    <row r="814" spans="6:33">
      <c r="F814" s="84"/>
      <c r="G814" s="84"/>
      <c r="AF814" s="84"/>
      <c r="AG814" s="84"/>
    </row>
    <row r="815" spans="6:33">
      <c r="F815" s="84"/>
      <c r="G815" s="84"/>
      <c r="AF815" s="84"/>
      <c r="AG815" s="84"/>
    </row>
    <row r="816" spans="6:33">
      <c r="F816" s="84"/>
      <c r="G816" s="84"/>
      <c r="AF816" s="84"/>
      <c r="AG816" s="84"/>
    </row>
    <row r="817" spans="6:33">
      <c r="F817" s="84"/>
      <c r="G817" s="84"/>
      <c r="AF817" s="84"/>
      <c r="AG817" s="84"/>
    </row>
    <row r="818" spans="6:33">
      <c r="F818" s="84"/>
      <c r="G818" s="84"/>
      <c r="AF818" s="84"/>
      <c r="AG818" s="84"/>
    </row>
    <row r="819" spans="6:33">
      <c r="F819" s="84"/>
      <c r="G819" s="84"/>
      <c r="AF819" s="84"/>
      <c r="AG819" s="84"/>
    </row>
    <row r="820" spans="6:33">
      <c r="F820" s="84"/>
      <c r="G820" s="84"/>
      <c r="AF820" s="84"/>
      <c r="AG820" s="84"/>
    </row>
    <row r="821" spans="6:33">
      <c r="F821" s="84"/>
      <c r="G821" s="84"/>
      <c r="AF821" s="84"/>
      <c r="AG821" s="84"/>
    </row>
    <row r="822" spans="6:33">
      <c r="F822" s="84"/>
      <c r="G822" s="84"/>
      <c r="AF822" s="84"/>
      <c r="AG822" s="84"/>
    </row>
    <row r="823" spans="6:33">
      <c r="F823" s="84"/>
      <c r="G823" s="84"/>
      <c r="AF823" s="84"/>
      <c r="AG823" s="84"/>
    </row>
    <row r="824" spans="6:33">
      <c r="F824" s="84"/>
      <c r="G824" s="84"/>
      <c r="AF824" s="84"/>
      <c r="AG824" s="84"/>
    </row>
    <row r="825" spans="6:33">
      <c r="F825" s="84"/>
      <c r="G825" s="84"/>
      <c r="AF825" s="84"/>
      <c r="AG825" s="84"/>
    </row>
    <row r="826" spans="6:33">
      <c r="F826" s="84"/>
      <c r="G826" s="84"/>
      <c r="AF826" s="84"/>
      <c r="AG826" s="84"/>
    </row>
    <row r="827" spans="6:33">
      <c r="F827" s="84"/>
      <c r="G827" s="84"/>
      <c r="AF827" s="84"/>
      <c r="AG827" s="84"/>
    </row>
    <row r="828" spans="6:33">
      <c r="F828" s="84"/>
      <c r="G828" s="84"/>
      <c r="AF828" s="84"/>
      <c r="AG828" s="84"/>
    </row>
    <row r="829" spans="6:33">
      <c r="F829" s="84"/>
      <c r="G829" s="84"/>
      <c r="AF829" s="84"/>
      <c r="AG829" s="84"/>
    </row>
    <row r="830" spans="6:33">
      <c r="F830" s="84"/>
      <c r="G830" s="84"/>
      <c r="AF830" s="84"/>
      <c r="AG830" s="84"/>
    </row>
    <row r="831" spans="6:33">
      <c r="F831" s="84"/>
      <c r="G831" s="84"/>
      <c r="AF831" s="84"/>
      <c r="AG831" s="84"/>
    </row>
    <row r="832" spans="6:33">
      <c r="F832" s="84"/>
      <c r="G832" s="84"/>
      <c r="AF832" s="84"/>
      <c r="AG832" s="84"/>
    </row>
    <row r="833" spans="6:33">
      <c r="F833" s="84"/>
      <c r="G833" s="84"/>
      <c r="AF833" s="84"/>
      <c r="AG833" s="84"/>
    </row>
    <row r="834" spans="6:33">
      <c r="F834" s="84"/>
      <c r="G834" s="84"/>
      <c r="AF834" s="84"/>
      <c r="AG834" s="84"/>
    </row>
    <row r="835" spans="6:33">
      <c r="F835" s="84"/>
      <c r="G835" s="84"/>
      <c r="AF835" s="84"/>
      <c r="AG835" s="84"/>
    </row>
    <row r="836" spans="6:33">
      <c r="F836" s="84"/>
      <c r="G836" s="84"/>
      <c r="AF836" s="84"/>
      <c r="AG836" s="84"/>
    </row>
    <row r="837" spans="6:33">
      <c r="F837" s="84"/>
      <c r="G837" s="84"/>
      <c r="AF837" s="84"/>
      <c r="AG837" s="84"/>
    </row>
    <row r="838" spans="6:33">
      <c r="F838" s="84"/>
      <c r="G838" s="84"/>
      <c r="AF838" s="84"/>
      <c r="AG838" s="84"/>
    </row>
    <row r="839" spans="6:33">
      <c r="F839" s="84"/>
      <c r="G839" s="84"/>
      <c r="AF839" s="84"/>
      <c r="AG839" s="84"/>
    </row>
    <row r="840" spans="6:33">
      <c r="F840" s="84"/>
      <c r="G840" s="84"/>
      <c r="AF840" s="84"/>
      <c r="AG840" s="84"/>
    </row>
    <row r="841" spans="6:33">
      <c r="F841" s="84"/>
      <c r="G841" s="84"/>
      <c r="AF841" s="84"/>
      <c r="AG841" s="84"/>
    </row>
    <row r="842" spans="6:33">
      <c r="F842" s="84"/>
      <c r="G842" s="84"/>
      <c r="AF842" s="84"/>
      <c r="AG842" s="84"/>
    </row>
    <row r="843" spans="6:33">
      <c r="F843" s="84"/>
      <c r="G843" s="84"/>
      <c r="AF843" s="84"/>
      <c r="AG843" s="84"/>
    </row>
    <row r="844" spans="6:33">
      <c r="F844" s="84"/>
      <c r="G844" s="84"/>
      <c r="AF844" s="84"/>
      <c r="AG844" s="84"/>
    </row>
    <row r="845" spans="6:33">
      <c r="F845" s="84"/>
      <c r="G845" s="84"/>
      <c r="AF845" s="84"/>
      <c r="AG845" s="84"/>
    </row>
    <row r="846" spans="6:33">
      <c r="F846" s="84"/>
      <c r="G846" s="84"/>
      <c r="AF846" s="84"/>
      <c r="AG846" s="84"/>
    </row>
    <row r="847" spans="6:33">
      <c r="F847" s="84"/>
      <c r="G847" s="84"/>
      <c r="AF847" s="84"/>
      <c r="AG847" s="84"/>
    </row>
    <row r="848" spans="6:33">
      <c r="F848" s="84"/>
      <c r="G848" s="84"/>
      <c r="AF848" s="84"/>
      <c r="AG848" s="84"/>
    </row>
    <row r="849" spans="6:33">
      <c r="F849" s="84"/>
      <c r="G849" s="84"/>
      <c r="AF849" s="84"/>
      <c r="AG849" s="84"/>
    </row>
    <row r="850" spans="6:33">
      <c r="F850" s="84"/>
      <c r="G850" s="84"/>
      <c r="AF850" s="84"/>
      <c r="AG850" s="84"/>
    </row>
    <row r="851" spans="6:33">
      <c r="F851" s="84"/>
      <c r="G851" s="84"/>
      <c r="AF851" s="84"/>
      <c r="AG851" s="84"/>
    </row>
    <row r="852" spans="6:33">
      <c r="F852" s="84"/>
      <c r="G852" s="84"/>
      <c r="AF852" s="84"/>
      <c r="AG852" s="84"/>
    </row>
    <row r="853" spans="6:33">
      <c r="F853" s="84"/>
      <c r="G853" s="84"/>
      <c r="AF853" s="84"/>
      <c r="AG853" s="84"/>
    </row>
    <row r="854" spans="6:33">
      <c r="F854" s="84"/>
      <c r="G854" s="84"/>
      <c r="AF854" s="84"/>
      <c r="AG854" s="84"/>
    </row>
    <row r="855" spans="6:33">
      <c r="F855" s="84"/>
      <c r="G855" s="84"/>
      <c r="AF855" s="84"/>
      <c r="AG855" s="84"/>
    </row>
    <row r="856" spans="6:33">
      <c r="F856" s="84"/>
      <c r="G856" s="84"/>
      <c r="AF856" s="84"/>
      <c r="AG856" s="84"/>
    </row>
    <row r="857" spans="6:33">
      <c r="F857" s="84"/>
      <c r="G857" s="84"/>
      <c r="AF857" s="84"/>
      <c r="AG857" s="84"/>
    </row>
    <row r="858" spans="6:33">
      <c r="F858" s="84"/>
      <c r="G858" s="84"/>
      <c r="AF858" s="84"/>
      <c r="AG858" s="84"/>
    </row>
    <row r="859" spans="6:33">
      <c r="F859" s="84"/>
      <c r="G859" s="84"/>
      <c r="AF859" s="84"/>
      <c r="AG859" s="84"/>
    </row>
    <row r="860" spans="6:33">
      <c r="F860" s="84"/>
      <c r="G860" s="84"/>
      <c r="AF860" s="84"/>
      <c r="AG860" s="84"/>
    </row>
    <row r="861" spans="6:33">
      <c r="F861" s="84"/>
      <c r="G861" s="84"/>
      <c r="AF861" s="84"/>
      <c r="AG861" s="84"/>
    </row>
    <row r="862" spans="6:33">
      <c r="F862" s="84"/>
      <c r="G862" s="84"/>
      <c r="AF862" s="84"/>
      <c r="AG862" s="84"/>
    </row>
    <row r="863" spans="6:33">
      <c r="F863" s="84"/>
      <c r="G863" s="84"/>
      <c r="AF863" s="84"/>
      <c r="AG863" s="84"/>
    </row>
    <row r="864" spans="6:33">
      <c r="F864" s="84"/>
      <c r="G864" s="84"/>
      <c r="AF864" s="84"/>
      <c r="AG864" s="84"/>
    </row>
    <row r="865" spans="6:33">
      <c r="F865" s="84"/>
      <c r="G865" s="84"/>
      <c r="AF865" s="84"/>
      <c r="AG865" s="84"/>
    </row>
    <row r="866" spans="6:33">
      <c r="F866" s="84"/>
      <c r="G866" s="84"/>
      <c r="AF866" s="84"/>
      <c r="AG866" s="84"/>
    </row>
    <row r="867" spans="6:33">
      <c r="F867" s="84"/>
      <c r="G867" s="84"/>
      <c r="AF867" s="84"/>
      <c r="AG867" s="84"/>
    </row>
    <row r="868" spans="6:33">
      <c r="F868" s="84"/>
      <c r="G868" s="84"/>
      <c r="AF868" s="84"/>
      <c r="AG868" s="84"/>
    </row>
    <row r="869" spans="6:33">
      <c r="F869" s="84"/>
      <c r="G869" s="84"/>
      <c r="AF869" s="84"/>
      <c r="AG869" s="84"/>
    </row>
    <row r="870" spans="6:33">
      <c r="F870" s="84"/>
      <c r="G870" s="84"/>
      <c r="AF870" s="84"/>
      <c r="AG870" s="84"/>
    </row>
    <row r="871" spans="6:33">
      <c r="F871" s="84"/>
      <c r="G871" s="84"/>
      <c r="AF871" s="84"/>
      <c r="AG871" s="84"/>
    </row>
    <row r="872" spans="6:33">
      <c r="F872" s="84"/>
      <c r="G872" s="84"/>
      <c r="AF872" s="84"/>
      <c r="AG872" s="84"/>
    </row>
    <row r="873" spans="6:33">
      <c r="F873" s="84"/>
      <c r="G873" s="84"/>
      <c r="AF873" s="84"/>
      <c r="AG873" s="84"/>
    </row>
    <row r="874" spans="6:33">
      <c r="F874" s="84"/>
      <c r="G874" s="84"/>
      <c r="AF874" s="84"/>
      <c r="AG874" s="84"/>
    </row>
    <row r="875" spans="6:33">
      <c r="F875" s="84"/>
      <c r="G875" s="84"/>
      <c r="AF875" s="84"/>
      <c r="AG875" s="84"/>
    </row>
    <row r="876" spans="6:33">
      <c r="F876" s="84"/>
      <c r="G876" s="84"/>
      <c r="AF876" s="84"/>
      <c r="AG876" s="84"/>
    </row>
    <row r="877" spans="6:33">
      <c r="F877" s="84"/>
      <c r="G877" s="84"/>
      <c r="AF877" s="84"/>
      <c r="AG877" s="84"/>
    </row>
    <row r="878" spans="6:33">
      <c r="F878" s="84"/>
      <c r="G878" s="84"/>
      <c r="AF878" s="84"/>
      <c r="AG878" s="84"/>
    </row>
    <row r="879" spans="6:33">
      <c r="F879" s="84"/>
      <c r="G879" s="84"/>
      <c r="AF879" s="84"/>
      <c r="AG879" s="84"/>
    </row>
    <row r="880" spans="6:33">
      <c r="F880" s="84"/>
      <c r="G880" s="84"/>
      <c r="AF880" s="84"/>
      <c r="AG880" s="84"/>
    </row>
    <row r="881" spans="6:33">
      <c r="F881" s="84"/>
      <c r="G881" s="84"/>
      <c r="AF881" s="84"/>
      <c r="AG881" s="84"/>
    </row>
    <row r="882" spans="6:33">
      <c r="F882" s="84"/>
      <c r="G882" s="84"/>
      <c r="AF882" s="84"/>
      <c r="AG882" s="84"/>
    </row>
    <row r="883" spans="6:33">
      <c r="F883" s="84"/>
      <c r="G883" s="84"/>
      <c r="AF883" s="84"/>
      <c r="AG883" s="84"/>
    </row>
    <row r="884" spans="6:33">
      <c r="F884" s="84"/>
      <c r="G884" s="84"/>
      <c r="AF884" s="84"/>
      <c r="AG884" s="84"/>
    </row>
    <row r="885" spans="6:33">
      <c r="F885" s="84"/>
      <c r="G885" s="84"/>
      <c r="AF885" s="84"/>
      <c r="AG885" s="84"/>
    </row>
    <row r="886" spans="6:33">
      <c r="F886" s="84"/>
      <c r="G886" s="84"/>
      <c r="AF886" s="84"/>
      <c r="AG886" s="84"/>
    </row>
    <row r="887" spans="6:33">
      <c r="F887" s="84"/>
      <c r="G887" s="84"/>
      <c r="AF887" s="84"/>
      <c r="AG887" s="84"/>
    </row>
    <row r="888" spans="6:33">
      <c r="F888" s="84"/>
      <c r="G888" s="84"/>
      <c r="AF888" s="84"/>
      <c r="AG888" s="84"/>
    </row>
    <row r="889" spans="6:33">
      <c r="F889" s="84"/>
      <c r="G889" s="84"/>
      <c r="AF889" s="84"/>
      <c r="AG889" s="84"/>
    </row>
    <row r="890" spans="6:33">
      <c r="F890" s="84"/>
      <c r="G890" s="84"/>
      <c r="AF890" s="84"/>
      <c r="AG890" s="84"/>
    </row>
    <row r="891" spans="6:33">
      <c r="F891" s="84"/>
      <c r="G891" s="84"/>
      <c r="AF891" s="84"/>
      <c r="AG891" s="84"/>
    </row>
    <row r="892" spans="6:33">
      <c r="F892" s="84"/>
      <c r="G892" s="84"/>
      <c r="AF892" s="84"/>
      <c r="AG892" s="84"/>
    </row>
    <row r="893" spans="6:33">
      <c r="F893" s="84"/>
      <c r="G893" s="84"/>
      <c r="AF893" s="84"/>
      <c r="AG893" s="84"/>
    </row>
    <row r="894" spans="6:33">
      <c r="F894" s="84"/>
      <c r="G894" s="84"/>
      <c r="AF894" s="84"/>
      <c r="AG894" s="84"/>
    </row>
    <row r="895" spans="6:33">
      <c r="F895" s="84"/>
      <c r="G895" s="84"/>
      <c r="AF895" s="84"/>
      <c r="AG895" s="84"/>
    </row>
    <row r="896" spans="6:33">
      <c r="F896" s="84"/>
      <c r="G896" s="84"/>
      <c r="AF896" s="84"/>
      <c r="AG896" s="84"/>
    </row>
    <row r="897" spans="6:33">
      <c r="F897" s="84"/>
      <c r="G897" s="84"/>
      <c r="AF897" s="84"/>
      <c r="AG897" s="84"/>
    </row>
    <row r="898" spans="6:33">
      <c r="F898" s="84"/>
      <c r="G898" s="84"/>
      <c r="AF898" s="84"/>
      <c r="AG898" s="84"/>
    </row>
    <row r="899" spans="6:33">
      <c r="F899" s="84"/>
      <c r="G899" s="84"/>
      <c r="AF899" s="84"/>
      <c r="AG899" s="84"/>
    </row>
    <row r="900" spans="6:33">
      <c r="F900" s="84"/>
      <c r="G900" s="84"/>
      <c r="AF900" s="84"/>
      <c r="AG900" s="84"/>
    </row>
    <row r="901" spans="6:33">
      <c r="F901" s="84"/>
      <c r="G901" s="84"/>
      <c r="AF901" s="84"/>
      <c r="AG901" s="84"/>
    </row>
    <row r="902" spans="6:33">
      <c r="F902" s="84"/>
      <c r="G902" s="84"/>
      <c r="AF902" s="84"/>
      <c r="AG902" s="84"/>
    </row>
    <row r="903" spans="6:33">
      <c r="F903" s="84"/>
      <c r="G903" s="84"/>
      <c r="AF903" s="84"/>
      <c r="AG903" s="84"/>
    </row>
    <row r="904" spans="6:33">
      <c r="F904" s="84"/>
      <c r="G904" s="84"/>
      <c r="AF904" s="84"/>
      <c r="AG904" s="84"/>
    </row>
    <row r="905" spans="6:33">
      <c r="F905" s="84"/>
      <c r="G905" s="84"/>
      <c r="AF905" s="84"/>
      <c r="AG905" s="84"/>
    </row>
    <row r="906" spans="6:33">
      <c r="F906" s="84"/>
      <c r="G906" s="84"/>
      <c r="AF906" s="84"/>
      <c r="AG906" s="84"/>
    </row>
    <row r="907" spans="6:33">
      <c r="F907" s="84"/>
      <c r="G907" s="84"/>
      <c r="AF907" s="84"/>
      <c r="AG907" s="84"/>
    </row>
    <row r="908" spans="6:33">
      <c r="F908" s="84"/>
      <c r="G908" s="84"/>
      <c r="AF908" s="84"/>
      <c r="AG908" s="84"/>
    </row>
    <row r="909" spans="6:33">
      <c r="F909" s="84"/>
      <c r="G909" s="84"/>
      <c r="AF909" s="84"/>
      <c r="AG909" s="84"/>
    </row>
    <row r="910" spans="6:33">
      <c r="F910" s="84"/>
      <c r="G910" s="84"/>
      <c r="AF910" s="84"/>
      <c r="AG910" s="84"/>
    </row>
    <row r="911" spans="6:33">
      <c r="F911" s="84"/>
      <c r="G911" s="84"/>
      <c r="AF911" s="84"/>
      <c r="AG911" s="84"/>
    </row>
    <row r="912" spans="6:33">
      <c r="F912" s="84"/>
      <c r="G912" s="84"/>
      <c r="AF912" s="84"/>
      <c r="AG912" s="84"/>
    </row>
    <row r="913" spans="6:33">
      <c r="F913" s="84"/>
      <c r="G913" s="84"/>
      <c r="AF913" s="84"/>
      <c r="AG913" s="84"/>
    </row>
    <row r="914" spans="6:33">
      <c r="F914" s="84"/>
      <c r="G914" s="84"/>
      <c r="AF914" s="84"/>
      <c r="AG914" s="84"/>
    </row>
    <row r="915" spans="6:33">
      <c r="F915" s="84"/>
      <c r="G915" s="84"/>
      <c r="AF915" s="84"/>
      <c r="AG915" s="84"/>
    </row>
    <row r="916" spans="6:33">
      <c r="F916" s="84"/>
      <c r="G916" s="84"/>
      <c r="AF916" s="84"/>
      <c r="AG916" s="84"/>
    </row>
    <row r="917" spans="6:33">
      <c r="F917" s="84"/>
      <c r="G917" s="84"/>
      <c r="AF917" s="84"/>
      <c r="AG917" s="84"/>
    </row>
    <row r="918" spans="6:33">
      <c r="F918" s="84"/>
      <c r="G918" s="84"/>
      <c r="AF918" s="84"/>
      <c r="AG918" s="84"/>
    </row>
    <row r="919" spans="6:33">
      <c r="F919" s="84"/>
      <c r="G919" s="84"/>
      <c r="AF919" s="84"/>
      <c r="AG919" s="84"/>
    </row>
    <row r="920" spans="6:33">
      <c r="F920" s="84"/>
      <c r="G920" s="84"/>
      <c r="AF920" s="84"/>
      <c r="AG920" s="84"/>
    </row>
    <row r="921" spans="6:33">
      <c r="F921" s="84"/>
      <c r="G921" s="84"/>
      <c r="AF921" s="84"/>
      <c r="AG921" s="84"/>
    </row>
    <row r="922" spans="6:33">
      <c r="F922" s="84"/>
      <c r="G922" s="84"/>
      <c r="AF922" s="84"/>
      <c r="AG922" s="84"/>
    </row>
    <row r="923" spans="6:33">
      <c r="F923" s="84"/>
      <c r="G923" s="84"/>
      <c r="AF923" s="84"/>
      <c r="AG923" s="84"/>
    </row>
    <row r="924" spans="6:33">
      <c r="F924" s="84"/>
      <c r="G924" s="84"/>
      <c r="AF924" s="84"/>
      <c r="AG924" s="84"/>
    </row>
    <row r="925" spans="6:33">
      <c r="F925" s="84"/>
      <c r="G925" s="84"/>
      <c r="AF925" s="84"/>
      <c r="AG925" s="84"/>
    </row>
    <row r="926" spans="6:33">
      <c r="F926" s="84"/>
      <c r="G926" s="84"/>
      <c r="AF926" s="84"/>
      <c r="AG926" s="84"/>
    </row>
    <row r="927" spans="6:33">
      <c r="F927" s="84"/>
      <c r="G927" s="84"/>
      <c r="AF927" s="84"/>
      <c r="AG927" s="84"/>
    </row>
    <row r="928" spans="6:33">
      <c r="F928" s="84"/>
      <c r="G928" s="84"/>
      <c r="AF928" s="84"/>
      <c r="AG928" s="84"/>
    </row>
    <row r="929" spans="6:33">
      <c r="F929" s="84"/>
      <c r="G929" s="84"/>
      <c r="AF929" s="84"/>
      <c r="AG929" s="84"/>
    </row>
    <row r="930" spans="6:33">
      <c r="F930" s="84"/>
      <c r="G930" s="84"/>
      <c r="AF930" s="84"/>
      <c r="AG930" s="84"/>
    </row>
    <row r="931" spans="6:33">
      <c r="F931" s="84"/>
      <c r="G931" s="84"/>
      <c r="AF931" s="84"/>
      <c r="AG931" s="84"/>
    </row>
    <row r="932" spans="6:33">
      <c r="F932" s="84"/>
      <c r="G932" s="84"/>
      <c r="AF932" s="84"/>
      <c r="AG932" s="84"/>
    </row>
    <row r="933" spans="6:33">
      <c r="F933" s="84"/>
      <c r="G933" s="84"/>
      <c r="AF933" s="84"/>
      <c r="AG933" s="84"/>
    </row>
    <row r="934" spans="6:33">
      <c r="F934" s="84"/>
      <c r="G934" s="84"/>
      <c r="AF934" s="84"/>
      <c r="AG934" s="84"/>
    </row>
    <row r="935" spans="6:33">
      <c r="F935" s="84"/>
      <c r="G935" s="84"/>
      <c r="AF935" s="84"/>
      <c r="AG935" s="84"/>
    </row>
    <row r="936" spans="6:33">
      <c r="F936" s="84"/>
      <c r="G936" s="84"/>
      <c r="AF936" s="84"/>
      <c r="AG936" s="84"/>
    </row>
    <row r="937" spans="6:33">
      <c r="F937" s="84"/>
      <c r="G937" s="84"/>
      <c r="AF937" s="84"/>
      <c r="AG937" s="84"/>
    </row>
    <row r="938" spans="6:33">
      <c r="F938" s="84"/>
      <c r="G938" s="84"/>
      <c r="AF938" s="84"/>
      <c r="AG938" s="84"/>
    </row>
    <row r="939" spans="6:33">
      <c r="F939" s="84"/>
      <c r="G939" s="84"/>
      <c r="AF939" s="84"/>
      <c r="AG939" s="84"/>
    </row>
    <row r="940" spans="6:33">
      <c r="F940" s="84"/>
      <c r="G940" s="84"/>
      <c r="AF940" s="84"/>
      <c r="AG940" s="84"/>
    </row>
    <row r="941" spans="6:33">
      <c r="F941" s="84"/>
      <c r="G941" s="84"/>
      <c r="AF941" s="84"/>
      <c r="AG941" s="84"/>
    </row>
    <row r="942" spans="6:33">
      <c r="F942" s="84"/>
      <c r="G942" s="84"/>
      <c r="AF942" s="84"/>
      <c r="AG942" s="84"/>
    </row>
    <row r="943" spans="6:33">
      <c r="F943" s="84"/>
      <c r="G943" s="84"/>
      <c r="AF943" s="84"/>
      <c r="AG943" s="84"/>
    </row>
    <row r="944" spans="6:33">
      <c r="F944" s="84"/>
      <c r="G944" s="84"/>
      <c r="AF944" s="84"/>
      <c r="AG944" s="84"/>
    </row>
    <row r="945" spans="6:33">
      <c r="F945" s="84"/>
      <c r="G945" s="84"/>
      <c r="AF945" s="84"/>
      <c r="AG945" s="84"/>
    </row>
    <row r="946" spans="6:33">
      <c r="F946" s="84"/>
      <c r="G946" s="84"/>
      <c r="AF946" s="84"/>
      <c r="AG946" s="84"/>
    </row>
    <row r="947" spans="6:33">
      <c r="F947" s="84"/>
      <c r="G947" s="84"/>
      <c r="AF947" s="84"/>
      <c r="AG947" s="84"/>
    </row>
    <row r="948" spans="6:33">
      <c r="F948" s="84"/>
      <c r="G948" s="84"/>
      <c r="AF948" s="84"/>
      <c r="AG948" s="84"/>
    </row>
    <row r="949" spans="6:33">
      <c r="F949" s="84"/>
      <c r="G949" s="84"/>
      <c r="AF949" s="84"/>
      <c r="AG949" s="84"/>
    </row>
    <row r="950" spans="6:33">
      <c r="F950" s="84"/>
      <c r="G950" s="84"/>
      <c r="AF950" s="84"/>
      <c r="AG950" s="84"/>
    </row>
    <row r="951" spans="6:33">
      <c r="F951" s="84"/>
      <c r="G951" s="84"/>
      <c r="AF951" s="84"/>
      <c r="AG951" s="84"/>
    </row>
    <row r="952" spans="6:33">
      <c r="F952" s="84"/>
      <c r="G952" s="84"/>
      <c r="AF952" s="84"/>
      <c r="AG952" s="84"/>
    </row>
    <row r="953" spans="6:33">
      <c r="F953" s="84"/>
      <c r="G953" s="84"/>
      <c r="AF953" s="84"/>
      <c r="AG953" s="84"/>
    </row>
    <row r="954" spans="6:33">
      <c r="F954" s="84"/>
      <c r="G954" s="84"/>
      <c r="AF954" s="84"/>
      <c r="AG954" s="84"/>
    </row>
    <row r="955" spans="6:33">
      <c r="F955" s="84"/>
      <c r="G955" s="84"/>
      <c r="AF955" s="84"/>
      <c r="AG955" s="84"/>
    </row>
    <row r="956" spans="6:33">
      <c r="F956" s="84"/>
      <c r="G956" s="84"/>
      <c r="AF956" s="84"/>
      <c r="AG956" s="84"/>
    </row>
    <row r="957" spans="6:33">
      <c r="F957" s="84"/>
      <c r="G957" s="84"/>
      <c r="AF957" s="84"/>
      <c r="AG957" s="84"/>
    </row>
    <row r="958" spans="6:33">
      <c r="F958" s="84"/>
      <c r="G958" s="84"/>
      <c r="AF958" s="84"/>
      <c r="AG958" s="84"/>
    </row>
    <row r="959" spans="6:33">
      <c r="F959" s="84"/>
      <c r="G959" s="84"/>
      <c r="AF959" s="84"/>
      <c r="AG959" s="84"/>
    </row>
    <row r="960" spans="6:33">
      <c r="F960" s="84"/>
      <c r="G960" s="84"/>
      <c r="AF960" s="84"/>
      <c r="AG960" s="84"/>
    </row>
    <row r="961" spans="6:33">
      <c r="F961" s="84"/>
      <c r="G961" s="84"/>
      <c r="AF961" s="84"/>
      <c r="AG961" s="84"/>
    </row>
    <row r="962" spans="6:33">
      <c r="F962" s="84"/>
      <c r="G962" s="84"/>
      <c r="AF962" s="84"/>
      <c r="AG962" s="84"/>
    </row>
    <row r="963" spans="6:33">
      <c r="F963" s="84"/>
      <c r="G963" s="84"/>
      <c r="AF963" s="84"/>
      <c r="AG963" s="84"/>
    </row>
    <row r="964" spans="6:33">
      <c r="F964" s="84"/>
      <c r="G964" s="84"/>
      <c r="AF964" s="84"/>
      <c r="AG964" s="84"/>
    </row>
    <row r="965" spans="6:33">
      <c r="F965" s="84"/>
      <c r="G965" s="84"/>
      <c r="AF965" s="84"/>
      <c r="AG965" s="84"/>
    </row>
    <row r="966" spans="6:33">
      <c r="F966" s="84"/>
      <c r="G966" s="84"/>
      <c r="AF966" s="84"/>
      <c r="AG966" s="84"/>
    </row>
    <row r="967" spans="6:33">
      <c r="F967" s="84"/>
      <c r="G967" s="84"/>
      <c r="AF967" s="84"/>
      <c r="AG967" s="84"/>
    </row>
    <row r="968" spans="6:33">
      <c r="F968" s="84"/>
      <c r="G968" s="84"/>
      <c r="AF968" s="84"/>
      <c r="AG968" s="84"/>
    </row>
    <row r="969" spans="6:33">
      <c r="F969" s="84"/>
      <c r="G969" s="84"/>
      <c r="AF969" s="84"/>
      <c r="AG969" s="84"/>
    </row>
    <row r="970" spans="6:33">
      <c r="F970" s="84"/>
      <c r="G970" s="84"/>
      <c r="AF970" s="84"/>
      <c r="AG970" s="84"/>
    </row>
    <row r="971" spans="6:33">
      <c r="F971" s="84"/>
      <c r="G971" s="84"/>
      <c r="AF971" s="84"/>
      <c r="AG971" s="84"/>
    </row>
    <row r="972" spans="6:33">
      <c r="F972" s="84"/>
      <c r="G972" s="84"/>
      <c r="AF972" s="84"/>
      <c r="AG972" s="84"/>
    </row>
    <row r="973" spans="6:33">
      <c r="F973" s="84"/>
      <c r="G973" s="84"/>
      <c r="AF973" s="84"/>
      <c r="AG973" s="84"/>
    </row>
    <row r="974" spans="6:33">
      <c r="F974" s="84"/>
      <c r="G974" s="84"/>
      <c r="AF974" s="84"/>
      <c r="AG974" s="84"/>
    </row>
    <row r="975" spans="6:33">
      <c r="F975" s="84"/>
      <c r="G975" s="84"/>
      <c r="AF975" s="84"/>
      <c r="AG975" s="84"/>
    </row>
    <row r="976" spans="6:33">
      <c r="F976" s="84"/>
      <c r="G976" s="84"/>
      <c r="AF976" s="84"/>
      <c r="AG976" s="84"/>
    </row>
    <row r="977" spans="6:33">
      <c r="F977" s="84"/>
      <c r="G977" s="84"/>
      <c r="AF977" s="84"/>
      <c r="AG977" s="84"/>
    </row>
    <row r="978" spans="6:33">
      <c r="F978" s="84"/>
      <c r="G978" s="84"/>
      <c r="AF978" s="84"/>
      <c r="AG978" s="84"/>
    </row>
    <row r="979" spans="6:33">
      <c r="F979" s="84"/>
      <c r="G979" s="84"/>
      <c r="AF979" s="84"/>
      <c r="AG979" s="84"/>
    </row>
    <row r="980" spans="6:33">
      <c r="F980" s="84"/>
      <c r="G980" s="84"/>
      <c r="AF980" s="84"/>
      <c r="AG980" s="84"/>
    </row>
    <row r="981" spans="6:33">
      <c r="F981" s="84"/>
      <c r="G981" s="84"/>
      <c r="AF981" s="84"/>
      <c r="AG981" s="84"/>
    </row>
    <row r="982" spans="6:33">
      <c r="F982" s="84"/>
      <c r="G982" s="84"/>
      <c r="AF982" s="84"/>
      <c r="AG982" s="84"/>
    </row>
    <row r="983" spans="6:33">
      <c r="F983" s="84"/>
      <c r="G983" s="84"/>
      <c r="AF983" s="84"/>
      <c r="AG983" s="84"/>
    </row>
    <row r="984" spans="6:33">
      <c r="F984" s="84"/>
      <c r="G984" s="84"/>
      <c r="AF984" s="84"/>
      <c r="AG984" s="84"/>
    </row>
    <row r="985" spans="6:33">
      <c r="F985" s="84"/>
      <c r="G985" s="84"/>
      <c r="AF985" s="84"/>
      <c r="AG985" s="84"/>
    </row>
    <row r="986" spans="6:33">
      <c r="F986" s="84"/>
      <c r="G986" s="84"/>
      <c r="AF986" s="84"/>
      <c r="AG986" s="84"/>
    </row>
    <row r="987" spans="6:33">
      <c r="F987" s="84"/>
      <c r="G987" s="84"/>
      <c r="AF987" s="84"/>
      <c r="AG987" s="84"/>
    </row>
    <row r="988" spans="6:33">
      <c r="F988" s="84"/>
      <c r="G988" s="84"/>
      <c r="AF988" s="84"/>
      <c r="AG988" s="84"/>
    </row>
    <row r="989" spans="6:33">
      <c r="F989" s="84"/>
      <c r="G989" s="84"/>
      <c r="AF989" s="84"/>
      <c r="AG989" s="84"/>
    </row>
    <row r="990" spans="6:33">
      <c r="F990" s="84"/>
      <c r="G990" s="84"/>
      <c r="AF990" s="84"/>
      <c r="AG990" s="84"/>
    </row>
    <row r="991" spans="6:33">
      <c r="F991" s="84"/>
      <c r="G991" s="84"/>
      <c r="AF991" s="84"/>
      <c r="AG991" s="84"/>
    </row>
    <row r="992" spans="6:33">
      <c r="F992" s="84"/>
      <c r="G992" s="84"/>
      <c r="AF992" s="84"/>
      <c r="AG992" s="84"/>
    </row>
    <row r="993" spans="6:33">
      <c r="F993" s="84"/>
      <c r="G993" s="84"/>
      <c r="AF993" s="84"/>
      <c r="AG993" s="84"/>
    </row>
    <row r="994" spans="6:33">
      <c r="F994" s="84"/>
      <c r="G994" s="84"/>
      <c r="AF994" s="84"/>
      <c r="AG994" s="84"/>
    </row>
    <row r="995" spans="6:33">
      <c r="F995" s="84"/>
      <c r="G995" s="84"/>
      <c r="AF995" s="84"/>
      <c r="AG995" s="84"/>
    </row>
    <row r="996" spans="6:33">
      <c r="F996" s="84"/>
      <c r="G996" s="84"/>
      <c r="AF996" s="84"/>
      <c r="AG996" s="84"/>
    </row>
    <row r="997" spans="6:33">
      <c r="F997" s="84"/>
      <c r="G997" s="84"/>
      <c r="AF997" s="84"/>
      <c r="AG997" s="84"/>
    </row>
    <row r="998" spans="6:33">
      <c r="F998" s="84"/>
      <c r="G998" s="84"/>
      <c r="AF998" s="84"/>
      <c r="AG998" s="84"/>
    </row>
    <row r="999" spans="6:33">
      <c r="F999" s="84"/>
      <c r="G999" s="84"/>
      <c r="AF999" s="84"/>
      <c r="AG999" s="84"/>
    </row>
    <row r="1000" spans="6:33">
      <c r="F1000" s="84"/>
      <c r="G1000" s="84"/>
      <c r="AF1000" s="84"/>
      <c r="AG1000" s="84"/>
    </row>
    <row r="1001" spans="6:33">
      <c r="F1001" s="84"/>
      <c r="G1001" s="84"/>
      <c r="AF1001" s="84"/>
      <c r="AG1001" s="84"/>
    </row>
    <row r="1002" spans="6:33">
      <c r="F1002" s="84"/>
      <c r="G1002" s="84"/>
      <c r="AF1002" s="84"/>
      <c r="AG1002" s="84"/>
    </row>
    <row r="1003" spans="6:33">
      <c r="F1003" s="84"/>
      <c r="G1003" s="84"/>
      <c r="AF1003" s="84"/>
      <c r="AG1003" s="84"/>
    </row>
    <row r="1004" spans="6:33">
      <c r="F1004" s="84"/>
      <c r="G1004" s="84"/>
      <c r="AF1004" s="84"/>
      <c r="AG1004" s="84"/>
    </row>
    <row r="1005" spans="6:33">
      <c r="F1005" s="84"/>
      <c r="G1005" s="84"/>
      <c r="AF1005" s="84"/>
      <c r="AG1005" s="84"/>
    </row>
    <row r="1006" spans="6:33">
      <c r="F1006" s="84"/>
      <c r="G1006" s="84"/>
      <c r="AF1006" s="84"/>
      <c r="AG1006" s="84"/>
    </row>
    <row r="1007" spans="6:33">
      <c r="F1007" s="84"/>
      <c r="G1007" s="84"/>
      <c r="AF1007" s="84"/>
      <c r="AG1007" s="84"/>
    </row>
    <row r="1008" spans="6:33">
      <c r="F1008" s="84"/>
      <c r="G1008" s="84"/>
      <c r="AF1008" s="84"/>
      <c r="AG1008" s="84"/>
    </row>
    <row r="1009" spans="6:33">
      <c r="F1009" s="84"/>
      <c r="G1009" s="84"/>
      <c r="AF1009" s="84"/>
      <c r="AG1009" s="84"/>
    </row>
    <row r="1010" spans="6:33">
      <c r="F1010" s="84"/>
      <c r="G1010" s="84"/>
      <c r="AF1010" s="84"/>
      <c r="AG1010" s="84"/>
    </row>
    <row r="1011" spans="6:33">
      <c r="F1011" s="84"/>
      <c r="G1011" s="84"/>
      <c r="AF1011" s="84"/>
      <c r="AG1011" s="84"/>
    </row>
    <row r="1012" spans="6:33">
      <c r="F1012" s="84"/>
      <c r="G1012" s="84"/>
      <c r="AF1012" s="84"/>
      <c r="AG1012" s="84"/>
    </row>
    <row r="1013" spans="6:33">
      <c r="F1013" s="84"/>
      <c r="G1013" s="84"/>
      <c r="AF1013" s="84"/>
      <c r="AG1013" s="84"/>
    </row>
    <row r="1014" spans="6:33">
      <c r="F1014" s="84"/>
      <c r="G1014" s="84"/>
      <c r="AF1014" s="84"/>
      <c r="AG1014" s="84"/>
    </row>
    <row r="1015" spans="6:33">
      <c r="F1015" s="84"/>
      <c r="G1015" s="84"/>
      <c r="AF1015" s="84"/>
      <c r="AG1015" s="84"/>
    </row>
    <row r="1016" spans="6:33">
      <c r="F1016" s="84"/>
      <c r="G1016" s="84"/>
      <c r="AF1016" s="84"/>
      <c r="AG1016" s="84"/>
    </row>
    <row r="1017" spans="6:33">
      <c r="F1017" s="84"/>
      <c r="G1017" s="84"/>
      <c r="AF1017" s="84"/>
      <c r="AG1017" s="84"/>
    </row>
    <row r="1018" spans="6:33">
      <c r="F1018" s="84"/>
      <c r="G1018" s="84"/>
      <c r="AF1018" s="84"/>
      <c r="AG1018" s="84"/>
    </row>
    <row r="1019" spans="6:33">
      <c r="F1019" s="84"/>
      <c r="G1019" s="84"/>
      <c r="AF1019" s="84"/>
      <c r="AG1019" s="84"/>
    </row>
    <row r="1020" spans="6:33">
      <c r="F1020" s="84"/>
      <c r="G1020" s="84"/>
      <c r="AF1020" s="84"/>
      <c r="AG1020" s="84"/>
    </row>
    <row r="1021" spans="6:33">
      <c r="F1021" s="84"/>
      <c r="G1021" s="84"/>
      <c r="AF1021" s="84"/>
      <c r="AG1021" s="84"/>
    </row>
    <row r="1022" spans="6:33">
      <c r="F1022" s="84"/>
      <c r="G1022" s="84"/>
      <c r="AF1022" s="84"/>
      <c r="AG1022" s="84"/>
    </row>
    <row r="1023" spans="6:33">
      <c r="F1023" s="84"/>
      <c r="G1023" s="84"/>
      <c r="AF1023" s="84"/>
      <c r="AG1023" s="84"/>
    </row>
    <row r="1024" spans="6:33">
      <c r="F1024" s="84"/>
      <c r="G1024" s="84"/>
      <c r="AF1024" s="84"/>
      <c r="AG1024" s="84"/>
    </row>
    <row r="1025" spans="6:33">
      <c r="F1025" s="84"/>
      <c r="G1025" s="84"/>
      <c r="AF1025" s="84"/>
      <c r="AG1025" s="84"/>
    </row>
    <row r="1026" spans="6:33">
      <c r="F1026" s="84"/>
      <c r="G1026" s="84"/>
      <c r="AF1026" s="84"/>
      <c r="AG1026" s="84"/>
    </row>
    <row r="1027" spans="6:33">
      <c r="F1027" s="84"/>
      <c r="G1027" s="84"/>
      <c r="AF1027" s="84"/>
      <c r="AG1027" s="84"/>
    </row>
    <row r="1028" spans="6:33">
      <c r="F1028" s="84"/>
      <c r="G1028" s="84"/>
      <c r="AF1028" s="84"/>
      <c r="AG1028" s="84"/>
    </row>
    <row r="1029" spans="6:33">
      <c r="F1029" s="84"/>
      <c r="G1029" s="84"/>
      <c r="AF1029" s="84"/>
      <c r="AG1029" s="84"/>
    </row>
    <row r="1030" spans="6:33">
      <c r="F1030" s="84"/>
      <c r="G1030" s="84"/>
      <c r="AF1030" s="84"/>
      <c r="AG1030" s="84"/>
    </row>
    <row r="1031" spans="6:33">
      <c r="F1031" s="84"/>
      <c r="G1031" s="84"/>
      <c r="AF1031" s="84"/>
      <c r="AG1031" s="84"/>
    </row>
    <row r="1032" spans="6:33">
      <c r="F1032" s="84"/>
      <c r="G1032" s="84"/>
      <c r="AF1032" s="84"/>
      <c r="AG1032" s="84"/>
    </row>
    <row r="1033" spans="6:33">
      <c r="F1033" s="84"/>
      <c r="G1033" s="84"/>
      <c r="AF1033" s="84"/>
      <c r="AG1033" s="84"/>
    </row>
    <row r="1034" spans="6:33">
      <c r="F1034" s="84"/>
      <c r="G1034" s="84"/>
      <c r="AF1034" s="84"/>
      <c r="AG1034" s="84"/>
    </row>
    <row r="1035" spans="6:33">
      <c r="F1035" s="84"/>
      <c r="G1035" s="84"/>
      <c r="AF1035" s="84"/>
      <c r="AG1035" s="84"/>
    </row>
    <row r="1036" spans="6:33">
      <c r="F1036" s="84"/>
      <c r="G1036" s="84"/>
      <c r="AF1036" s="84"/>
      <c r="AG1036" s="84"/>
    </row>
    <row r="1037" spans="6:33">
      <c r="F1037" s="84"/>
      <c r="G1037" s="84"/>
      <c r="AF1037" s="84"/>
      <c r="AG1037" s="84"/>
    </row>
    <row r="1038" spans="6:33">
      <c r="F1038" s="84"/>
      <c r="G1038" s="84"/>
      <c r="AF1038" s="84"/>
      <c r="AG1038" s="84"/>
    </row>
    <row r="1039" spans="6:33">
      <c r="F1039" s="84"/>
      <c r="G1039" s="84"/>
      <c r="AF1039" s="84"/>
      <c r="AG1039" s="84"/>
    </row>
    <row r="1040" spans="6:33">
      <c r="F1040" s="84"/>
      <c r="G1040" s="84"/>
      <c r="AF1040" s="84"/>
      <c r="AG1040" s="84"/>
    </row>
    <row r="1041" spans="6:33">
      <c r="F1041" s="84"/>
      <c r="G1041" s="84"/>
      <c r="AF1041" s="84"/>
      <c r="AG1041" s="84"/>
    </row>
    <row r="1042" spans="6:33">
      <c r="F1042" s="84"/>
      <c r="G1042" s="84"/>
      <c r="AF1042" s="84"/>
      <c r="AG1042" s="84"/>
    </row>
    <row r="1043" spans="6:33">
      <c r="F1043" s="84"/>
      <c r="G1043" s="84"/>
      <c r="AF1043" s="84"/>
      <c r="AG1043" s="84"/>
    </row>
    <row r="1044" spans="6:33">
      <c r="F1044" s="84"/>
      <c r="G1044" s="84"/>
      <c r="AF1044" s="84"/>
      <c r="AG1044" s="84"/>
    </row>
    <row r="1045" spans="6:33">
      <c r="F1045" s="84"/>
      <c r="G1045" s="84"/>
      <c r="AF1045" s="84"/>
      <c r="AG1045" s="84"/>
    </row>
    <row r="1046" spans="6:33">
      <c r="F1046" s="84"/>
      <c r="G1046" s="84"/>
      <c r="AF1046" s="84"/>
      <c r="AG1046" s="84"/>
    </row>
    <row r="1047" spans="6:33">
      <c r="F1047" s="84"/>
      <c r="G1047" s="84"/>
      <c r="AF1047" s="84"/>
      <c r="AG1047" s="84"/>
    </row>
    <row r="1048" spans="6:33">
      <c r="F1048" s="84"/>
      <c r="G1048" s="84"/>
      <c r="AF1048" s="84"/>
      <c r="AG1048" s="84"/>
    </row>
    <row r="1049" spans="6:33">
      <c r="F1049" s="84"/>
      <c r="G1049" s="84"/>
      <c r="AF1049" s="84"/>
      <c r="AG1049" s="84"/>
    </row>
    <row r="1050" spans="6:33">
      <c r="F1050" s="84"/>
      <c r="G1050" s="84"/>
      <c r="AF1050" s="84"/>
      <c r="AG1050" s="84"/>
    </row>
    <row r="1051" spans="6:33">
      <c r="F1051" s="84"/>
      <c r="G1051" s="84"/>
      <c r="AF1051" s="84"/>
      <c r="AG1051" s="84"/>
    </row>
    <row r="1052" spans="6:33">
      <c r="F1052" s="84"/>
      <c r="G1052" s="84"/>
      <c r="AF1052" s="84"/>
      <c r="AG1052" s="84"/>
    </row>
    <row r="1053" spans="6:33">
      <c r="F1053" s="84"/>
      <c r="G1053" s="84"/>
      <c r="AF1053" s="84"/>
      <c r="AG1053" s="84"/>
    </row>
    <row r="1054" spans="6:33">
      <c r="F1054" s="84"/>
      <c r="G1054" s="84"/>
      <c r="AF1054" s="84"/>
      <c r="AG1054" s="84"/>
    </row>
    <row r="1055" spans="6:33">
      <c r="F1055" s="84"/>
      <c r="G1055" s="84"/>
      <c r="AF1055" s="84"/>
      <c r="AG1055" s="84"/>
    </row>
    <row r="1056" spans="6:33">
      <c r="F1056" s="84"/>
      <c r="G1056" s="84"/>
      <c r="AF1056" s="84"/>
      <c r="AG1056" s="84"/>
    </row>
    <row r="1057" spans="6:33">
      <c r="F1057" s="84"/>
      <c r="G1057" s="84"/>
      <c r="AF1057" s="84"/>
      <c r="AG1057" s="84"/>
    </row>
    <row r="1058" spans="6:33">
      <c r="F1058" s="84"/>
      <c r="G1058" s="84"/>
      <c r="AF1058" s="84"/>
      <c r="AG1058" s="84"/>
    </row>
    <row r="1059" spans="6:33">
      <c r="F1059" s="84"/>
      <c r="G1059" s="84"/>
      <c r="AF1059" s="84"/>
      <c r="AG1059" s="84"/>
    </row>
    <row r="1060" spans="6:33">
      <c r="F1060" s="84"/>
      <c r="G1060" s="84"/>
      <c r="AF1060" s="84"/>
      <c r="AG1060" s="84"/>
    </row>
    <row r="1061" spans="6:33">
      <c r="F1061" s="84"/>
      <c r="G1061" s="84"/>
      <c r="AF1061" s="84"/>
      <c r="AG1061" s="84"/>
    </row>
    <row r="1062" spans="6:33">
      <c r="F1062" s="84"/>
      <c r="G1062" s="84"/>
      <c r="AF1062" s="84"/>
      <c r="AG1062" s="84"/>
    </row>
    <row r="1063" spans="6:33">
      <c r="F1063" s="84"/>
      <c r="G1063" s="84"/>
      <c r="AF1063" s="84"/>
      <c r="AG1063" s="84"/>
    </row>
    <row r="1064" spans="6:33">
      <c r="F1064" s="84"/>
      <c r="G1064" s="84"/>
      <c r="AF1064" s="84"/>
      <c r="AG1064" s="84"/>
    </row>
    <row r="1065" spans="6:33">
      <c r="F1065" s="84"/>
      <c r="G1065" s="84"/>
      <c r="AF1065" s="84"/>
      <c r="AG1065" s="84"/>
    </row>
    <row r="1066" spans="6:33">
      <c r="F1066" s="84"/>
      <c r="G1066" s="84"/>
      <c r="AF1066" s="84"/>
      <c r="AG1066" s="84"/>
    </row>
    <row r="1067" spans="6:33">
      <c r="F1067" s="84"/>
      <c r="G1067" s="84"/>
      <c r="AF1067" s="84"/>
      <c r="AG1067" s="84"/>
    </row>
    <row r="1068" spans="6:33">
      <c r="F1068" s="84"/>
      <c r="G1068" s="84"/>
      <c r="AF1068" s="84"/>
      <c r="AG1068" s="84"/>
    </row>
    <row r="1069" spans="6:33">
      <c r="F1069" s="84"/>
      <c r="G1069" s="84"/>
      <c r="AF1069" s="84"/>
      <c r="AG1069" s="84"/>
    </row>
    <row r="1070" spans="6:33">
      <c r="F1070" s="84"/>
      <c r="G1070" s="84"/>
      <c r="AF1070" s="84"/>
      <c r="AG1070" s="84"/>
    </row>
    <row r="1071" spans="6:33">
      <c r="F1071" s="84"/>
      <c r="G1071" s="84"/>
      <c r="AF1071" s="84"/>
      <c r="AG1071" s="84"/>
    </row>
    <row r="1072" spans="6:33">
      <c r="F1072" s="84"/>
      <c r="G1072" s="84"/>
      <c r="AF1072" s="84"/>
      <c r="AG1072" s="84"/>
    </row>
    <row r="1073" spans="6:33">
      <c r="F1073" s="84"/>
      <c r="G1073" s="84"/>
      <c r="AF1073" s="84"/>
      <c r="AG1073" s="84"/>
    </row>
    <row r="1074" spans="6:33">
      <c r="F1074" s="84"/>
      <c r="G1074" s="84"/>
      <c r="AF1074" s="84"/>
      <c r="AG1074" s="84"/>
    </row>
    <row r="1075" spans="6:33">
      <c r="F1075" s="84"/>
      <c r="G1075" s="84"/>
      <c r="AF1075" s="84"/>
      <c r="AG1075" s="84"/>
    </row>
    <row r="1076" spans="6:33">
      <c r="F1076" s="84"/>
      <c r="G1076" s="84"/>
      <c r="AF1076" s="84"/>
      <c r="AG1076" s="84"/>
    </row>
    <row r="1077" spans="6:33">
      <c r="F1077" s="84"/>
      <c r="G1077" s="84"/>
      <c r="AF1077" s="84"/>
      <c r="AG1077" s="84"/>
    </row>
    <row r="1078" spans="6:33">
      <c r="F1078" s="84"/>
      <c r="G1078" s="84"/>
      <c r="AF1078" s="84"/>
      <c r="AG1078" s="84"/>
    </row>
    <row r="1079" spans="6:33">
      <c r="F1079" s="84"/>
      <c r="G1079" s="84"/>
      <c r="AF1079" s="84"/>
      <c r="AG1079" s="84"/>
    </row>
    <row r="1080" spans="6:33">
      <c r="F1080" s="84"/>
      <c r="G1080" s="84"/>
      <c r="AF1080" s="84"/>
      <c r="AG1080" s="84"/>
    </row>
    <row r="1081" spans="6:33">
      <c r="F1081" s="84"/>
      <c r="G1081" s="84"/>
      <c r="AF1081" s="84"/>
      <c r="AG1081" s="84"/>
    </row>
    <row r="1082" spans="6:33">
      <c r="F1082" s="84"/>
      <c r="G1082" s="84"/>
      <c r="AF1082" s="84"/>
      <c r="AG1082" s="84"/>
    </row>
    <row r="1083" spans="6:33">
      <c r="F1083" s="84"/>
      <c r="G1083" s="84"/>
      <c r="AF1083" s="84"/>
      <c r="AG1083" s="84"/>
    </row>
    <row r="1084" spans="6:33">
      <c r="F1084" s="84"/>
      <c r="G1084" s="84"/>
      <c r="AF1084" s="84"/>
      <c r="AG1084" s="84"/>
    </row>
    <row r="1085" spans="6:33">
      <c r="F1085" s="84"/>
      <c r="G1085" s="84"/>
      <c r="AF1085" s="84"/>
      <c r="AG1085" s="84"/>
    </row>
    <row r="1086" spans="6:33">
      <c r="F1086" s="84"/>
      <c r="G1086" s="84"/>
      <c r="AF1086" s="84"/>
      <c r="AG1086" s="84"/>
    </row>
    <row r="1087" spans="6:33">
      <c r="F1087" s="84"/>
      <c r="G1087" s="84"/>
      <c r="AF1087" s="84"/>
      <c r="AG1087" s="84"/>
    </row>
    <row r="1088" spans="6:33">
      <c r="F1088" s="84"/>
      <c r="G1088" s="84"/>
      <c r="AF1088" s="84"/>
      <c r="AG1088" s="84"/>
    </row>
    <row r="1089" spans="6:33">
      <c r="F1089" s="84"/>
      <c r="G1089" s="84"/>
      <c r="AF1089" s="84"/>
      <c r="AG1089" s="84"/>
    </row>
    <row r="1090" spans="6:33">
      <c r="F1090" s="84"/>
      <c r="G1090" s="84"/>
      <c r="AF1090" s="84"/>
      <c r="AG1090" s="84"/>
    </row>
    <row r="1091" spans="6:33">
      <c r="F1091" s="84"/>
      <c r="G1091" s="84"/>
      <c r="AF1091" s="84"/>
      <c r="AG1091" s="84"/>
    </row>
    <row r="1092" spans="6:33">
      <c r="F1092" s="84"/>
      <c r="G1092" s="84"/>
      <c r="AF1092" s="84"/>
      <c r="AG1092" s="84"/>
    </row>
    <row r="1093" spans="6:33">
      <c r="F1093" s="84"/>
      <c r="G1093" s="84"/>
      <c r="AF1093" s="84"/>
      <c r="AG1093" s="84"/>
    </row>
    <row r="1094" spans="6:33">
      <c r="F1094" s="84"/>
      <c r="G1094" s="84"/>
      <c r="AF1094" s="84"/>
      <c r="AG1094" s="84"/>
    </row>
    <row r="1095" spans="6:33">
      <c r="F1095" s="84"/>
      <c r="G1095" s="84"/>
      <c r="AF1095" s="84"/>
      <c r="AG1095" s="84"/>
    </row>
    <row r="1096" spans="6:33">
      <c r="F1096" s="84"/>
      <c r="G1096" s="84"/>
      <c r="AF1096" s="84"/>
      <c r="AG1096" s="84"/>
    </row>
    <row r="1097" spans="6:33">
      <c r="F1097" s="84"/>
      <c r="G1097" s="84"/>
      <c r="AF1097" s="84"/>
      <c r="AG1097" s="84"/>
    </row>
    <row r="1098" spans="6:33">
      <c r="F1098" s="84"/>
      <c r="G1098" s="84"/>
      <c r="AF1098" s="84"/>
      <c r="AG1098" s="84"/>
    </row>
    <row r="1099" spans="6:33">
      <c r="F1099" s="84"/>
      <c r="G1099" s="84"/>
      <c r="AF1099" s="84"/>
      <c r="AG1099" s="84"/>
    </row>
    <row r="1100" spans="6:33">
      <c r="F1100" s="84"/>
      <c r="G1100" s="84"/>
      <c r="AF1100" s="84"/>
      <c r="AG1100" s="84"/>
    </row>
    <row r="1101" spans="6:33">
      <c r="F1101" s="84"/>
      <c r="G1101" s="84"/>
      <c r="AF1101" s="84"/>
      <c r="AG1101" s="84"/>
    </row>
    <row r="1102" spans="6:33">
      <c r="F1102" s="84"/>
      <c r="G1102" s="84"/>
      <c r="AF1102" s="84"/>
      <c r="AG1102" s="84"/>
    </row>
    <row r="1103" spans="6:33">
      <c r="F1103" s="84"/>
      <c r="G1103" s="84"/>
      <c r="AF1103" s="84"/>
      <c r="AG1103" s="84"/>
    </row>
    <row r="1104" spans="6:33">
      <c r="F1104" s="84"/>
      <c r="G1104" s="84"/>
      <c r="AF1104" s="84"/>
      <c r="AG1104" s="84"/>
    </row>
    <row r="1105" spans="6:33">
      <c r="F1105" s="84"/>
      <c r="G1105" s="84"/>
      <c r="AF1105" s="84"/>
      <c r="AG1105" s="84"/>
    </row>
    <row r="1106" spans="6:33">
      <c r="F1106" s="84"/>
      <c r="G1106" s="84"/>
      <c r="AF1106" s="84"/>
      <c r="AG1106" s="84"/>
    </row>
    <row r="1107" spans="6:33">
      <c r="F1107" s="84"/>
      <c r="G1107" s="84"/>
      <c r="AF1107" s="84"/>
      <c r="AG1107" s="84"/>
    </row>
    <row r="1108" spans="6:33">
      <c r="F1108" s="84"/>
      <c r="G1108" s="84"/>
      <c r="AF1108" s="84"/>
      <c r="AG1108" s="84"/>
    </row>
    <row r="1109" spans="6:33">
      <c r="F1109" s="84"/>
      <c r="G1109" s="84"/>
      <c r="AF1109" s="84"/>
      <c r="AG1109" s="84"/>
    </row>
    <row r="1110" spans="6:33">
      <c r="F1110" s="84"/>
      <c r="G1110" s="84"/>
      <c r="AF1110" s="84"/>
      <c r="AG1110" s="84"/>
    </row>
    <row r="1111" spans="6:33">
      <c r="F1111" s="84"/>
      <c r="G1111" s="84"/>
      <c r="AF1111" s="84"/>
      <c r="AG1111" s="84"/>
    </row>
    <row r="1112" spans="6:33">
      <c r="F1112" s="84"/>
      <c r="G1112" s="84"/>
      <c r="AF1112" s="84"/>
      <c r="AG1112" s="84"/>
    </row>
    <row r="1113" spans="6:33">
      <c r="F1113" s="84"/>
      <c r="G1113" s="84"/>
      <c r="AF1113" s="84"/>
      <c r="AG1113" s="84"/>
    </row>
    <row r="1114" spans="6:33">
      <c r="F1114" s="84"/>
      <c r="G1114" s="84"/>
      <c r="AF1114" s="84"/>
      <c r="AG1114" s="84"/>
    </row>
    <row r="1115" spans="6:33">
      <c r="F1115" s="84"/>
      <c r="G1115" s="84"/>
      <c r="AF1115" s="84"/>
      <c r="AG1115" s="84"/>
    </row>
    <row r="1116" spans="6:33">
      <c r="F1116" s="84"/>
      <c r="G1116" s="84"/>
      <c r="AF1116" s="84"/>
      <c r="AG1116" s="84"/>
    </row>
    <row r="1117" spans="6:33">
      <c r="F1117" s="84"/>
      <c r="G1117" s="84"/>
      <c r="AF1117" s="84"/>
      <c r="AG1117" s="84"/>
    </row>
    <row r="1118" spans="6:33">
      <c r="F1118" s="84"/>
      <c r="G1118" s="84"/>
      <c r="AF1118" s="84"/>
      <c r="AG1118" s="84"/>
    </row>
    <row r="1119" spans="6:33">
      <c r="F1119" s="84"/>
      <c r="G1119" s="84"/>
      <c r="AF1119" s="84"/>
      <c r="AG1119" s="84"/>
    </row>
    <row r="1120" spans="6:33">
      <c r="F1120" s="84"/>
      <c r="G1120" s="84"/>
      <c r="AF1120" s="84"/>
      <c r="AG1120" s="84"/>
    </row>
    <row r="1121" spans="6:33">
      <c r="F1121" s="84"/>
      <c r="G1121" s="84"/>
      <c r="AF1121" s="84"/>
      <c r="AG1121" s="84"/>
    </row>
    <row r="1122" spans="6:33">
      <c r="F1122" s="84"/>
      <c r="G1122" s="84"/>
      <c r="AF1122" s="84"/>
      <c r="AG1122" s="84"/>
    </row>
    <row r="1123" spans="6:33">
      <c r="F1123" s="84"/>
      <c r="G1123" s="84"/>
      <c r="AF1123" s="84"/>
      <c r="AG1123" s="84"/>
    </row>
    <row r="1124" spans="6:33">
      <c r="F1124" s="84"/>
      <c r="G1124" s="84"/>
      <c r="AF1124" s="84"/>
      <c r="AG1124" s="84"/>
    </row>
    <row r="1125" spans="6:33">
      <c r="F1125" s="84"/>
      <c r="G1125" s="84"/>
      <c r="AF1125" s="84"/>
      <c r="AG1125" s="84"/>
    </row>
    <row r="1126" spans="6:33">
      <c r="F1126" s="84"/>
      <c r="G1126" s="84"/>
      <c r="AF1126" s="84"/>
      <c r="AG1126" s="84"/>
    </row>
    <row r="1127" spans="6:33">
      <c r="F1127" s="84"/>
      <c r="G1127" s="84"/>
      <c r="AF1127" s="84"/>
      <c r="AG1127" s="84"/>
    </row>
    <row r="1128" spans="6:33">
      <c r="F1128" s="84"/>
      <c r="G1128" s="84"/>
      <c r="AF1128" s="84"/>
      <c r="AG1128" s="84"/>
    </row>
    <row r="1129" spans="6:33">
      <c r="F1129" s="84"/>
      <c r="G1129" s="84"/>
      <c r="AF1129" s="84"/>
      <c r="AG1129" s="84"/>
    </row>
    <row r="1130" spans="6:33">
      <c r="F1130" s="84"/>
      <c r="G1130" s="84"/>
      <c r="AF1130" s="84"/>
      <c r="AG1130" s="84"/>
    </row>
    <row r="1131" spans="6:33">
      <c r="F1131" s="84"/>
      <c r="G1131" s="84"/>
      <c r="AF1131" s="84"/>
      <c r="AG1131" s="84"/>
    </row>
    <row r="1132" spans="6:33">
      <c r="F1132" s="84"/>
      <c r="G1132" s="84"/>
      <c r="AF1132" s="84"/>
      <c r="AG1132" s="84"/>
    </row>
    <row r="1133" spans="6:33">
      <c r="F1133" s="84"/>
      <c r="G1133" s="84"/>
      <c r="AF1133" s="84"/>
      <c r="AG1133" s="84"/>
    </row>
    <row r="1134" spans="6:33">
      <c r="F1134" s="84"/>
      <c r="G1134" s="84"/>
      <c r="AF1134" s="84"/>
      <c r="AG1134" s="84"/>
    </row>
    <row r="1135" spans="6:33">
      <c r="F1135" s="84"/>
      <c r="G1135" s="84"/>
      <c r="AF1135" s="84"/>
      <c r="AG1135" s="84"/>
    </row>
    <row r="1136" spans="6:33">
      <c r="F1136" s="84"/>
      <c r="G1136" s="84"/>
      <c r="AF1136" s="84"/>
      <c r="AG1136" s="84"/>
    </row>
    <row r="1137" spans="6:33">
      <c r="F1137" s="84"/>
      <c r="G1137" s="84"/>
      <c r="AF1137" s="84"/>
      <c r="AG1137" s="84"/>
    </row>
    <row r="1138" spans="6:33">
      <c r="F1138" s="84"/>
      <c r="G1138" s="84"/>
      <c r="AF1138" s="84"/>
      <c r="AG1138" s="84"/>
    </row>
    <row r="1139" spans="6:33">
      <c r="F1139" s="84"/>
      <c r="G1139" s="84"/>
      <c r="AF1139" s="84"/>
      <c r="AG1139" s="84"/>
    </row>
    <row r="1140" spans="6:33">
      <c r="F1140" s="84"/>
      <c r="G1140" s="84"/>
      <c r="AF1140" s="84"/>
      <c r="AG1140" s="84"/>
    </row>
    <row r="1141" spans="6:33">
      <c r="F1141" s="84"/>
      <c r="G1141" s="84"/>
      <c r="AF1141" s="84"/>
      <c r="AG1141" s="84"/>
    </row>
    <row r="1142" spans="6:33">
      <c r="F1142" s="84"/>
      <c r="G1142" s="84"/>
      <c r="AF1142" s="84"/>
      <c r="AG1142" s="84"/>
    </row>
    <row r="1143" spans="6:33">
      <c r="F1143" s="84"/>
      <c r="G1143" s="84"/>
      <c r="AF1143" s="84"/>
      <c r="AG1143" s="84"/>
    </row>
    <row r="1144" spans="6:33">
      <c r="F1144" s="84"/>
      <c r="G1144" s="84"/>
      <c r="AF1144" s="84"/>
      <c r="AG1144" s="84"/>
    </row>
    <row r="1145" spans="6:33">
      <c r="F1145" s="84"/>
      <c r="G1145" s="84"/>
      <c r="AF1145" s="84"/>
      <c r="AG1145" s="84"/>
    </row>
    <row r="1146" spans="6:33">
      <c r="F1146" s="84"/>
      <c r="G1146" s="84"/>
      <c r="AF1146" s="84"/>
      <c r="AG1146" s="84"/>
    </row>
    <row r="1147" spans="6:33">
      <c r="F1147" s="84"/>
      <c r="G1147" s="84"/>
      <c r="AF1147" s="84"/>
      <c r="AG1147" s="84"/>
    </row>
    <row r="1148" spans="6:33">
      <c r="F1148" s="84"/>
      <c r="G1148" s="84"/>
      <c r="AF1148" s="84"/>
      <c r="AG1148" s="84"/>
    </row>
    <row r="1149" spans="6:33">
      <c r="F1149" s="84"/>
      <c r="G1149" s="84"/>
      <c r="AF1149" s="84"/>
      <c r="AG1149" s="84"/>
    </row>
    <row r="1150" spans="6:33">
      <c r="F1150" s="84"/>
      <c r="G1150" s="84"/>
      <c r="AF1150" s="84"/>
      <c r="AG1150" s="84"/>
    </row>
    <row r="1151" spans="6:33">
      <c r="F1151" s="84"/>
      <c r="G1151" s="84"/>
      <c r="AF1151" s="84"/>
      <c r="AG1151" s="84"/>
    </row>
    <row r="1152" spans="6:33">
      <c r="F1152" s="84"/>
      <c r="G1152" s="84"/>
      <c r="AF1152" s="84"/>
      <c r="AG1152" s="84"/>
    </row>
    <row r="1153" spans="6:33">
      <c r="F1153" s="84"/>
      <c r="G1153" s="84"/>
      <c r="AF1153" s="84"/>
      <c r="AG1153" s="84"/>
    </row>
    <row r="1154" spans="6:33">
      <c r="F1154" s="84"/>
      <c r="G1154" s="84"/>
      <c r="AF1154" s="84"/>
      <c r="AG1154" s="84"/>
    </row>
    <row r="1155" spans="6:33">
      <c r="F1155" s="84"/>
      <c r="G1155" s="84"/>
      <c r="AF1155" s="84"/>
      <c r="AG1155" s="84"/>
    </row>
    <row r="1156" spans="6:33">
      <c r="F1156" s="84"/>
      <c r="G1156" s="84"/>
      <c r="AF1156" s="84"/>
      <c r="AG1156" s="84"/>
    </row>
    <row r="1157" spans="6:33">
      <c r="F1157" s="84"/>
      <c r="G1157" s="84"/>
      <c r="AF1157" s="84"/>
      <c r="AG1157" s="84"/>
    </row>
    <row r="1158" spans="6:33">
      <c r="F1158" s="84"/>
      <c r="G1158" s="84"/>
      <c r="AF1158" s="84"/>
      <c r="AG1158" s="84"/>
    </row>
    <row r="1159" spans="6:33">
      <c r="F1159" s="84"/>
      <c r="G1159" s="84"/>
      <c r="AF1159" s="84"/>
      <c r="AG1159" s="84"/>
    </row>
    <row r="1160" spans="6:33">
      <c r="F1160" s="84"/>
      <c r="G1160" s="84"/>
      <c r="AF1160" s="84"/>
      <c r="AG1160" s="84"/>
    </row>
    <row r="1161" spans="6:33">
      <c r="F1161" s="84"/>
      <c r="G1161" s="84"/>
      <c r="AF1161" s="84"/>
      <c r="AG1161" s="84"/>
    </row>
    <row r="1162" spans="6:33">
      <c r="F1162" s="84"/>
      <c r="G1162" s="84"/>
      <c r="AF1162" s="84"/>
      <c r="AG1162" s="84"/>
    </row>
    <row r="1163" spans="6:33">
      <c r="F1163" s="84"/>
      <c r="G1163" s="84"/>
      <c r="AF1163" s="84"/>
      <c r="AG1163" s="84"/>
    </row>
    <row r="1164" spans="6:33">
      <c r="F1164" s="84"/>
      <c r="G1164" s="84"/>
      <c r="AF1164" s="84"/>
      <c r="AG1164" s="84"/>
    </row>
    <row r="1165" spans="6:33">
      <c r="F1165" s="84"/>
      <c r="G1165" s="84"/>
      <c r="AF1165" s="84"/>
      <c r="AG1165" s="84"/>
    </row>
    <row r="1166" spans="6:33">
      <c r="F1166" s="84"/>
      <c r="G1166" s="84"/>
      <c r="AF1166" s="84"/>
      <c r="AG1166" s="84"/>
    </row>
    <row r="1167" spans="6:33">
      <c r="F1167" s="84"/>
      <c r="G1167" s="84"/>
      <c r="AF1167" s="84"/>
      <c r="AG1167" s="84"/>
    </row>
    <row r="1168" spans="6:33">
      <c r="F1168" s="84"/>
      <c r="G1168" s="84"/>
      <c r="AF1168" s="84"/>
      <c r="AG1168" s="84"/>
    </row>
    <row r="1169" spans="6:33">
      <c r="F1169" s="84"/>
      <c r="G1169" s="84"/>
      <c r="AF1169" s="84"/>
      <c r="AG1169" s="84"/>
    </row>
    <row r="1170" spans="6:33">
      <c r="F1170" s="84"/>
      <c r="G1170" s="84"/>
      <c r="AF1170" s="84"/>
      <c r="AG1170" s="84"/>
    </row>
    <row r="1171" spans="6:33">
      <c r="F1171" s="84"/>
      <c r="G1171" s="84"/>
      <c r="AF1171" s="84"/>
      <c r="AG1171" s="84"/>
    </row>
    <row r="1172" spans="6:33">
      <c r="F1172" s="84"/>
      <c r="G1172" s="84"/>
      <c r="AF1172" s="84"/>
      <c r="AG1172" s="84"/>
    </row>
    <row r="1173" spans="6:33">
      <c r="F1173" s="84"/>
      <c r="G1173" s="84"/>
      <c r="AF1173" s="84"/>
      <c r="AG1173" s="84"/>
    </row>
    <row r="1174" spans="6:33">
      <c r="F1174" s="84"/>
      <c r="G1174" s="84"/>
      <c r="AF1174" s="84"/>
      <c r="AG1174" s="84"/>
    </row>
    <row r="1175" spans="6:33">
      <c r="F1175" s="84"/>
      <c r="G1175" s="84"/>
      <c r="AF1175" s="84"/>
      <c r="AG1175" s="84"/>
    </row>
    <row r="1176" spans="6:33">
      <c r="F1176" s="84"/>
      <c r="G1176" s="84"/>
      <c r="AF1176" s="84"/>
      <c r="AG1176" s="84"/>
    </row>
    <row r="1177" spans="6:33">
      <c r="F1177" s="84"/>
      <c r="G1177" s="84"/>
      <c r="AF1177" s="84"/>
      <c r="AG1177" s="84"/>
    </row>
    <row r="1178" spans="6:33">
      <c r="F1178" s="84"/>
      <c r="G1178" s="84"/>
      <c r="AF1178" s="84"/>
      <c r="AG1178" s="84"/>
    </row>
    <row r="1179" spans="6:33">
      <c r="F1179" s="84"/>
      <c r="G1179" s="84"/>
      <c r="AF1179" s="84"/>
      <c r="AG1179" s="84"/>
    </row>
    <row r="1180" spans="6:33">
      <c r="F1180" s="84"/>
      <c r="G1180" s="84"/>
      <c r="AF1180" s="84"/>
      <c r="AG1180" s="84"/>
    </row>
    <row r="1181" spans="6:33">
      <c r="F1181" s="84"/>
      <c r="G1181" s="84"/>
      <c r="AF1181" s="84"/>
      <c r="AG1181" s="84"/>
    </row>
    <row r="1182" spans="6:33">
      <c r="F1182" s="84"/>
      <c r="G1182" s="84"/>
      <c r="AF1182" s="84"/>
      <c r="AG1182" s="84"/>
    </row>
    <row r="1183" spans="6:33">
      <c r="F1183" s="84"/>
      <c r="G1183" s="84"/>
      <c r="AF1183" s="84"/>
      <c r="AG1183" s="84"/>
    </row>
    <row r="1184" spans="6:33">
      <c r="F1184" s="84"/>
      <c r="G1184" s="84"/>
      <c r="AF1184" s="84"/>
      <c r="AG1184" s="84"/>
    </row>
    <row r="1185" spans="6:33">
      <c r="F1185" s="84"/>
      <c r="G1185" s="84"/>
      <c r="AF1185" s="84"/>
      <c r="AG1185" s="84"/>
    </row>
    <row r="1186" spans="6:33">
      <c r="F1186" s="84"/>
      <c r="G1186" s="84"/>
      <c r="AF1186" s="84"/>
      <c r="AG1186" s="84"/>
    </row>
    <row r="1187" spans="6:33">
      <c r="F1187" s="84"/>
      <c r="G1187" s="84"/>
      <c r="AF1187" s="84"/>
      <c r="AG1187" s="84"/>
    </row>
    <row r="1188" spans="6:33">
      <c r="F1188" s="84"/>
      <c r="G1188" s="84"/>
      <c r="AF1188" s="84"/>
      <c r="AG1188" s="84"/>
    </row>
    <row r="1189" spans="6:33">
      <c r="F1189" s="84"/>
      <c r="G1189" s="84"/>
      <c r="AF1189" s="84"/>
      <c r="AG1189" s="84"/>
    </row>
    <row r="1190" spans="6:33">
      <c r="F1190" s="84"/>
      <c r="G1190" s="84"/>
      <c r="AF1190" s="84"/>
      <c r="AG1190" s="84"/>
    </row>
    <row r="1191" spans="6:33">
      <c r="F1191" s="84"/>
      <c r="G1191" s="84"/>
      <c r="AF1191" s="84"/>
      <c r="AG1191" s="84"/>
    </row>
    <row r="1192" spans="6:33">
      <c r="F1192" s="84"/>
      <c r="G1192" s="84"/>
      <c r="AF1192" s="84"/>
      <c r="AG1192" s="84"/>
    </row>
    <row r="1193" spans="6:33">
      <c r="F1193" s="84"/>
      <c r="G1193" s="84"/>
      <c r="AF1193" s="84"/>
      <c r="AG1193" s="84"/>
    </row>
    <row r="1194" spans="6:33">
      <c r="F1194" s="84"/>
      <c r="G1194" s="84"/>
      <c r="AF1194" s="84"/>
      <c r="AG1194" s="84"/>
    </row>
    <row r="1195" spans="6:33">
      <c r="F1195" s="84"/>
      <c r="G1195" s="84"/>
      <c r="AF1195" s="84"/>
      <c r="AG1195" s="84"/>
    </row>
    <row r="1196" spans="6:33">
      <c r="F1196" s="84"/>
      <c r="G1196" s="84"/>
      <c r="AF1196" s="84"/>
      <c r="AG1196" s="84"/>
    </row>
    <row r="1197" spans="6:33">
      <c r="F1197" s="84"/>
      <c r="G1197" s="84"/>
      <c r="AF1197" s="84"/>
      <c r="AG1197" s="84"/>
    </row>
    <row r="1198" spans="6:33">
      <c r="F1198" s="84"/>
      <c r="G1198" s="84"/>
      <c r="AF1198" s="84"/>
      <c r="AG1198" s="84"/>
    </row>
    <row r="1199" spans="6:33">
      <c r="F1199" s="84"/>
      <c r="G1199" s="84"/>
      <c r="AF1199" s="84"/>
      <c r="AG1199" s="84"/>
    </row>
    <row r="1200" spans="6:33">
      <c r="F1200" s="84"/>
      <c r="G1200" s="84"/>
      <c r="AF1200" s="84"/>
      <c r="AG1200" s="84"/>
    </row>
    <row r="1201" spans="6:33">
      <c r="F1201" s="84"/>
      <c r="G1201" s="84"/>
      <c r="AF1201" s="84"/>
      <c r="AG1201" s="84"/>
    </row>
    <row r="1202" spans="6:33">
      <c r="F1202" s="84"/>
      <c r="G1202" s="84"/>
      <c r="AF1202" s="84"/>
      <c r="AG1202" s="84"/>
    </row>
    <row r="1203" spans="6:33">
      <c r="F1203" s="84"/>
      <c r="G1203" s="84"/>
      <c r="AF1203" s="84"/>
      <c r="AG1203" s="84"/>
    </row>
    <row r="1204" spans="6:33">
      <c r="F1204" s="84"/>
      <c r="G1204" s="84"/>
      <c r="AF1204" s="84"/>
      <c r="AG1204" s="84"/>
    </row>
    <row r="1205" spans="6:33">
      <c r="F1205" s="84"/>
      <c r="G1205" s="84"/>
      <c r="AF1205" s="84"/>
      <c r="AG1205" s="84"/>
    </row>
    <row r="1206" spans="6:33">
      <c r="F1206" s="84"/>
      <c r="G1206" s="84"/>
      <c r="AF1206" s="84"/>
      <c r="AG1206" s="84"/>
    </row>
    <row r="1207" spans="6:33">
      <c r="F1207" s="84"/>
      <c r="G1207" s="84"/>
      <c r="AF1207" s="84"/>
      <c r="AG1207" s="84"/>
    </row>
    <row r="1208" spans="6:33">
      <c r="F1208" s="84"/>
      <c r="G1208" s="84"/>
      <c r="AF1208" s="84"/>
      <c r="AG1208" s="84"/>
    </row>
    <row r="1209" spans="6:33">
      <c r="F1209" s="84"/>
      <c r="G1209" s="84"/>
      <c r="AF1209" s="84"/>
      <c r="AG1209" s="84"/>
    </row>
    <row r="1210" spans="6:33">
      <c r="F1210" s="84"/>
      <c r="G1210" s="84"/>
      <c r="AF1210" s="84"/>
      <c r="AG1210" s="84"/>
    </row>
    <row r="1211" spans="6:33">
      <c r="F1211" s="84"/>
      <c r="G1211" s="84"/>
      <c r="AF1211" s="84"/>
      <c r="AG1211" s="84"/>
    </row>
    <row r="1212" spans="6:33">
      <c r="F1212" s="84"/>
      <c r="G1212" s="84"/>
      <c r="AF1212" s="84"/>
      <c r="AG1212" s="84"/>
    </row>
    <row r="1213" spans="6:33">
      <c r="F1213" s="84"/>
      <c r="G1213" s="84"/>
      <c r="AF1213" s="84"/>
      <c r="AG1213" s="84"/>
    </row>
    <row r="1214" spans="6:33">
      <c r="F1214" s="84"/>
      <c r="G1214" s="84"/>
      <c r="AF1214" s="84"/>
      <c r="AG1214" s="84"/>
    </row>
    <row r="1215" spans="6:33">
      <c r="F1215" s="84"/>
      <c r="G1215" s="84"/>
      <c r="AF1215" s="84"/>
      <c r="AG1215" s="84"/>
    </row>
    <row r="1216" spans="6:33">
      <c r="F1216" s="84"/>
      <c r="G1216" s="84"/>
      <c r="AF1216" s="84"/>
      <c r="AG1216" s="84"/>
    </row>
    <row r="1217" spans="6:33">
      <c r="F1217" s="84"/>
      <c r="G1217" s="84"/>
      <c r="AF1217" s="84"/>
      <c r="AG1217" s="84"/>
    </row>
    <row r="1218" spans="6:33">
      <c r="F1218" s="84"/>
      <c r="G1218" s="84"/>
      <c r="AF1218" s="84"/>
      <c r="AG1218" s="84"/>
    </row>
    <row r="1219" spans="6:33">
      <c r="F1219" s="84"/>
      <c r="G1219" s="84"/>
      <c r="AF1219" s="84"/>
      <c r="AG1219" s="84"/>
    </row>
    <row r="1220" spans="6:33">
      <c r="F1220" s="84"/>
      <c r="G1220" s="84"/>
      <c r="AF1220" s="84"/>
      <c r="AG1220" s="84"/>
    </row>
    <row r="1221" spans="6:33">
      <c r="F1221" s="84"/>
      <c r="G1221" s="84"/>
      <c r="AF1221" s="84"/>
      <c r="AG1221" s="84"/>
    </row>
    <row r="1222" spans="6:33">
      <c r="F1222" s="84"/>
      <c r="G1222" s="84"/>
      <c r="AF1222" s="84"/>
      <c r="AG1222" s="84"/>
    </row>
    <row r="1223" spans="6:33">
      <c r="F1223" s="84"/>
      <c r="G1223" s="84"/>
      <c r="AF1223" s="84"/>
      <c r="AG1223" s="84"/>
    </row>
    <row r="1224" spans="6:33">
      <c r="F1224" s="84"/>
      <c r="G1224" s="84"/>
      <c r="AF1224" s="84"/>
      <c r="AG1224" s="84"/>
    </row>
    <row r="1225" spans="6:33">
      <c r="F1225" s="84"/>
      <c r="G1225" s="84"/>
      <c r="AF1225" s="84"/>
      <c r="AG1225" s="84"/>
    </row>
    <row r="1226" spans="6:33">
      <c r="F1226" s="84"/>
      <c r="G1226" s="84"/>
      <c r="AF1226" s="84"/>
      <c r="AG1226" s="84"/>
    </row>
    <row r="1227" spans="6:33">
      <c r="F1227" s="84"/>
      <c r="G1227" s="84"/>
      <c r="AF1227" s="84"/>
      <c r="AG1227" s="84"/>
    </row>
    <row r="1228" spans="6:33">
      <c r="F1228" s="84"/>
      <c r="G1228" s="84"/>
      <c r="AF1228" s="84"/>
      <c r="AG1228" s="84"/>
    </row>
    <row r="1229" spans="6:33">
      <c r="F1229" s="84"/>
      <c r="G1229" s="84"/>
      <c r="AF1229" s="84"/>
      <c r="AG1229" s="84"/>
    </row>
    <row r="1230" spans="6:33">
      <c r="F1230" s="84"/>
      <c r="G1230" s="84"/>
      <c r="AF1230" s="84"/>
      <c r="AG1230" s="84"/>
    </row>
    <row r="1231" spans="6:33">
      <c r="F1231" s="84"/>
      <c r="G1231" s="84"/>
      <c r="AF1231" s="84"/>
      <c r="AG1231" s="84"/>
    </row>
    <row r="1232" spans="6:33">
      <c r="F1232" s="84"/>
      <c r="G1232" s="84"/>
      <c r="AF1232" s="84"/>
      <c r="AG1232" s="84"/>
    </row>
    <row r="1233" spans="6:33">
      <c r="F1233" s="84"/>
      <c r="G1233" s="84"/>
      <c r="AF1233" s="84"/>
      <c r="AG1233" s="84"/>
    </row>
    <row r="1234" spans="6:33">
      <c r="F1234" s="84"/>
      <c r="G1234" s="84"/>
      <c r="AF1234" s="84"/>
      <c r="AG1234" s="84"/>
    </row>
    <row r="1235" spans="6:33">
      <c r="F1235" s="84"/>
      <c r="G1235" s="84"/>
      <c r="AF1235" s="84"/>
      <c r="AG1235" s="84"/>
    </row>
    <row r="1236" spans="6:33">
      <c r="F1236" s="84"/>
      <c r="G1236" s="84"/>
      <c r="AF1236" s="84"/>
      <c r="AG1236" s="84"/>
    </row>
    <row r="1237" spans="6:33">
      <c r="F1237" s="84"/>
      <c r="G1237" s="84"/>
      <c r="AF1237" s="84"/>
      <c r="AG1237" s="84"/>
    </row>
    <row r="1238" spans="6:33">
      <c r="F1238" s="84"/>
      <c r="G1238" s="84"/>
      <c r="AF1238" s="84"/>
      <c r="AG1238" s="84"/>
    </row>
    <row r="1239" spans="6:33">
      <c r="F1239" s="84"/>
      <c r="G1239" s="84"/>
      <c r="AF1239" s="84"/>
      <c r="AG1239" s="84"/>
    </row>
    <row r="1240" spans="6:33">
      <c r="F1240" s="84"/>
      <c r="G1240" s="84"/>
      <c r="AF1240" s="84"/>
      <c r="AG1240" s="84"/>
    </row>
    <row r="1241" spans="6:33">
      <c r="F1241" s="84"/>
      <c r="G1241" s="84"/>
      <c r="AF1241" s="84"/>
      <c r="AG1241" s="84"/>
    </row>
    <row r="1242" spans="6:33">
      <c r="F1242" s="84"/>
      <c r="G1242" s="84"/>
      <c r="AF1242" s="84"/>
      <c r="AG1242" s="84"/>
    </row>
    <row r="1243" spans="6:33">
      <c r="F1243" s="84"/>
      <c r="G1243" s="84"/>
      <c r="AF1243" s="84"/>
      <c r="AG1243" s="84"/>
    </row>
    <row r="1244" spans="6:33">
      <c r="F1244" s="84"/>
      <c r="G1244" s="84"/>
      <c r="AF1244" s="84"/>
      <c r="AG1244" s="84"/>
    </row>
    <row r="1245" spans="6:33">
      <c r="F1245" s="84"/>
      <c r="G1245" s="84"/>
      <c r="AF1245" s="84"/>
      <c r="AG1245" s="84"/>
    </row>
    <row r="1246" spans="6:33">
      <c r="F1246" s="84"/>
      <c r="G1246" s="84"/>
      <c r="AF1246" s="84"/>
      <c r="AG1246" s="84"/>
    </row>
    <row r="1247" spans="6:33">
      <c r="F1247" s="84"/>
      <c r="G1247" s="84"/>
      <c r="AF1247" s="84"/>
      <c r="AG1247" s="84"/>
    </row>
    <row r="1248" spans="6:33">
      <c r="F1248" s="84"/>
      <c r="G1248" s="84"/>
      <c r="AF1248" s="84"/>
      <c r="AG1248" s="84"/>
    </row>
    <row r="1249" spans="6:33">
      <c r="F1249" s="84"/>
      <c r="G1249" s="84"/>
      <c r="AF1249" s="84"/>
      <c r="AG1249" s="84"/>
    </row>
    <row r="1250" spans="6:33">
      <c r="F1250" s="84"/>
      <c r="G1250" s="84"/>
      <c r="AF1250" s="84"/>
      <c r="AG1250" s="84"/>
    </row>
    <row r="1251" spans="6:33">
      <c r="F1251" s="84"/>
      <c r="G1251" s="84"/>
      <c r="AF1251" s="84"/>
      <c r="AG1251" s="84"/>
    </row>
    <row r="1252" spans="6:33">
      <c r="F1252" s="84"/>
      <c r="G1252" s="84"/>
      <c r="AF1252" s="84"/>
      <c r="AG1252" s="84"/>
    </row>
    <row r="1253" spans="6:33">
      <c r="F1253" s="84"/>
      <c r="G1253" s="84"/>
      <c r="AF1253" s="84"/>
      <c r="AG1253" s="84"/>
    </row>
    <row r="1254" spans="6:33">
      <c r="F1254" s="84"/>
      <c r="G1254" s="84"/>
      <c r="AF1254" s="84"/>
      <c r="AG1254" s="84"/>
    </row>
    <row r="1255" spans="6:33">
      <c r="F1255" s="84"/>
      <c r="G1255" s="84"/>
      <c r="AF1255" s="84"/>
      <c r="AG1255" s="84"/>
    </row>
    <row r="1256" spans="6:33">
      <c r="F1256" s="84"/>
      <c r="G1256" s="84"/>
      <c r="AF1256" s="84"/>
      <c r="AG1256" s="84"/>
    </row>
    <row r="1257" spans="6:33">
      <c r="F1257" s="84"/>
      <c r="G1257" s="84"/>
      <c r="AF1257" s="84"/>
      <c r="AG1257" s="84"/>
    </row>
    <row r="1258" spans="6:33">
      <c r="F1258" s="84"/>
      <c r="G1258" s="84"/>
      <c r="AF1258" s="84"/>
      <c r="AG1258" s="84"/>
    </row>
    <row r="1259" spans="6:33">
      <c r="F1259" s="84"/>
      <c r="G1259" s="84"/>
      <c r="AF1259" s="84"/>
      <c r="AG1259" s="84"/>
    </row>
    <row r="1260" spans="6:33">
      <c r="F1260" s="84"/>
      <c r="G1260" s="84"/>
      <c r="AF1260" s="84"/>
      <c r="AG1260" s="84"/>
    </row>
    <row r="1261" spans="6:33">
      <c r="F1261" s="84"/>
      <c r="G1261" s="84"/>
      <c r="AF1261" s="84"/>
      <c r="AG1261" s="84"/>
    </row>
    <row r="1262" spans="6:33">
      <c r="F1262" s="84"/>
      <c r="G1262" s="84"/>
      <c r="AF1262" s="84"/>
      <c r="AG1262" s="84"/>
    </row>
    <row r="1263" spans="6:33">
      <c r="F1263" s="84"/>
      <c r="G1263" s="84"/>
      <c r="AF1263" s="84"/>
      <c r="AG1263" s="84"/>
    </row>
    <row r="1264" spans="6:33">
      <c r="F1264" s="84"/>
      <c r="G1264" s="84"/>
      <c r="AF1264" s="84"/>
      <c r="AG1264" s="84"/>
    </row>
    <row r="1265" spans="6:33">
      <c r="F1265" s="84"/>
      <c r="G1265" s="84"/>
      <c r="AF1265" s="84"/>
      <c r="AG1265" s="84"/>
    </row>
    <row r="1266" spans="6:33">
      <c r="F1266" s="84"/>
      <c r="G1266" s="84"/>
      <c r="AF1266" s="84"/>
      <c r="AG1266" s="84"/>
    </row>
    <row r="1267" spans="6:33">
      <c r="F1267" s="84"/>
      <c r="G1267" s="84"/>
      <c r="AF1267" s="84"/>
      <c r="AG1267" s="84"/>
    </row>
    <row r="1268" spans="6:33">
      <c r="F1268" s="84"/>
      <c r="G1268" s="84"/>
      <c r="AF1268" s="84"/>
      <c r="AG1268" s="84"/>
    </row>
    <row r="1269" spans="6:33">
      <c r="F1269" s="84"/>
      <c r="G1269" s="84"/>
      <c r="AF1269" s="84"/>
      <c r="AG1269" s="84"/>
    </row>
    <row r="1270" spans="6:33">
      <c r="F1270" s="84"/>
      <c r="G1270" s="84"/>
      <c r="AF1270" s="84"/>
      <c r="AG1270" s="84"/>
    </row>
    <row r="1271" spans="6:33">
      <c r="F1271" s="84"/>
      <c r="G1271" s="84"/>
      <c r="AF1271" s="84"/>
      <c r="AG1271" s="84"/>
    </row>
    <row r="1272" spans="6:33">
      <c r="F1272" s="84"/>
      <c r="G1272" s="84"/>
      <c r="AF1272" s="84"/>
      <c r="AG1272" s="84"/>
    </row>
    <row r="1273" spans="6:33">
      <c r="F1273" s="84"/>
      <c r="G1273" s="84"/>
      <c r="AF1273" s="84"/>
      <c r="AG1273" s="84"/>
    </row>
    <row r="1274" spans="6:33">
      <c r="F1274" s="84"/>
      <c r="G1274" s="84"/>
      <c r="AF1274" s="84"/>
      <c r="AG1274" s="84"/>
    </row>
    <row r="1275" spans="6:33">
      <c r="F1275" s="84"/>
      <c r="G1275" s="84"/>
      <c r="AF1275" s="84"/>
      <c r="AG1275" s="84"/>
    </row>
    <row r="1276" spans="6:33">
      <c r="F1276" s="84"/>
      <c r="G1276" s="84"/>
      <c r="AF1276" s="84"/>
      <c r="AG1276" s="84"/>
    </row>
    <row r="1277" spans="6:33">
      <c r="F1277" s="84"/>
      <c r="G1277" s="84"/>
      <c r="AF1277" s="84"/>
      <c r="AG1277" s="84"/>
    </row>
    <row r="1278" spans="6:33">
      <c r="F1278" s="84"/>
      <c r="G1278" s="84"/>
      <c r="AF1278" s="84"/>
      <c r="AG1278" s="84"/>
    </row>
    <row r="1279" spans="6:33">
      <c r="F1279" s="84"/>
      <c r="G1279" s="84"/>
      <c r="AF1279" s="84"/>
      <c r="AG1279" s="84"/>
    </row>
    <row r="1280" spans="6:33">
      <c r="F1280" s="84"/>
      <c r="G1280" s="84"/>
      <c r="AF1280" s="84"/>
      <c r="AG1280" s="84"/>
    </row>
    <row r="1281" spans="6:33">
      <c r="F1281" s="84"/>
      <c r="G1281" s="84"/>
      <c r="AF1281" s="84"/>
      <c r="AG1281" s="84"/>
    </row>
    <row r="1282" spans="6:33">
      <c r="F1282" s="84"/>
      <c r="G1282" s="84"/>
      <c r="AF1282" s="84"/>
      <c r="AG1282" s="84"/>
    </row>
    <row r="1283" spans="6:33">
      <c r="F1283" s="84"/>
      <c r="G1283" s="84"/>
      <c r="AF1283" s="84"/>
      <c r="AG1283" s="84"/>
    </row>
    <row r="1284" spans="6:33">
      <c r="F1284" s="84"/>
      <c r="G1284" s="84"/>
      <c r="AF1284" s="84"/>
      <c r="AG1284" s="84"/>
    </row>
    <row r="1285" spans="6:33">
      <c r="F1285" s="84"/>
      <c r="G1285" s="84"/>
      <c r="AF1285" s="84"/>
      <c r="AG1285" s="84"/>
    </row>
    <row r="1286" spans="6:33">
      <c r="F1286" s="84"/>
      <c r="G1286" s="84"/>
      <c r="AF1286" s="84"/>
      <c r="AG1286" s="84"/>
    </row>
    <row r="1287" spans="6:33">
      <c r="F1287" s="84"/>
      <c r="G1287" s="84"/>
      <c r="AF1287" s="84"/>
      <c r="AG1287" s="84"/>
    </row>
    <row r="1288" spans="6:33">
      <c r="F1288" s="84"/>
      <c r="G1288" s="84"/>
      <c r="AF1288" s="84"/>
      <c r="AG1288" s="84"/>
    </row>
    <row r="1289" spans="6:33">
      <c r="F1289" s="84"/>
      <c r="G1289" s="84"/>
      <c r="AF1289" s="84"/>
      <c r="AG1289" s="84"/>
    </row>
    <row r="1290" spans="6:33">
      <c r="F1290" s="84"/>
      <c r="G1290" s="84"/>
      <c r="AF1290" s="84"/>
      <c r="AG1290" s="84"/>
    </row>
    <row r="1291" spans="6:33">
      <c r="F1291" s="84"/>
      <c r="G1291" s="84"/>
      <c r="AF1291" s="84"/>
      <c r="AG1291" s="84"/>
    </row>
    <row r="1292" spans="6:33">
      <c r="F1292" s="84"/>
      <c r="G1292" s="84"/>
      <c r="AF1292" s="84"/>
      <c r="AG1292" s="84"/>
    </row>
    <row r="1293" spans="6:33">
      <c r="F1293" s="84"/>
      <c r="G1293" s="84"/>
      <c r="AF1293" s="84"/>
      <c r="AG1293" s="84"/>
    </row>
    <row r="1294" spans="6:33">
      <c r="F1294" s="84"/>
      <c r="G1294" s="84"/>
      <c r="AF1294" s="84"/>
      <c r="AG1294" s="84"/>
    </row>
    <row r="1295" spans="6:33">
      <c r="F1295" s="84"/>
      <c r="G1295" s="84"/>
      <c r="AF1295" s="84"/>
      <c r="AG1295" s="84"/>
    </row>
    <row r="1296" spans="6:33">
      <c r="F1296" s="84"/>
      <c r="G1296" s="84"/>
      <c r="AF1296" s="84"/>
      <c r="AG1296" s="84"/>
    </row>
    <row r="1297" spans="6:33">
      <c r="F1297" s="84"/>
      <c r="G1297" s="84"/>
      <c r="AF1297" s="84"/>
      <c r="AG1297" s="84"/>
    </row>
    <row r="1298" spans="6:33">
      <c r="F1298" s="84"/>
      <c r="G1298" s="84"/>
      <c r="AF1298" s="84"/>
      <c r="AG1298" s="84"/>
    </row>
    <row r="1299" spans="6:33">
      <c r="F1299" s="84"/>
      <c r="G1299" s="84"/>
      <c r="AF1299" s="84"/>
      <c r="AG1299" s="84"/>
    </row>
    <row r="1300" spans="6:33">
      <c r="F1300" s="84"/>
      <c r="G1300" s="84"/>
      <c r="AF1300" s="84"/>
      <c r="AG1300" s="84"/>
    </row>
    <row r="1301" spans="6:33">
      <c r="F1301" s="84"/>
      <c r="G1301" s="84"/>
      <c r="AF1301" s="84"/>
      <c r="AG1301" s="84"/>
    </row>
    <row r="1302" spans="6:33">
      <c r="F1302" s="84"/>
      <c r="G1302" s="84"/>
      <c r="AF1302" s="84"/>
      <c r="AG1302" s="84"/>
    </row>
    <row r="1303" spans="6:33">
      <c r="F1303" s="84"/>
      <c r="G1303" s="84"/>
      <c r="AF1303" s="84"/>
      <c r="AG1303" s="84"/>
    </row>
    <row r="1304" spans="6:33">
      <c r="F1304" s="84"/>
      <c r="G1304" s="84"/>
      <c r="AF1304" s="84"/>
      <c r="AG1304" s="84"/>
    </row>
    <row r="1305" spans="6:33">
      <c r="F1305" s="84"/>
      <c r="G1305" s="84"/>
      <c r="AF1305" s="84"/>
      <c r="AG1305" s="84"/>
    </row>
    <row r="1306" spans="6:33">
      <c r="F1306" s="84"/>
      <c r="G1306" s="84"/>
      <c r="AF1306" s="84"/>
      <c r="AG1306" s="84"/>
    </row>
    <row r="1307" spans="6:33">
      <c r="F1307" s="84"/>
      <c r="G1307" s="84"/>
      <c r="AF1307" s="84"/>
      <c r="AG1307" s="84"/>
    </row>
    <row r="1308" spans="6:33">
      <c r="F1308" s="84"/>
      <c r="G1308" s="84"/>
      <c r="AF1308" s="84"/>
      <c r="AG1308" s="84"/>
    </row>
    <row r="1309" spans="6:33">
      <c r="F1309" s="84"/>
      <c r="G1309" s="84"/>
      <c r="AF1309" s="84"/>
      <c r="AG1309" s="84"/>
    </row>
    <row r="1310" spans="6:33">
      <c r="F1310" s="84"/>
      <c r="G1310" s="84"/>
      <c r="AF1310" s="84"/>
      <c r="AG1310" s="84"/>
    </row>
    <row r="1311" spans="6:33">
      <c r="F1311" s="84"/>
      <c r="G1311" s="84"/>
      <c r="AF1311" s="84"/>
      <c r="AG1311" s="84"/>
    </row>
    <row r="1312" spans="6:33">
      <c r="F1312" s="84"/>
      <c r="G1312" s="84"/>
      <c r="AF1312" s="84"/>
      <c r="AG1312" s="84"/>
    </row>
    <row r="1313" spans="6:33">
      <c r="F1313" s="84"/>
      <c r="G1313" s="84"/>
      <c r="AF1313" s="84"/>
      <c r="AG1313" s="84"/>
    </row>
    <row r="1314" spans="6:33">
      <c r="F1314" s="84"/>
      <c r="G1314" s="84"/>
      <c r="AF1314" s="84"/>
      <c r="AG1314" s="84"/>
    </row>
    <row r="1315" spans="6:33">
      <c r="F1315" s="84"/>
      <c r="G1315" s="84"/>
      <c r="AF1315" s="84"/>
      <c r="AG1315" s="84"/>
    </row>
    <row r="1316" spans="6:33">
      <c r="F1316" s="84"/>
      <c r="G1316" s="84"/>
      <c r="AF1316" s="84"/>
      <c r="AG1316" s="84"/>
    </row>
    <row r="1317" spans="6:33">
      <c r="F1317" s="84"/>
      <c r="G1317" s="84"/>
      <c r="AF1317" s="84"/>
      <c r="AG1317" s="84"/>
    </row>
    <row r="1318" spans="6:33">
      <c r="F1318" s="84"/>
      <c r="G1318" s="84"/>
      <c r="AF1318" s="84"/>
      <c r="AG1318" s="84"/>
    </row>
    <row r="1319" spans="6:33">
      <c r="F1319" s="84"/>
      <c r="G1319" s="84"/>
      <c r="AF1319" s="84"/>
      <c r="AG1319" s="84"/>
    </row>
    <row r="1320" spans="6:33">
      <c r="F1320" s="84"/>
      <c r="G1320" s="84"/>
      <c r="AF1320" s="84"/>
      <c r="AG1320" s="84"/>
    </row>
    <row r="1321" spans="6:33">
      <c r="F1321" s="84"/>
      <c r="G1321" s="84"/>
      <c r="AF1321" s="84"/>
      <c r="AG1321" s="84"/>
    </row>
    <row r="1322" spans="6:33">
      <c r="F1322" s="84"/>
      <c r="G1322" s="84"/>
      <c r="AF1322" s="84"/>
      <c r="AG1322" s="84"/>
    </row>
    <row r="1323" spans="6:33">
      <c r="F1323" s="84"/>
      <c r="G1323" s="84"/>
      <c r="AF1323" s="84"/>
      <c r="AG1323" s="84"/>
    </row>
    <row r="1324" spans="6:33">
      <c r="F1324" s="84"/>
      <c r="G1324" s="84"/>
      <c r="AF1324" s="84"/>
      <c r="AG1324" s="84"/>
    </row>
    <row r="1325" spans="6:33">
      <c r="F1325" s="84"/>
      <c r="G1325" s="84"/>
      <c r="AF1325" s="84"/>
      <c r="AG1325" s="84"/>
    </row>
    <row r="1326" spans="6:33">
      <c r="F1326" s="84"/>
      <c r="G1326" s="84"/>
      <c r="AF1326" s="84"/>
      <c r="AG1326" s="84"/>
    </row>
  </sheetData>
  <sheetProtection algorithmName="SHA-512" hashValue="xHFgaOaw05+K0xv+TB25Yf0KkqjnayW0Pq86sYWjBTA2DLCHcxxaH0kJ65tG9c/+fpe1N4nyqLFZHsZLqUS8KQ==" saltValue="1Inm7vAYmOg0OBm+Of4urA==" spinCount="100000" sheet="1" objects="1" scenarios="1"/>
  <mergeCells count="675">
    <mergeCell ref="W139:W140"/>
    <mergeCell ref="Z139:Z140"/>
    <mergeCell ref="AA139:AA140"/>
    <mergeCell ref="AB139:AB140"/>
    <mergeCell ref="V135:V140"/>
    <mergeCell ref="AB211:AB212"/>
    <mergeCell ref="AB213:AB214"/>
    <mergeCell ref="AB224:AB225"/>
    <mergeCell ref="AB227:AB229"/>
    <mergeCell ref="Y211:Y212"/>
    <mergeCell ref="V143:V147"/>
    <mergeCell ref="W143:W147"/>
    <mergeCell ref="V141:V142"/>
    <mergeCell ref="Y141:Y142"/>
    <mergeCell ref="W141:W142"/>
    <mergeCell ref="Y143:Y147"/>
    <mergeCell ref="Y213:Y214"/>
    <mergeCell ref="Z213:Z214"/>
    <mergeCell ref="AA211:AA212"/>
    <mergeCell ref="W162:W163"/>
    <mergeCell ref="AA152:AA155"/>
    <mergeCell ref="AA157:AA159"/>
    <mergeCell ref="W157:W159"/>
    <mergeCell ref="V157:V159"/>
    <mergeCell ref="AB237:AB240"/>
    <mergeCell ref="AB254:AB257"/>
    <mergeCell ref="AB267:AB272"/>
    <mergeCell ref="X13:AB13"/>
    <mergeCell ref="AB157:AB159"/>
    <mergeCell ref="AB162:AB163"/>
    <mergeCell ref="AB164:AB168"/>
    <mergeCell ref="AB177:AB181"/>
    <mergeCell ref="AB186:AB188"/>
    <mergeCell ref="AB189:AB192"/>
    <mergeCell ref="AB193:AB196"/>
    <mergeCell ref="AB202:AB204"/>
    <mergeCell ref="AB207:AB210"/>
    <mergeCell ref="AB120:AB121"/>
    <mergeCell ref="AB122:AB123"/>
    <mergeCell ref="AB126:AB129"/>
    <mergeCell ref="AB130:AB134"/>
    <mergeCell ref="AB135:AB137"/>
    <mergeCell ref="AB143:AB147"/>
    <mergeCell ref="AB150:AB151"/>
    <mergeCell ref="AB152:AB155"/>
    <mergeCell ref="AB89:AB90"/>
    <mergeCell ref="AB94:AB95"/>
    <mergeCell ref="AB110:AB111"/>
    <mergeCell ref="AB114:AB116"/>
    <mergeCell ref="AB117:AB119"/>
    <mergeCell ref="AB148:AB149"/>
    <mergeCell ref="Z135:Z137"/>
    <mergeCell ref="AA135:AA137"/>
    <mergeCell ref="AA106:AA109"/>
    <mergeCell ref="Z110:Z111"/>
    <mergeCell ref="AB231:AB236"/>
    <mergeCell ref="Y117:Y119"/>
    <mergeCell ref="Z130:Z134"/>
    <mergeCell ref="Z120:Z121"/>
    <mergeCell ref="Y122:Y123"/>
    <mergeCell ref="U112:AB113"/>
    <mergeCell ref="W130:W134"/>
    <mergeCell ref="X120:X121"/>
    <mergeCell ref="W122:W123"/>
    <mergeCell ref="X122:X123"/>
    <mergeCell ref="X117:X119"/>
    <mergeCell ref="X130:X134"/>
    <mergeCell ref="W126:W129"/>
    <mergeCell ref="V120:V121"/>
    <mergeCell ref="V130:V134"/>
    <mergeCell ref="U120:U121"/>
    <mergeCell ref="V117:V119"/>
    <mergeCell ref="V122:V123"/>
    <mergeCell ref="V126:V129"/>
    <mergeCell ref="Z114:Z116"/>
    <mergeCell ref="Z117:Z119"/>
    <mergeCell ref="Y120:Y121"/>
    <mergeCell ref="Z126:Z129"/>
    <mergeCell ref="Z122:Z123"/>
    <mergeCell ref="Y126:Y129"/>
    <mergeCell ref="AA36:AA38"/>
    <mergeCell ref="AA75:AA77"/>
    <mergeCell ref="Y59:Y60"/>
    <mergeCell ref="W120:W121"/>
    <mergeCell ref="W94:W95"/>
    <mergeCell ref="AA46:AA47"/>
    <mergeCell ref="AA48:AA49"/>
    <mergeCell ref="W89:W90"/>
    <mergeCell ref="AA59:AA60"/>
    <mergeCell ref="AA61:AA63"/>
    <mergeCell ref="V46:V47"/>
    <mergeCell ref="W46:W47"/>
    <mergeCell ref="V61:V63"/>
    <mergeCell ref="W61:W63"/>
    <mergeCell ref="W98:W100"/>
    <mergeCell ref="X89:X90"/>
    <mergeCell ref="Y94:Y95"/>
    <mergeCell ref="Z94:Z95"/>
    <mergeCell ref="Y89:Y90"/>
    <mergeCell ref="Z89:Z90"/>
    <mergeCell ref="AC104:AC109"/>
    <mergeCell ref="Z106:Z109"/>
    <mergeCell ref="Y104:Y105"/>
    <mergeCell ref="Y106:Y109"/>
    <mergeCell ref="AB98:AB100"/>
    <mergeCell ref="AB101:AB102"/>
    <mergeCell ref="AB104:AB105"/>
    <mergeCell ref="AB106:AB109"/>
    <mergeCell ref="AA89:AA90"/>
    <mergeCell ref="AA94:AA95"/>
    <mergeCell ref="AA98:AA100"/>
    <mergeCell ref="AA101:AA102"/>
    <mergeCell ref="AA104:AA105"/>
    <mergeCell ref="Z104:Z105"/>
    <mergeCell ref="Y98:Y100"/>
    <mergeCell ref="AB16:AB18"/>
    <mergeCell ref="AB36:AB38"/>
    <mergeCell ref="AB39:AB41"/>
    <mergeCell ref="AB43:AB45"/>
    <mergeCell ref="AB46:AB47"/>
    <mergeCell ref="AB48:AB49"/>
    <mergeCell ref="AB59:AB60"/>
    <mergeCell ref="AB61:AB63"/>
    <mergeCell ref="AB75:AB77"/>
    <mergeCell ref="AB22:AC33"/>
    <mergeCell ref="AC59:AC90"/>
    <mergeCell ref="AC36:AC49"/>
    <mergeCell ref="C224:C225"/>
    <mergeCell ref="A259:A262"/>
    <mergeCell ref="B259:B262"/>
    <mergeCell ref="A263:A266"/>
    <mergeCell ref="T278:AC278"/>
    <mergeCell ref="AC202:AC204"/>
    <mergeCell ref="A16:A21"/>
    <mergeCell ref="B16:B21"/>
    <mergeCell ref="C16:C21"/>
    <mergeCell ref="T16:T21"/>
    <mergeCell ref="U16:U21"/>
    <mergeCell ref="V16:V21"/>
    <mergeCell ref="AC16:AC21"/>
    <mergeCell ref="W16:W18"/>
    <mergeCell ref="Y16:Y18"/>
    <mergeCell ref="Z16:Z18"/>
    <mergeCell ref="AA16:AA18"/>
    <mergeCell ref="AC96:AC97"/>
    <mergeCell ref="A96:A97"/>
    <mergeCell ref="Y148:Y149"/>
    <mergeCell ref="Z148:Z149"/>
    <mergeCell ref="Y150:Y151"/>
    <mergeCell ref="Z150:Z151"/>
    <mergeCell ref="AC193:AC196"/>
    <mergeCell ref="A157:A159"/>
    <mergeCell ref="B157:B159"/>
    <mergeCell ref="C157:C159"/>
    <mergeCell ref="A150:A151"/>
    <mergeCell ref="B150:B151"/>
    <mergeCell ref="C150:C151"/>
    <mergeCell ref="A152:A155"/>
    <mergeCell ref="B152:B155"/>
    <mergeCell ref="C152:C155"/>
    <mergeCell ref="A9:F9"/>
    <mergeCell ref="A10:M10"/>
    <mergeCell ref="A13:A14"/>
    <mergeCell ref="B13:B14"/>
    <mergeCell ref="B279:E279"/>
    <mergeCell ref="B280:E280"/>
    <mergeCell ref="A148:A149"/>
    <mergeCell ref="B148:B149"/>
    <mergeCell ref="A141:A142"/>
    <mergeCell ref="B46:B47"/>
    <mergeCell ref="A61:A63"/>
    <mergeCell ref="C75:C77"/>
    <mergeCell ref="B61:B63"/>
    <mergeCell ref="B120:B121"/>
    <mergeCell ref="C120:C121"/>
    <mergeCell ref="B126:B129"/>
    <mergeCell ref="B122:B123"/>
    <mergeCell ref="C122:C123"/>
    <mergeCell ref="B117:B119"/>
    <mergeCell ref="C117:C119"/>
    <mergeCell ref="A273:A277"/>
    <mergeCell ref="A160:A161"/>
    <mergeCell ref="A59:A60"/>
    <mergeCell ref="A75:A77"/>
    <mergeCell ref="B289:E289"/>
    <mergeCell ref="B290:E290"/>
    <mergeCell ref="B291:E291"/>
    <mergeCell ref="Z177:Z181"/>
    <mergeCell ref="X186:X188"/>
    <mergeCell ref="Y186:Y188"/>
    <mergeCell ref="Z186:Z188"/>
    <mergeCell ref="Z193:Z196"/>
    <mergeCell ref="Z189:Z192"/>
    <mergeCell ref="Z202:Z204"/>
    <mergeCell ref="X202:X204"/>
    <mergeCell ref="Y202:Y204"/>
    <mergeCell ref="W207:W210"/>
    <mergeCell ref="C207:C210"/>
    <mergeCell ref="U207:U210"/>
    <mergeCell ref="V207:V210"/>
    <mergeCell ref="T211:T215"/>
    <mergeCell ref="W231:W236"/>
    <mergeCell ref="X177:X181"/>
    <mergeCell ref="B288:E288"/>
    <mergeCell ref="B282:E282"/>
    <mergeCell ref="B285:E285"/>
    <mergeCell ref="B263:B266"/>
    <mergeCell ref="Y207:Y210"/>
    <mergeCell ref="B286:E286"/>
    <mergeCell ref="B287:E287"/>
    <mergeCell ref="AC117:AC119"/>
    <mergeCell ref="AC130:AC140"/>
    <mergeCell ref="AC120:AC129"/>
    <mergeCell ref="AC110:AC116"/>
    <mergeCell ref="AA122:AA123"/>
    <mergeCell ref="AA110:AA111"/>
    <mergeCell ref="AA114:AA116"/>
    <mergeCell ref="AA117:AA119"/>
    <mergeCell ref="AA120:AA121"/>
    <mergeCell ref="AA126:AA129"/>
    <mergeCell ref="AA130:AA134"/>
    <mergeCell ref="Y130:Y134"/>
    <mergeCell ref="B160:B161"/>
    <mergeCell ref="C160:C161"/>
    <mergeCell ref="X126:X129"/>
    <mergeCell ref="X141:X142"/>
    <mergeCell ref="AC207:AC215"/>
    <mergeCell ref="B281:E281"/>
    <mergeCell ref="B284:E284"/>
    <mergeCell ref="A278:E278"/>
    <mergeCell ref="A177:A181"/>
    <mergeCell ref="B177:B181"/>
    <mergeCell ref="C130:C134"/>
    <mergeCell ref="B130:B134"/>
    <mergeCell ref="T110:T116"/>
    <mergeCell ref="A98:A100"/>
    <mergeCell ref="A48:A49"/>
    <mergeCell ref="Y114:Y116"/>
    <mergeCell ref="Y110:Y111"/>
    <mergeCell ref="X110:X111"/>
    <mergeCell ref="V114:V116"/>
    <mergeCell ref="W114:W116"/>
    <mergeCell ref="T96:T97"/>
    <mergeCell ref="E96:E97"/>
    <mergeCell ref="I96:I97"/>
    <mergeCell ref="J96:J97"/>
    <mergeCell ref="K96:K97"/>
    <mergeCell ref="L96:L97"/>
    <mergeCell ref="M96:M97"/>
    <mergeCell ref="B98:B100"/>
    <mergeCell ref="T36:T49"/>
    <mergeCell ref="B48:B49"/>
    <mergeCell ref="C48:C49"/>
    <mergeCell ref="B59:B60"/>
    <mergeCell ref="B89:B90"/>
    <mergeCell ref="B75:B77"/>
    <mergeCell ref="B70:B71"/>
    <mergeCell ref="C94:C95"/>
    <mergeCell ref="C89:C90"/>
    <mergeCell ref="T75:T77"/>
    <mergeCell ref="T98:T100"/>
    <mergeCell ref="T89:T90"/>
    <mergeCell ref="T94:T95"/>
    <mergeCell ref="S96:S97"/>
    <mergeCell ref="N96:N97"/>
    <mergeCell ref="Q96:Q97"/>
    <mergeCell ref="R96:R97"/>
    <mergeCell ref="O96:O97"/>
    <mergeCell ref="P96:P97"/>
    <mergeCell ref="B94:B95"/>
    <mergeCell ref="T61:T63"/>
    <mergeCell ref="B36:B38"/>
    <mergeCell ref="C46:C47"/>
    <mergeCell ref="U48:U49"/>
    <mergeCell ref="A89:A90"/>
    <mergeCell ref="Y135:Y137"/>
    <mergeCell ref="U122:U123"/>
    <mergeCell ref="T120:T129"/>
    <mergeCell ref="T117:T119"/>
    <mergeCell ref="C106:C108"/>
    <mergeCell ref="U130:U134"/>
    <mergeCell ref="T104:T109"/>
    <mergeCell ref="A106:A108"/>
    <mergeCell ref="A114:A116"/>
    <mergeCell ref="B114:B116"/>
    <mergeCell ref="A110:A111"/>
    <mergeCell ref="B110:B111"/>
    <mergeCell ref="C114:C116"/>
    <mergeCell ref="C110:C111"/>
    <mergeCell ref="A101:A102"/>
    <mergeCell ref="B101:B102"/>
    <mergeCell ref="B96:B97"/>
    <mergeCell ref="C59:C60"/>
    <mergeCell ref="AC227:AC272"/>
    <mergeCell ref="V254:V258"/>
    <mergeCell ref="V231:V236"/>
    <mergeCell ref="AC224:AC225"/>
    <mergeCell ref="X224:X225"/>
    <mergeCell ref="Y224:Y225"/>
    <mergeCell ref="Z224:Z225"/>
    <mergeCell ref="Y227:Y229"/>
    <mergeCell ref="X227:X229"/>
    <mergeCell ref="W224:W225"/>
    <mergeCell ref="AA227:AA229"/>
    <mergeCell ref="W227:W229"/>
    <mergeCell ref="W267:W272"/>
    <mergeCell ref="X267:X272"/>
    <mergeCell ref="Y267:Y272"/>
    <mergeCell ref="Z267:Z272"/>
    <mergeCell ref="V227:V229"/>
    <mergeCell ref="Y254:Y257"/>
    <mergeCell ref="AA254:AA257"/>
    <mergeCell ref="AA267:AA272"/>
    <mergeCell ref="Z254:Z257"/>
    <mergeCell ref="W254:W257"/>
    <mergeCell ref="W237:W240"/>
    <mergeCell ref="X254:X256"/>
    <mergeCell ref="AC164:AC168"/>
    <mergeCell ref="AC143:AC163"/>
    <mergeCell ref="AC177:AC192"/>
    <mergeCell ref="AA143:AA147"/>
    <mergeCell ref="AA148:AA149"/>
    <mergeCell ref="AA150:AA151"/>
    <mergeCell ref="Z141:Z142"/>
    <mergeCell ref="V193:V196"/>
    <mergeCell ref="AA177:AA181"/>
    <mergeCell ref="AA186:AA188"/>
    <mergeCell ref="Z152:Z155"/>
    <mergeCell ref="Y193:Y196"/>
    <mergeCell ref="Y189:Y192"/>
    <mergeCell ref="V150:V151"/>
    <mergeCell ref="X157:X159"/>
    <mergeCell ref="Y157:Y159"/>
    <mergeCell ref="Z157:Z159"/>
    <mergeCell ref="X193:X196"/>
    <mergeCell ref="Y177:Y181"/>
    <mergeCell ref="W164:W168"/>
    <mergeCell ref="X164:X168"/>
    <mergeCell ref="W152:W155"/>
    <mergeCell ref="Z164:Z168"/>
    <mergeCell ref="Z143:Z147"/>
    <mergeCell ref="T13:T14"/>
    <mergeCell ref="A1:AC1"/>
    <mergeCell ref="A12:AC12"/>
    <mergeCell ref="V39:V41"/>
    <mergeCell ref="J13:J14"/>
    <mergeCell ref="A46:A47"/>
    <mergeCell ref="K13:K14"/>
    <mergeCell ref="U42:U45"/>
    <mergeCell ref="P13:P14"/>
    <mergeCell ref="T22:AA34"/>
    <mergeCell ref="C42:C45"/>
    <mergeCell ref="A42:A45"/>
    <mergeCell ref="B42:B45"/>
    <mergeCell ref="C13:C14"/>
    <mergeCell ref="I13:I14"/>
    <mergeCell ref="L13:L14"/>
    <mergeCell ref="M13:M14"/>
    <mergeCell ref="E13:E14"/>
    <mergeCell ref="F13:F14"/>
    <mergeCell ref="AC13:AC14"/>
    <mergeCell ref="X16:X21"/>
    <mergeCell ref="A2:AC2"/>
    <mergeCell ref="Z43:Z45"/>
    <mergeCell ref="AA39:AA41"/>
    <mergeCell ref="A94:A95"/>
    <mergeCell ref="G13:G14"/>
    <mergeCell ref="H13:H14"/>
    <mergeCell ref="U13:U14"/>
    <mergeCell ref="A22:A27"/>
    <mergeCell ref="B22:B27"/>
    <mergeCell ref="C28:C33"/>
    <mergeCell ref="B39:B41"/>
    <mergeCell ref="C39:C41"/>
    <mergeCell ref="U39:U41"/>
    <mergeCell ref="C22:C27"/>
    <mergeCell ref="A28:A33"/>
    <mergeCell ref="B28:B33"/>
    <mergeCell ref="C36:C38"/>
    <mergeCell ref="S13:S14"/>
    <mergeCell ref="A36:A38"/>
    <mergeCell ref="A39:A41"/>
    <mergeCell ref="U36:U38"/>
    <mergeCell ref="N13:N14"/>
    <mergeCell ref="Q13:Q14"/>
    <mergeCell ref="R13:R14"/>
    <mergeCell ref="D16:D21"/>
    <mergeCell ref="D36:D38"/>
    <mergeCell ref="D39:D41"/>
    <mergeCell ref="AC101:AC102"/>
    <mergeCell ref="Z39:Z41"/>
    <mergeCell ref="Y36:Y38"/>
    <mergeCell ref="Z36:Z38"/>
    <mergeCell ref="Y39:Y41"/>
    <mergeCell ref="U94:U95"/>
    <mergeCell ref="U98:U100"/>
    <mergeCell ref="V75:V77"/>
    <mergeCell ref="C98:C100"/>
    <mergeCell ref="X98:X100"/>
    <mergeCell ref="Z101:Z102"/>
    <mergeCell ref="W39:W41"/>
    <mergeCell ref="X39:X41"/>
    <mergeCell ref="U59:U60"/>
    <mergeCell ref="Y101:Y102"/>
    <mergeCell ref="V94:V95"/>
    <mergeCell ref="X75:X77"/>
    <mergeCell ref="U61:U63"/>
    <mergeCell ref="AA43:AA45"/>
    <mergeCell ref="U46:U47"/>
    <mergeCell ref="C61:C63"/>
    <mergeCell ref="AC94:AC95"/>
    <mergeCell ref="AC98:AC100"/>
    <mergeCell ref="Z98:Z100"/>
    <mergeCell ref="B106:B108"/>
    <mergeCell ref="C96:C97"/>
    <mergeCell ref="V96:V97"/>
    <mergeCell ref="U101:U102"/>
    <mergeCell ref="U104:U105"/>
    <mergeCell ref="U96:U97"/>
    <mergeCell ref="X106:X109"/>
    <mergeCell ref="A104:A105"/>
    <mergeCell ref="B104:B105"/>
    <mergeCell ref="C104:C105"/>
    <mergeCell ref="C101:C102"/>
    <mergeCell ref="T101:T102"/>
    <mergeCell ref="Z61:Z63"/>
    <mergeCell ref="Y75:Y77"/>
    <mergeCell ref="Z46:Z47"/>
    <mergeCell ref="W59:W60"/>
    <mergeCell ref="V48:V49"/>
    <mergeCell ref="V42:V45"/>
    <mergeCell ref="W50:W58"/>
    <mergeCell ref="Z48:Z49"/>
    <mergeCell ref="Z75:Z77"/>
    <mergeCell ref="Y46:Y47"/>
    <mergeCell ref="Y48:Y49"/>
    <mergeCell ref="Y43:Y45"/>
    <mergeCell ref="W43:W45"/>
    <mergeCell ref="X43:X45"/>
    <mergeCell ref="X59:X60"/>
    <mergeCell ref="Z59:Z60"/>
    <mergeCell ref="Y61:Y63"/>
    <mergeCell ref="X61:X63"/>
    <mergeCell ref="W64:W74"/>
    <mergeCell ref="V110:V111"/>
    <mergeCell ref="V106:V109"/>
    <mergeCell ref="X114:X116"/>
    <mergeCell ref="X104:X105"/>
    <mergeCell ref="V13:V14"/>
    <mergeCell ref="W13:W14"/>
    <mergeCell ref="V36:V38"/>
    <mergeCell ref="W36:W38"/>
    <mergeCell ref="X36:X38"/>
    <mergeCell ref="W48:W49"/>
    <mergeCell ref="X94:X95"/>
    <mergeCell ref="X101:X102"/>
    <mergeCell ref="W104:W105"/>
    <mergeCell ref="W101:W102"/>
    <mergeCell ref="W78:W88"/>
    <mergeCell ref="X143:X147"/>
    <mergeCell ref="U143:U147"/>
    <mergeCell ref="T59:T60"/>
    <mergeCell ref="U117:U119"/>
    <mergeCell ref="V98:V100"/>
    <mergeCell ref="V104:V105"/>
    <mergeCell ref="X46:X47"/>
    <mergeCell ref="U135:U140"/>
    <mergeCell ref="U141:U142"/>
    <mergeCell ref="W135:W137"/>
    <mergeCell ref="U89:U90"/>
    <mergeCell ref="U75:U77"/>
    <mergeCell ref="W117:W119"/>
    <mergeCell ref="U126:U129"/>
    <mergeCell ref="U106:U109"/>
    <mergeCell ref="V101:V102"/>
    <mergeCell ref="V89:V90"/>
    <mergeCell ref="U110:U111"/>
    <mergeCell ref="X48:X49"/>
    <mergeCell ref="W75:W77"/>
    <mergeCell ref="V59:V60"/>
    <mergeCell ref="W110:W111"/>
    <mergeCell ref="U114:U116"/>
    <mergeCell ref="W106:W109"/>
    <mergeCell ref="C267:C272"/>
    <mergeCell ref="A202:A204"/>
    <mergeCell ref="A216:A219"/>
    <mergeCell ref="B202:B204"/>
    <mergeCell ref="A254:A258"/>
    <mergeCell ref="B254:B258"/>
    <mergeCell ref="C254:C258"/>
    <mergeCell ref="T202:T204"/>
    <mergeCell ref="V164:V168"/>
    <mergeCell ref="T186:T188"/>
    <mergeCell ref="U193:U196"/>
    <mergeCell ref="U202:U204"/>
    <mergeCell ref="U254:U258"/>
    <mergeCell ref="B193:B196"/>
    <mergeCell ref="C193:C196"/>
    <mergeCell ref="C189:C192"/>
    <mergeCell ref="T189:T192"/>
    <mergeCell ref="V224:V225"/>
    <mergeCell ref="V211:V215"/>
    <mergeCell ref="V237:V241"/>
    <mergeCell ref="B164:B168"/>
    <mergeCell ref="U267:U272"/>
    <mergeCell ref="A164:A168"/>
    <mergeCell ref="A193:A196"/>
    <mergeCell ref="B273:B277"/>
    <mergeCell ref="A242:A245"/>
    <mergeCell ref="B242:B245"/>
    <mergeCell ref="A246:A249"/>
    <mergeCell ref="B246:B249"/>
    <mergeCell ref="A250:A253"/>
    <mergeCell ref="B250:B253"/>
    <mergeCell ref="A220:A223"/>
    <mergeCell ref="B216:B219"/>
    <mergeCell ref="B220:B223"/>
    <mergeCell ref="A267:A272"/>
    <mergeCell ref="B267:B272"/>
    <mergeCell ref="B224:B225"/>
    <mergeCell ref="B237:B241"/>
    <mergeCell ref="A227:A229"/>
    <mergeCell ref="B227:B229"/>
    <mergeCell ref="A224:A225"/>
    <mergeCell ref="A231:A236"/>
    <mergeCell ref="A197:A198"/>
    <mergeCell ref="A199:A200"/>
    <mergeCell ref="AA202:AA204"/>
    <mergeCell ref="AA207:AA210"/>
    <mergeCell ref="AA189:AA192"/>
    <mergeCell ref="A186:A188"/>
    <mergeCell ref="AA193:AA196"/>
    <mergeCell ref="A207:A210"/>
    <mergeCell ref="B207:B210"/>
    <mergeCell ref="C202:C204"/>
    <mergeCell ref="W202:W204"/>
    <mergeCell ref="X207:X210"/>
    <mergeCell ref="Z207:Z210"/>
    <mergeCell ref="B211:B215"/>
    <mergeCell ref="C211:C215"/>
    <mergeCell ref="U211:U215"/>
    <mergeCell ref="B182:B184"/>
    <mergeCell ref="V202:V204"/>
    <mergeCell ref="X189:X192"/>
    <mergeCell ref="W193:W196"/>
    <mergeCell ref="V186:V188"/>
    <mergeCell ref="W186:W188"/>
    <mergeCell ref="V189:V192"/>
    <mergeCell ref="W189:W192"/>
    <mergeCell ref="U177:U185"/>
    <mergeCell ref="V177:V181"/>
    <mergeCell ref="U186:U188"/>
    <mergeCell ref="B197:B198"/>
    <mergeCell ref="C197:C198"/>
    <mergeCell ref="B199:B200"/>
    <mergeCell ref="T207:T210"/>
    <mergeCell ref="W211:W212"/>
    <mergeCell ref="C199:C200"/>
    <mergeCell ref="T193:T196"/>
    <mergeCell ref="T177:T181"/>
    <mergeCell ref="C177:C181"/>
    <mergeCell ref="A122:A123"/>
    <mergeCell ref="A126:A129"/>
    <mergeCell ref="A120:A121"/>
    <mergeCell ref="A117:A119"/>
    <mergeCell ref="U224:U225"/>
    <mergeCell ref="U148:U149"/>
    <mergeCell ref="U150:U151"/>
    <mergeCell ref="U189:U192"/>
    <mergeCell ref="T160:T161"/>
    <mergeCell ref="T148:T159"/>
    <mergeCell ref="A143:A147"/>
    <mergeCell ref="T143:T147"/>
    <mergeCell ref="T162:T163"/>
    <mergeCell ref="B143:B147"/>
    <mergeCell ref="T224:T225"/>
    <mergeCell ref="C126:C129"/>
    <mergeCell ref="T130:T140"/>
    <mergeCell ref="C135:C140"/>
    <mergeCell ref="A169:A172"/>
    <mergeCell ref="A173:A176"/>
    <mergeCell ref="A182:A184"/>
    <mergeCell ref="A189:A192"/>
    <mergeCell ref="C164:C168"/>
    <mergeCell ref="T164:T168"/>
    <mergeCell ref="B169:B172"/>
    <mergeCell ref="B173:B176"/>
    <mergeCell ref="B186:B188"/>
    <mergeCell ref="C231:C236"/>
    <mergeCell ref="C237:C241"/>
    <mergeCell ref="W213:W214"/>
    <mergeCell ref="A130:A134"/>
    <mergeCell ref="A135:A140"/>
    <mergeCell ref="B231:B236"/>
    <mergeCell ref="A211:A215"/>
    <mergeCell ref="A237:A241"/>
    <mergeCell ref="C227:C229"/>
    <mergeCell ref="C186:C188"/>
    <mergeCell ref="U160:U161"/>
    <mergeCell ref="V160:V161"/>
    <mergeCell ref="W148:W149"/>
    <mergeCell ref="B141:B142"/>
    <mergeCell ref="B135:B140"/>
    <mergeCell ref="A162:A163"/>
    <mergeCell ref="B162:B163"/>
    <mergeCell ref="C143:C147"/>
    <mergeCell ref="C141:C142"/>
    <mergeCell ref="W177:W181"/>
    <mergeCell ref="B189:B192"/>
    <mergeCell ref="N307:N309"/>
    <mergeCell ref="AA162:AA163"/>
    <mergeCell ref="AA164:AA168"/>
    <mergeCell ref="AA213:AA214"/>
    <mergeCell ref="Y237:Y240"/>
    <mergeCell ref="Z237:Z240"/>
    <mergeCell ref="AA237:AA240"/>
    <mergeCell ref="Z211:Z212"/>
    <mergeCell ref="X231:X236"/>
    <mergeCell ref="Y231:Y236"/>
    <mergeCell ref="Z231:Z236"/>
    <mergeCell ref="Z227:Z229"/>
    <mergeCell ref="X237:X239"/>
    <mergeCell ref="AA224:AA225"/>
    <mergeCell ref="T227:T272"/>
    <mergeCell ref="U237:U241"/>
    <mergeCell ref="U231:U236"/>
    <mergeCell ref="U227:U229"/>
    <mergeCell ref="AA231:AA236"/>
    <mergeCell ref="V267:V272"/>
    <mergeCell ref="U164:U168"/>
    <mergeCell ref="U162:U163"/>
    <mergeCell ref="X162:X163"/>
    <mergeCell ref="Y152:Y155"/>
    <mergeCell ref="U152:U155"/>
    <mergeCell ref="V162:V163"/>
    <mergeCell ref="V152:V155"/>
    <mergeCell ref="X152:X155"/>
    <mergeCell ref="Y164:Y168"/>
    <mergeCell ref="C148:C149"/>
    <mergeCell ref="Z162:Z163"/>
    <mergeCell ref="Y162:Y163"/>
    <mergeCell ref="W150:W151"/>
    <mergeCell ref="C162:C163"/>
    <mergeCell ref="E160:E161"/>
    <mergeCell ref="O160:O161"/>
    <mergeCell ref="S160:S161"/>
    <mergeCell ref="N160:N161"/>
    <mergeCell ref="Q160:Q161"/>
    <mergeCell ref="I160:I161"/>
    <mergeCell ref="J160:J161"/>
    <mergeCell ref="K160:K161"/>
    <mergeCell ref="L160:L161"/>
    <mergeCell ref="X150:X151"/>
    <mergeCell ref="X148:X149"/>
    <mergeCell ref="U157:U159"/>
    <mergeCell ref="V148:V149"/>
    <mergeCell ref="P160:P161"/>
    <mergeCell ref="R160:R161"/>
    <mergeCell ref="D224:D225"/>
    <mergeCell ref="D110:D111"/>
    <mergeCell ref="D117:D119"/>
    <mergeCell ref="D120:D121"/>
    <mergeCell ref="D122:D123"/>
    <mergeCell ref="D148:D149"/>
    <mergeCell ref="D150:D151"/>
    <mergeCell ref="D162:D163"/>
    <mergeCell ref="D42:D45"/>
    <mergeCell ref="D48:D49"/>
    <mergeCell ref="D94:D95"/>
    <mergeCell ref="D98:D100"/>
    <mergeCell ref="D96:D97"/>
    <mergeCell ref="D101:D103"/>
    <mergeCell ref="D104:D105"/>
    <mergeCell ref="D106:D108"/>
    <mergeCell ref="M160:M161"/>
  </mergeCells>
  <phoneticPr fontId="18" type="noConversion"/>
  <conditionalFormatting sqref="F13:I13 H14:I14 T13:U13">
    <cfRule type="dataBar" priority="28">
      <dataBar>
        <cfvo type="min"/>
        <cfvo type="max"/>
        <color rgb="FF638EC6"/>
      </dataBar>
      <extLst>
        <ext xmlns:x14="http://schemas.microsoft.com/office/spreadsheetml/2009/9/main" uri="{B025F937-C7B1-47D3-B67F-A62EFF666E3E}">
          <x14:id>{26F09905-6243-4F81-A065-F6E392A0538B}</x14:id>
        </ext>
      </extLst>
    </cfRule>
  </conditionalFormatting>
  <conditionalFormatting sqref="J13:K13">
    <cfRule type="dataBar" priority="15">
      <dataBar>
        <cfvo type="min"/>
        <cfvo type="max"/>
        <color rgb="FF638EC6"/>
      </dataBar>
      <extLst>
        <ext xmlns:x14="http://schemas.microsoft.com/office/spreadsheetml/2009/9/main" uri="{B025F937-C7B1-47D3-B67F-A62EFF666E3E}">
          <x14:id>{4A172502-38AB-443E-8490-2C5D91DF7D4E}</x14:id>
        </ext>
      </extLst>
    </cfRule>
  </conditionalFormatting>
  <conditionalFormatting sqref="K14">
    <cfRule type="dataBar" priority="14">
      <dataBar>
        <cfvo type="min"/>
        <cfvo type="max"/>
        <color rgb="FF638EC6"/>
      </dataBar>
      <extLst>
        <ext xmlns:x14="http://schemas.microsoft.com/office/spreadsheetml/2009/9/main" uri="{B025F937-C7B1-47D3-B67F-A62EFF666E3E}">
          <x14:id>{E7628369-2254-48E0-98CE-6BC0561CA088}</x14:id>
        </ext>
      </extLst>
    </cfRule>
  </conditionalFormatting>
  <conditionalFormatting sqref="L13:M14">
    <cfRule type="dataBar" priority="11">
      <dataBar>
        <cfvo type="min"/>
        <cfvo type="max"/>
        <color rgb="FF638EC6"/>
      </dataBar>
      <extLst>
        <ext xmlns:x14="http://schemas.microsoft.com/office/spreadsheetml/2009/9/main" uri="{B025F937-C7B1-47D3-B67F-A62EFF666E3E}">
          <x14:id>{F2049CF6-9DC5-43C7-BE45-27D435108FEB}</x14:id>
        </ext>
      </extLst>
    </cfRule>
  </conditionalFormatting>
  <conditionalFormatting sqref="N13:O13">
    <cfRule type="dataBar" priority="8">
      <dataBar>
        <cfvo type="min"/>
        <cfvo type="max"/>
        <color rgb="FF638EC6"/>
      </dataBar>
      <extLst>
        <ext xmlns:x14="http://schemas.microsoft.com/office/spreadsheetml/2009/9/main" uri="{B025F937-C7B1-47D3-B67F-A62EFF666E3E}">
          <x14:id>{F0EDDE93-8362-45FD-8707-3D258A6289CA}</x14:id>
        </ext>
      </extLst>
    </cfRule>
  </conditionalFormatting>
  <conditionalFormatting sqref="N14:O14">
    <cfRule type="dataBar" priority="7">
      <dataBar>
        <cfvo type="min"/>
        <cfvo type="max"/>
        <color rgb="FF638EC6"/>
      </dataBar>
      <extLst>
        <ext xmlns:x14="http://schemas.microsoft.com/office/spreadsheetml/2009/9/main" uri="{B025F937-C7B1-47D3-B67F-A62EFF666E3E}">
          <x14:id>{C2D6F312-9BB1-430C-A143-369783729837}</x14:id>
        </ext>
      </extLst>
    </cfRule>
  </conditionalFormatting>
  <conditionalFormatting sqref="P13">
    <cfRule type="dataBar" priority="10">
      <dataBar>
        <cfvo type="min"/>
        <cfvo type="max"/>
        <color rgb="FF638EC6"/>
      </dataBar>
      <extLst>
        <ext xmlns:x14="http://schemas.microsoft.com/office/spreadsheetml/2009/9/main" uri="{B025F937-C7B1-47D3-B67F-A62EFF666E3E}">
          <x14:id>{7B6CBA11-22E9-40C0-85BC-78A8FBB08573}</x14:id>
        </ext>
      </extLst>
    </cfRule>
  </conditionalFormatting>
  <conditionalFormatting sqref="P14">
    <cfRule type="dataBar" priority="9">
      <dataBar>
        <cfvo type="min"/>
        <cfvo type="max"/>
        <color rgb="FF638EC6"/>
      </dataBar>
      <extLst>
        <ext xmlns:x14="http://schemas.microsoft.com/office/spreadsheetml/2009/9/main" uri="{B025F937-C7B1-47D3-B67F-A62EFF666E3E}">
          <x14:id>{15E918D6-BA74-4559-9400-8EBC47FB4A08}</x14:id>
        </ext>
      </extLst>
    </cfRule>
  </conditionalFormatting>
  <conditionalFormatting sqref="Q13">
    <cfRule type="dataBar" priority="6">
      <dataBar>
        <cfvo type="min"/>
        <cfvo type="max"/>
        <color rgb="FF638EC6"/>
      </dataBar>
      <extLst>
        <ext xmlns:x14="http://schemas.microsoft.com/office/spreadsheetml/2009/9/main" uri="{B025F937-C7B1-47D3-B67F-A62EFF666E3E}">
          <x14:id>{F138593E-76DD-47BF-8A54-510D39CB512D}</x14:id>
        </ext>
      </extLst>
    </cfRule>
  </conditionalFormatting>
  <conditionalFormatting sqref="Q14">
    <cfRule type="dataBar" priority="5">
      <dataBar>
        <cfvo type="min"/>
        <cfvo type="max"/>
        <color rgb="FF638EC6"/>
      </dataBar>
      <extLst>
        <ext xmlns:x14="http://schemas.microsoft.com/office/spreadsheetml/2009/9/main" uri="{B025F937-C7B1-47D3-B67F-A62EFF666E3E}">
          <x14:id>{B1F4F2ED-53E1-473D-A454-6A6D8732E0F1}</x14:id>
        </ext>
      </extLst>
    </cfRule>
  </conditionalFormatting>
  <conditionalFormatting sqref="R13">
    <cfRule type="dataBar" priority="4">
      <dataBar>
        <cfvo type="min"/>
        <cfvo type="max"/>
        <color rgb="FF638EC6"/>
      </dataBar>
      <extLst>
        <ext xmlns:x14="http://schemas.microsoft.com/office/spreadsheetml/2009/9/main" uri="{B025F937-C7B1-47D3-B67F-A62EFF666E3E}">
          <x14:id>{557C65EC-83F7-4B20-902D-5961A6337196}</x14:id>
        </ext>
      </extLst>
    </cfRule>
  </conditionalFormatting>
  <conditionalFormatting sqref="R14">
    <cfRule type="dataBar" priority="3">
      <dataBar>
        <cfvo type="min"/>
        <cfvo type="max"/>
        <color rgb="FF638EC6"/>
      </dataBar>
      <extLst>
        <ext xmlns:x14="http://schemas.microsoft.com/office/spreadsheetml/2009/9/main" uri="{B025F937-C7B1-47D3-B67F-A62EFF666E3E}">
          <x14:id>{90C3480D-A3E7-48C7-817A-425753538D32}</x14:id>
        </ext>
      </extLst>
    </cfRule>
  </conditionalFormatting>
  <conditionalFormatting sqref="S13">
    <cfRule type="dataBar" priority="2">
      <dataBar>
        <cfvo type="min"/>
        <cfvo type="max"/>
        <color rgb="FF638EC6"/>
      </dataBar>
      <extLst>
        <ext xmlns:x14="http://schemas.microsoft.com/office/spreadsheetml/2009/9/main" uri="{B025F937-C7B1-47D3-B67F-A62EFF666E3E}">
          <x14:id>{F4952854-AC0F-4746-8124-D216806C92B6}</x14:id>
        </ext>
      </extLst>
    </cfRule>
  </conditionalFormatting>
  <conditionalFormatting sqref="S14">
    <cfRule type="dataBar" priority="1">
      <dataBar>
        <cfvo type="min"/>
        <cfvo type="max"/>
        <color rgb="FF638EC6"/>
      </dataBar>
      <extLst>
        <ext xmlns:x14="http://schemas.microsoft.com/office/spreadsheetml/2009/9/main" uri="{B025F937-C7B1-47D3-B67F-A62EFF666E3E}">
          <x14:id>{4133DB8D-5EBF-424C-875E-069B194618D5}</x14:id>
        </ext>
      </extLst>
    </cfRule>
  </conditionalFormatting>
  <pageMargins left="0.70866141732283472" right="0.70866141732283472" top="0.74803149606299213" bottom="0.74803149606299213" header="0.31496062992125984" footer="0.31496062992125984"/>
  <pageSetup paperSize="8" scale="69" fitToHeight="0" pageOrder="overThenDown" orientation="landscape" r:id="rId1"/>
  <extLst>
    <ext xmlns:x14="http://schemas.microsoft.com/office/spreadsheetml/2009/9/main" uri="{78C0D931-6437-407d-A8EE-F0AAD7539E65}">
      <x14:conditionalFormattings>
        <x14:conditionalFormatting xmlns:xm="http://schemas.microsoft.com/office/excel/2006/main">
          <x14:cfRule type="dataBar" id="{26F09905-6243-4F81-A065-F6E392A0538B}">
            <x14:dataBar minLength="0" maxLength="100" border="1" negativeBarBorderColorSameAsPositive="0">
              <x14:cfvo type="autoMin"/>
              <x14:cfvo type="autoMax"/>
              <x14:borderColor rgb="FF638EC6"/>
              <x14:negativeFillColor rgb="FFFF0000"/>
              <x14:negativeBorderColor rgb="FFFF0000"/>
              <x14:axisColor rgb="FF000000"/>
            </x14:dataBar>
          </x14:cfRule>
          <xm:sqref>F13:I13 H14:I14 T13:U13</xm:sqref>
        </x14:conditionalFormatting>
        <x14:conditionalFormatting xmlns:xm="http://schemas.microsoft.com/office/excel/2006/main">
          <x14:cfRule type="dataBar" id="{4A172502-38AB-443E-8490-2C5D91DF7D4E}">
            <x14:dataBar minLength="0" maxLength="100" border="1" negativeBarBorderColorSameAsPositive="0">
              <x14:cfvo type="autoMin"/>
              <x14:cfvo type="autoMax"/>
              <x14:borderColor rgb="FF638EC6"/>
              <x14:negativeFillColor rgb="FFFF0000"/>
              <x14:negativeBorderColor rgb="FFFF0000"/>
              <x14:axisColor rgb="FF000000"/>
            </x14:dataBar>
          </x14:cfRule>
          <xm:sqref>J13:K13</xm:sqref>
        </x14:conditionalFormatting>
        <x14:conditionalFormatting xmlns:xm="http://schemas.microsoft.com/office/excel/2006/main">
          <x14:cfRule type="dataBar" id="{E7628369-2254-48E0-98CE-6BC0561CA088}">
            <x14:dataBar minLength="0" maxLength="100" border="1" negativeBarBorderColorSameAsPositive="0">
              <x14:cfvo type="autoMin"/>
              <x14:cfvo type="autoMax"/>
              <x14:borderColor rgb="FF638EC6"/>
              <x14:negativeFillColor rgb="FFFF0000"/>
              <x14:negativeBorderColor rgb="FFFF0000"/>
              <x14:axisColor rgb="FF000000"/>
            </x14:dataBar>
          </x14:cfRule>
          <xm:sqref>K14</xm:sqref>
        </x14:conditionalFormatting>
        <x14:conditionalFormatting xmlns:xm="http://schemas.microsoft.com/office/excel/2006/main">
          <x14:cfRule type="dataBar" id="{F2049CF6-9DC5-43C7-BE45-27D435108FEB}">
            <x14:dataBar minLength="0" maxLength="100" border="1" negativeBarBorderColorSameAsPositive="0">
              <x14:cfvo type="autoMin"/>
              <x14:cfvo type="autoMax"/>
              <x14:borderColor rgb="FF638EC6"/>
              <x14:negativeFillColor rgb="FFFF0000"/>
              <x14:negativeBorderColor rgb="FFFF0000"/>
              <x14:axisColor rgb="FF000000"/>
            </x14:dataBar>
          </x14:cfRule>
          <xm:sqref>L13:M14</xm:sqref>
        </x14:conditionalFormatting>
        <x14:conditionalFormatting xmlns:xm="http://schemas.microsoft.com/office/excel/2006/main">
          <x14:cfRule type="dataBar" id="{F0EDDE93-8362-45FD-8707-3D258A6289CA}">
            <x14:dataBar minLength="0" maxLength="100" border="1" negativeBarBorderColorSameAsPositive="0">
              <x14:cfvo type="autoMin"/>
              <x14:cfvo type="autoMax"/>
              <x14:borderColor rgb="FF638EC6"/>
              <x14:negativeFillColor rgb="FFFF0000"/>
              <x14:negativeBorderColor rgb="FFFF0000"/>
              <x14:axisColor rgb="FF000000"/>
            </x14:dataBar>
          </x14:cfRule>
          <xm:sqref>N13:O13</xm:sqref>
        </x14:conditionalFormatting>
        <x14:conditionalFormatting xmlns:xm="http://schemas.microsoft.com/office/excel/2006/main">
          <x14:cfRule type="dataBar" id="{C2D6F312-9BB1-430C-A143-369783729837}">
            <x14:dataBar minLength="0" maxLength="100" border="1" negativeBarBorderColorSameAsPositive="0">
              <x14:cfvo type="autoMin"/>
              <x14:cfvo type="autoMax"/>
              <x14:borderColor rgb="FF638EC6"/>
              <x14:negativeFillColor rgb="FFFF0000"/>
              <x14:negativeBorderColor rgb="FFFF0000"/>
              <x14:axisColor rgb="FF000000"/>
            </x14:dataBar>
          </x14:cfRule>
          <xm:sqref>N14:O14</xm:sqref>
        </x14:conditionalFormatting>
        <x14:conditionalFormatting xmlns:xm="http://schemas.microsoft.com/office/excel/2006/main">
          <x14:cfRule type="dataBar" id="{7B6CBA11-22E9-40C0-85BC-78A8FBB08573}">
            <x14:dataBar minLength="0" maxLength="100" border="1" negativeBarBorderColorSameAsPositive="0">
              <x14:cfvo type="autoMin"/>
              <x14:cfvo type="autoMax"/>
              <x14:borderColor rgb="FF638EC6"/>
              <x14:negativeFillColor rgb="FFFF0000"/>
              <x14:negativeBorderColor rgb="FFFF0000"/>
              <x14:axisColor rgb="FF000000"/>
            </x14:dataBar>
          </x14:cfRule>
          <xm:sqref>P13</xm:sqref>
        </x14:conditionalFormatting>
        <x14:conditionalFormatting xmlns:xm="http://schemas.microsoft.com/office/excel/2006/main">
          <x14:cfRule type="dataBar" id="{15E918D6-BA74-4559-9400-8EBC47FB4A08}">
            <x14:dataBar minLength="0" maxLength="100" border="1" negativeBarBorderColorSameAsPositive="0">
              <x14:cfvo type="autoMin"/>
              <x14:cfvo type="autoMax"/>
              <x14:borderColor rgb="FF638EC6"/>
              <x14:negativeFillColor rgb="FFFF0000"/>
              <x14:negativeBorderColor rgb="FFFF0000"/>
              <x14:axisColor rgb="FF000000"/>
            </x14:dataBar>
          </x14:cfRule>
          <xm:sqref>P14</xm:sqref>
        </x14:conditionalFormatting>
        <x14:conditionalFormatting xmlns:xm="http://schemas.microsoft.com/office/excel/2006/main">
          <x14:cfRule type="dataBar" id="{F138593E-76DD-47BF-8A54-510D39CB512D}">
            <x14:dataBar minLength="0" maxLength="100" border="1" negativeBarBorderColorSameAsPositive="0">
              <x14:cfvo type="autoMin"/>
              <x14:cfvo type="autoMax"/>
              <x14:borderColor rgb="FF638EC6"/>
              <x14:negativeFillColor rgb="FFFF0000"/>
              <x14:negativeBorderColor rgb="FFFF0000"/>
              <x14:axisColor rgb="FF000000"/>
            </x14:dataBar>
          </x14:cfRule>
          <xm:sqref>Q13</xm:sqref>
        </x14:conditionalFormatting>
        <x14:conditionalFormatting xmlns:xm="http://schemas.microsoft.com/office/excel/2006/main">
          <x14:cfRule type="dataBar" id="{B1F4F2ED-53E1-473D-A454-6A6D8732E0F1}">
            <x14:dataBar minLength="0" maxLength="100" border="1" negativeBarBorderColorSameAsPositive="0">
              <x14:cfvo type="autoMin"/>
              <x14:cfvo type="autoMax"/>
              <x14:borderColor rgb="FF638EC6"/>
              <x14:negativeFillColor rgb="FFFF0000"/>
              <x14:negativeBorderColor rgb="FFFF0000"/>
              <x14:axisColor rgb="FF000000"/>
            </x14:dataBar>
          </x14:cfRule>
          <xm:sqref>Q14</xm:sqref>
        </x14:conditionalFormatting>
        <x14:conditionalFormatting xmlns:xm="http://schemas.microsoft.com/office/excel/2006/main">
          <x14:cfRule type="dataBar" id="{557C65EC-83F7-4B20-902D-5961A6337196}">
            <x14:dataBar minLength="0" maxLength="100" border="1" negativeBarBorderColorSameAsPositive="0">
              <x14:cfvo type="autoMin"/>
              <x14:cfvo type="autoMax"/>
              <x14:borderColor rgb="FF638EC6"/>
              <x14:negativeFillColor rgb="FFFF0000"/>
              <x14:negativeBorderColor rgb="FFFF0000"/>
              <x14:axisColor rgb="FF000000"/>
            </x14:dataBar>
          </x14:cfRule>
          <xm:sqref>R13</xm:sqref>
        </x14:conditionalFormatting>
        <x14:conditionalFormatting xmlns:xm="http://schemas.microsoft.com/office/excel/2006/main">
          <x14:cfRule type="dataBar" id="{90C3480D-A3E7-48C7-817A-425753538D32}">
            <x14:dataBar minLength="0" maxLength="100" border="1" negativeBarBorderColorSameAsPositive="0">
              <x14:cfvo type="autoMin"/>
              <x14:cfvo type="autoMax"/>
              <x14:borderColor rgb="FF638EC6"/>
              <x14:negativeFillColor rgb="FFFF0000"/>
              <x14:negativeBorderColor rgb="FFFF0000"/>
              <x14:axisColor rgb="FF000000"/>
            </x14:dataBar>
          </x14:cfRule>
          <xm:sqref>R14</xm:sqref>
        </x14:conditionalFormatting>
        <x14:conditionalFormatting xmlns:xm="http://schemas.microsoft.com/office/excel/2006/main">
          <x14:cfRule type="dataBar" id="{F4952854-AC0F-4746-8124-D216806C92B6}">
            <x14:dataBar minLength="0" maxLength="100" border="1" negativeBarBorderColorSameAsPositive="0">
              <x14:cfvo type="autoMin"/>
              <x14:cfvo type="autoMax"/>
              <x14:borderColor rgb="FF638EC6"/>
              <x14:negativeFillColor rgb="FFFF0000"/>
              <x14:negativeBorderColor rgb="FFFF0000"/>
              <x14:axisColor rgb="FF000000"/>
            </x14:dataBar>
          </x14:cfRule>
          <xm:sqref>S13</xm:sqref>
        </x14:conditionalFormatting>
        <x14:conditionalFormatting xmlns:xm="http://schemas.microsoft.com/office/excel/2006/main">
          <x14:cfRule type="dataBar" id="{4133DB8D-5EBF-424C-875E-069B194618D5}">
            <x14:dataBar minLength="0" maxLength="100" border="1" negativeBarBorderColorSameAsPositive="0">
              <x14:cfvo type="autoMin"/>
              <x14:cfvo type="autoMax"/>
              <x14:borderColor rgb="FF638EC6"/>
              <x14:negativeFillColor rgb="FFFF0000"/>
              <x14:negativeBorderColor rgb="FFFF0000"/>
              <x14:axisColor rgb="FF000000"/>
            </x14:dataBar>
          </x14:cfRule>
          <xm:sqref>S14</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2791B-8B75-4CDD-B356-798BE755673B}">
  <sheetPr>
    <pageSetUpPr fitToPage="1"/>
  </sheetPr>
  <dimension ref="A1:CL1212"/>
  <sheetViews>
    <sheetView zoomScale="99" zoomScaleNormal="99" zoomScaleSheetLayoutView="102" workbookViewId="0">
      <selection activeCell="AE15" sqref="AE15"/>
    </sheetView>
  </sheetViews>
  <sheetFormatPr defaultColWidth="9.109375" defaultRowHeight="11.4"/>
  <cols>
    <col min="1" max="1" width="15.6640625" style="221" customWidth="1"/>
    <col min="2" max="2" width="31.109375" style="221" customWidth="1"/>
    <col min="3" max="3" width="5.109375" style="221" customWidth="1"/>
    <col min="4" max="4" width="7.33203125" style="221" customWidth="1"/>
    <col min="5" max="6" width="10.6640625" style="359" hidden="1" customWidth="1"/>
    <col min="7" max="7" width="13.6640625" style="221" hidden="1" customWidth="1"/>
    <col min="8" max="9" width="19.33203125" style="221" hidden="1" customWidth="1"/>
    <col min="10" max="10" width="19.33203125" style="356" hidden="1" customWidth="1"/>
    <col min="11" max="11" width="18" style="221" hidden="1" customWidth="1"/>
    <col min="12" max="12" width="18.6640625" style="221" customWidth="1"/>
    <col min="13" max="13" width="18.6640625" style="1491" hidden="1" customWidth="1"/>
    <col min="14" max="14" width="9.5546875" style="1458" hidden="1" customWidth="1"/>
    <col min="15" max="15" width="18.6640625" style="221" customWidth="1"/>
    <col min="16" max="16" width="18.6640625" style="1491" hidden="1" customWidth="1"/>
    <col min="17" max="17" width="18.6640625" style="221" customWidth="1"/>
    <col min="18" max="18" width="18.6640625" style="1491" hidden="1" customWidth="1"/>
    <col min="19" max="19" width="13.44140625" style="221" customWidth="1"/>
    <col min="20" max="20" width="79.21875" style="221" customWidth="1"/>
    <col min="21" max="21" width="19.33203125" style="221" customWidth="1"/>
    <col min="22" max="22" width="33" style="221" customWidth="1"/>
    <col min="23" max="24" width="6.33203125" style="221" hidden="1" customWidth="1"/>
    <col min="25" max="25" width="6.6640625" style="221" customWidth="1"/>
    <col min="26" max="27" width="6.33203125" style="221" customWidth="1"/>
    <col min="28" max="28" width="29.44140625" style="221" customWidth="1"/>
    <col min="29" max="29" width="25.88671875" style="221" hidden="1" customWidth="1"/>
    <col min="30" max="30" width="9.109375" style="221" customWidth="1"/>
    <col min="31" max="32" width="8.88671875" style="221" customWidth="1"/>
    <col min="33" max="16384" width="9.109375" style="221"/>
  </cols>
  <sheetData>
    <row r="1" spans="1:28" ht="24" customHeight="1">
      <c r="A1" s="2885" t="s">
        <v>2139</v>
      </c>
      <c r="B1" s="2885"/>
      <c r="C1" s="2885"/>
      <c r="D1" s="2885"/>
      <c r="E1" s="2885"/>
      <c r="F1" s="2885"/>
      <c r="G1" s="2885"/>
      <c r="H1" s="2885"/>
      <c r="I1" s="2885"/>
      <c r="J1" s="2885"/>
      <c r="K1" s="2885"/>
      <c r="L1" s="2885"/>
      <c r="M1" s="2885"/>
      <c r="N1" s="2885"/>
      <c r="O1" s="2885"/>
      <c r="P1" s="2885"/>
      <c r="Q1" s="2885"/>
      <c r="R1" s="2885"/>
      <c r="S1" s="2885"/>
      <c r="T1" s="2885"/>
      <c r="U1" s="2885"/>
      <c r="V1" s="2885"/>
      <c r="W1" s="2885"/>
      <c r="X1" s="2885"/>
      <c r="Y1" s="2885"/>
      <c r="Z1" s="2885"/>
      <c r="AA1" s="2885"/>
      <c r="AB1" s="2885"/>
    </row>
    <row r="2" spans="1:28" ht="30" customHeight="1">
      <c r="A2" s="2711" t="s">
        <v>2599</v>
      </c>
      <c r="B2" s="2711"/>
      <c r="C2" s="2711"/>
      <c r="D2" s="2711"/>
      <c r="E2" s="2711"/>
      <c r="F2" s="2711"/>
      <c r="G2" s="2711"/>
      <c r="H2" s="2711"/>
      <c r="I2" s="2711"/>
      <c r="J2" s="2711"/>
      <c r="K2" s="2711"/>
      <c r="L2" s="2711"/>
      <c r="M2" s="2711"/>
      <c r="N2" s="2711"/>
      <c r="O2" s="2711"/>
      <c r="P2" s="2711"/>
      <c r="Q2" s="2711"/>
      <c r="R2" s="2711"/>
      <c r="S2" s="2711"/>
      <c r="T2" s="2711"/>
      <c r="U2" s="2711"/>
      <c r="V2" s="2711"/>
      <c r="W2" s="2711"/>
      <c r="X2" s="2711"/>
      <c r="Y2" s="2711"/>
      <c r="Z2" s="2711"/>
      <c r="AA2" s="2711"/>
      <c r="AB2" s="2711"/>
    </row>
    <row r="3" spans="1:28" ht="10.8" customHeight="1">
      <c r="A3" s="103"/>
      <c r="B3" s="103"/>
      <c r="C3" s="103"/>
      <c r="D3" s="103"/>
      <c r="E3" s="103"/>
      <c r="F3" s="103"/>
      <c r="G3" s="103"/>
      <c r="H3" s="103"/>
      <c r="I3" s="103"/>
      <c r="J3" s="103"/>
      <c r="K3" s="103"/>
      <c r="L3" s="103"/>
      <c r="M3" s="1492"/>
      <c r="N3" s="1455"/>
      <c r="O3" s="103"/>
      <c r="P3" s="1492"/>
      <c r="Q3" s="103"/>
      <c r="R3" s="1492"/>
      <c r="S3" s="103"/>
      <c r="T3" s="103"/>
      <c r="U3" s="103"/>
      <c r="V3" s="103"/>
      <c r="W3" s="103"/>
      <c r="X3" s="103"/>
      <c r="Y3" s="103"/>
      <c r="Z3" s="103"/>
      <c r="AA3" s="103"/>
      <c r="AB3" s="103"/>
    </row>
    <row r="4" spans="1:28" ht="16.8" customHeight="1">
      <c r="A4" s="319" t="str">
        <f>A12</f>
        <v>07.01.01. (T)</v>
      </c>
      <c r="B4" s="2941" t="str">
        <f>B12</f>
        <v>Stiprinti ir plėtoti visuomenės sveikatinimo veiklą</v>
      </c>
      <c r="C4" s="2941"/>
      <c r="D4" s="2941"/>
      <c r="E4" s="2941"/>
      <c r="F4" s="2941"/>
      <c r="G4" s="2941"/>
      <c r="H4" s="2941"/>
      <c r="I4" s="2941"/>
      <c r="J4" s="2941"/>
      <c r="K4" s="2941"/>
      <c r="L4" s="2941"/>
      <c r="M4" s="2941"/>
      <c r="N4" s="2941"/>
      <c r="O4" s="2941"/>
      <c r="P4" s="2941"/>
      <c r="Q4" s="2941"/>
      <c r="R4" s="2941"/>
      <c r="S4" s="2941"/>
      <c r="T4" s="2941"/>
      <c r="U4" s="2941"/>
      <c r="V4" s="2941"/>
      <c r="W4" s="2941"/>
      <c r="X4" s="2941"/>
      <c r="Y4" s="2941"/>
      <c r="Z4" s="2941"/>
      <c r="AA4" s="2941"/>
      <c r="AB4" s="2941"/>
    </row>
    <row r="5" spans="1:28" ht="21.6" customHeight="1">
      <c r="A5" s="320" t="str">
        <f>A95</f>
        <v>07.01.02. (T)</v>
      </c>
      <c r="B5" s="2941" t="str">
        <f>B95</f>
        <v>Remti sveikatos priežiūros paslaugų teikimą nustatytų kategorijų žmonėms</v>
      </c>
      <c r="C5" s="2941"/>
      <c r="D5" s="2941"/>
      <c r="E5" s="2941"/>
      <c r="F5" s="2941"/>
      <c r="G5" s="2941"/>
      <c r="H5" s="2941"/>
      <c r="I5" s="2941"/>
      <c r="J5" s="2941"/>
      <c r="K5" s="2941"/>
      <c r="L5" s="2941"/>
      <c r="M5" s="2941"/>
      <c r="N5" s="2941"/>
      <c r="O5" s="2941"/>
      <c r="P5" s="2941"/>
      <c r="Q5" s="2941"/>
      <c r="R5" s="2941"/>
      <c r="S5" s="2941"/>
      <c r="T5" s="2941"/>
      <c r="U5" s="2941"/>
      <c r="V5" s="2941"/>
      <c r="W5" s="2941"/>
      <c r="X5" s="2941"/>
      <c r="Y5" s="2941"/>
      <c r="Z5" s="2941"/>
      <c r="AA5" s="2941"/>
      <c r="AB5" s="2941"/>
    </row>
    <row r="6" spans="1:28" s="401" customFormat="1" ht="13.8" customHeight="1">
      <c r="J6" s="512"/>
      <c r="M6" s="1615"/>
      <c r="N6" s="1456"/>
      <c r="P6" s="1615"/>
      <c r="R6" s="1615"/>
    </row>
    <row r="7" spans="1:28" ht="14.4" customHeight="1">
      <c r="A7" s="2857" t="s">
        <v>3827</v>
      </c>
      <c r="B7" s="2857"/>
      <c r="C7" s="2857"/>
      <c r="D7" s="2857"/>
      <c r="E7" s="2857"/>
      <c r="F7" s="649"/>
      <c r="G7" s="649"/>
      <c r="H7" s="1051"/>
      <c r="I7" s="1051"/>
      <c r="J7" s="1052"/>
      <c r="K7" s="103"/>
      <c r="L7" s="103"/>
      <c r="M7" s="1492"/>
      <c r="N7" s="1455"/>
      <c r="O7" s="103"/>
      <c r="P7" s="1492"/>
      <c r="Q7" s="103"/>
      <c r="R7" s="1492"/>
      <c r="S7" s="103"/>
      <c r="T7" s="103"/>
      <c r="U7" s="103"/>
      <c r="V7" s="103"/>
      <c r="W7" s="219"/>
      <c r="X7" s="219"/>
      <c r="Y7" s="219"/>
      <c r="Z7" s="219"/>
      <c r="AA7" s="219"/>
      <c r="AB7" s="219"/>
    </row>
    <row r="8" spans="1:28" ht="21" customHeight="1">
      <c r="A8" s="2941" t="s">
        <v>3854</v>
      </c>
      <c r="B8" s="2941"/>
      <c r="C8" s="2941"/>
      <c r="D8" s="2941"/>
      <c r="E8" s="2941"/>
      <c r="F8" s="2941"/>
      <c r="G8" s="2941"/>
      <c r="H8" s="2941"/>
      <c r="I8" s="2941"/>
      <c r="J8" s="2941"/>
      <c r="K8" s="2941"/>
      <c r="L8" s="2941"/>
      <c r="M8" s="2941"/>
      <c r="N8" s="2941"/>
      <c r="O8" s="2941"/>
      <c r="P8" s="2941"/>
      <c r="Q8" s="2941"/>
      <c r="R8" s="2941"/>
      <c r="S8" s="2941"/>
      <c r="T8" s="2941"/>
      <c r="U8" s="2941"/>
      <c r="V8" s="2941"/>
      <c r="W8" s="219"/>
      <c r="X8" s="219"/>
      <c r="Y8" s="219"/>
      <c r="Z8" s="219"/>
      <c r="AA8" s="219"/>
      <c r="AB8" s="219"/>
    </row>
    <row r="9" spans="1:28" ht="23.4" customHeight="1">
      <c r="A9" s="285" t="s">
        <v>3619</v>
      </c>
      <c r="B9" s="354"/>
      <c r="C9" s="354"/>
      <c r="D9" s="354"/>
      <c r="E9" s="354"/>
      <c r="F9" s="355"/>
      <c r="G9" s="354"/>
      <c r="H9" s="354"/>
      <c r="I9" s="354"/>
      <c r="J9" s="513"/>
      <c r="K9" s="354"/>
      <c r="L9" s="354"/>
      <c r="M9" s="1616"/>
      <c r="N9" s="1457"/>
      <c r="O9" s="354"/>
      <c r="P9" s="1616"/>
      <c r="Q9" s="354"/>
      <c r="R9" s="1616"/>
      <c r="S9" s="354"/>
      <c r="T9" s="354"/>
    </row>
    <row r="10" spans="1:28" ht="88.2" customHeight="1">
      <c r="A10" s="2691" t="s">
        <v>728</v>
      </c>
      <c r="B10" s="2691" t="s">
        <v>1899</v>
      </c>
      <c r="C10" s="2717" t="s">
        <v>1064</v>
      </c>
      <c r="D10" s="2717" t="s">
        <v>1065</v>
      </c>
      <c r="E10" s="2715" t="s">
        <v>1081</v>
      </c>
      <c r="F10" s="2715" t="s">
        <v>1173</v>
      </c>
      <c r="G10" s="2820" t="s">
        <v>1079</v>
      </c>
      <c r="H10" s="2691" t="s">
        <v>1916</v>
      </c>
      <c r="I10" s="2715" t="s">
        <v>2882</v>
      </c>
      <c r="J10" s="2715" t="s">
        <v>2883</v>
      </c>
      <c r="K10" s="2691" t="s">
        <v>1915</v>
      </c>
      <c r="L10" s="2691" t="s">
        <v>1970</v>
      </c>
      <c r="M10" s="2692" t="s">
        <v>3824</v>
      </c>
      <c r="N10" s="3156" t="s">
        <v>3835</v>
      </c>
      <c r="O10" s="2691" t="s">
        <v>2881</v>
      </c>
      <c r="P10" s="2692" t="s">
        <v>3825</v>
      </c>
      <c r="Q10" s="2691" t="s">
        <v>3823</v>
      </c>
      <c r="R10" s="2692" t="s">
        <v>3826</v>
      </c>
      <c r="S10" s="2691" t="s">
        <v>1937</v>
      </c>
      <c r="T10" s="2691" t="s">
        <v>2740</v>
      </c>
      <c r="U10" s="2713" t="s">
        <v>729</v>
      </c>
      <c r="V10" s="2713" t="s">
        <v>1083</v>
      </c>
      <c r="W10" s="2745" t="s">
        <v>730</v>
      </c>
      <c r="X10" s="2746"/>
      <c r="Y10" s="2746"/>
      <c r="Z10" s="2746"/>
      <c r="AA10" s="2747"/>
      <c r="AB10" s="3167" t="s">
        <v>731</v>
      </c>
    </row>
    <row r="11" spans="1:28" ht="45" customHeight="1">
      <c r="A11" s="2691"/>
      <c r="B11" s="2691"/>
      <c r="C11" s="2717"/>
      <c r="D11" s="2717"/>
      <c r="E11" s="2715"/>
      <c r="F11" s="2715"/>
      <c r="G11" s="2820"/>
      <c r="H11" s="2691"/>
      <c r="I11" s="2715"/>
      <c r="J11" s="2715"/>
      <c r="K11" s="2691"/>
      <c r="L11" s="2691"/>
      <c r="M11" s="2692"/>
      <c r="N11" s="3157"/>
      <c r="O11" s="2691"/>
      <c r="P11" s="2692"/>
      <c r="Q11" s="2691"/>
      <c r="R11" s="2692"/>
      <c r="S11" s="2691"/>
      <c r="T11" s="2691"/>
      <c r="U11" s="2713"/>
      <c r="V11" s="2713"/>
      <c r="W11" s="203">
        <v>2024</v>
      </c>
      <c r="X11" s="203">
        <v>2025</v>
      </c>
      <c r="Y11" s="203">
        <v>2026</v>
      </c>
      <c r="Z11" s="404">
        <v>2027</v>
      </c>
      <c r="AA11" s="404">
        <v>2028</v>
      </c>
      <c r="AB11" s="3168"/>
    </row>
    <row r="12" spans="1:28" ht="41.25" customHeight="1">
      <c r="A12" s="697" t="s">
        <v>2039</v>
      </c>
      <c r="B12" s="663" t="s">
        <v>1234</v>
      </c>
      <c r="C12" s="697"/>
      <c r="D12" s="697"/>
      <c r="E12" s="745">
        <f>SUM(E15,E19,E23,E27,E31,E35,E42,E44,E46,E51,E67,E86,)</f>
        <v>224.404</v>
      </c>
      <c r="F12" s="897">
        <f>H12/E12-1</f>
        <v>1.905830555605069</v>
      </c>
      <c r="G12" s="745">
        <f>SUM(G15,G19,G23,G27,G31,G35,G42,G44,G46,G51,G67,G86,)</f>
        <v>626.70000000000005</v>
      </c>
      <c r="H12" s="746">
        <f>SUM(H15,H19,H23,H27,H31,H35,H42,H44,H46,H51,H67,H86,)</f>
        <v>652.07999999999993</v>
      </c>
      <c r="I12" s="747">
        <f>K12/H12-1</f>
        <v>1.3628695865537979</v>
      </c>
      <c r="J12" s="1055">
        <f>SUM(J15,J19,J23,J27,J31,J35,J42,J44,J46,J51,J67,J86,)</f>
        <v>1323.5790000000002</v>
      </c>
      <c r="K12" s="746">
        <f>SUM(K15,K19,K23,K27,K31,K35,K42,K44,K46,K51,K67,K86,)</f>
        <v>1540.7800000000002</v>
      </c>
      <c r="L12" s="746">
        <f>SUM(L15,L19,L23,L27,L31,L35,L42,L44,L46,L51,L67,L86,)</f>
        <v>1952.2180000000001</v>
      </c>
      <c r="M12" s="1497">
        <f>SUM(M15,M19,M23,M27,M31,M35,M42,M44,M46,M51,M67,M86,)</f>
        <v>1769.0709999999999</v>
      </c>
      <c r="N12" s="1523">
        <f>(L12-K12)/K12</f>
        <v>0.2670322823504977</v>
      </c>
      <c r="O12" s="746">
        <f>SUM(O15,O19,O23,O27,O31,O35,O42,O44,O46,O51,O67,O86,)</f>
        <v>664.31499999999994</v>
      </c>
      <c r="P12" s="746">
        <f t="shared" ref="P12:Q12" si="0">SUM(P15,P19,P23,P27,P31,P35,P42,P44,P46,P51,P67,P86,)</f>
        <v>656.02200000000005</v>
      </c>
      <c r="Q12" s="746">
        <f t="shared" si="0"/>
        <v>604.31499999999994</v>
      </c>
      <c r="R12" s="1497">
        <f>SUM(R15,R19,R23,R27,R31,R35,R42,R44,R46,R51,R67,R86,)</f>
        <v>596.02200000000005</v>
      </c>
      <c r="S12" s="697" t="s">
        <v>925</v>
      </c>
      <c r="T12" s="962"/>
      <c r="U12" s="671" t="s">
        <v>1488</v>
      </c>
      <c r="V12" s="671" t="s">
        <v>2232</v>
      </c>
      <c r="W12" s="671" t="s">
        <v>2595</v>
      </c>
      <c r="X12" s="671" t="s">
        <v>3376</v>
      </c>
      <c r="Y12" s="671" t="s">
        <v>4275</v>
      </c>
      <c r="Z12" s="671" t="s">
        <v>4275</v>
      </c>
      <c r="AA12" s="671" t="s">
        <v>4275</v>
      </c>
      <c r="AB12" s="671" t="s">
        <v>2232</v>
      </c>
    </row>
    <row r="13" spans="1:28" ht="37.950000000000003" customHeight="1">
      <c r="A13" s="2879" t="s">
        <v>2030</v>
      </c>
      <c r="B13" s="2695" t="s">
        <v>1235</v>
      </c>
      <c r="C13" s="2723">
        <v>188711925</v>
      </c>
      <c r="D13" s="719" t="s">
        <v>2598</v>
      </c>
      <c r="E13" s="720">
        <v>12.804</v>
      </c>
      <c r="F13" s="892">
        <f>H13/E13-1</f>
        <v>-0.13308341143392699</v>
      </c>
      <c r="G13" s="720">
        <v>0</v>
      </c>
      <c r="H13" s="722">
        <f>19.54-H14</f>
        <v>11.1</v>
      </c>
      <c r="I13" s="723">
        <f t="shared" ref="I13:I37" si="1">K13/H13-1</f>
        <v>7.2072072072072224E-2</v>
      </c>
      <c r="J13" s="657">
        <v>20</v>
      </c>
      <c r="K13" s="722">
        <v>11.9</v>
      </c>
      <c r="L13" s="722">
        <v>12</v>
      </c>
      <c r="M13" s="1496">
        <v>12</v>
      </c>
      <c r="N13" s="2130">
        <f t="shared" ref="N13:N77" si="2">(L13-K13)/K13</f>
        <v>8.4033613445377853E-3</v>
      </c>
      <c r="O13" s="722">
        <v>12</v>
      </c>
      <c r="P13" s="1496">
        <v>12</v>
      </c>
      <c r="Q13" s="722">
        <v>12</v>
      </c>
      <c r="R13" s="1496">
        <v>12</v>
      </c>
      <c r="S13" s="2871" t="s">
        <v>2236</v>
      </c>
      <c r="T13" s="2704" t="s">
        <v>2588</v>
      </c>
      <c r="U13" s="2694" t="s">
        <v>1489</v>
      </c>
      <c r="V13" s="2694" t="s">
        <v>1504</v>
      </c>
      <c r="W13" s="2694" t="s">
        <v>1420</v>
      </c>
      <c r="X13" s="2694" t="s">
        <v>403</v>
      </c>
      <c r="Y13" s="2694" t="s">
        <v>1332</v>
      </c>
      <c r="Z13" s="2694" t="s">
        <v>1332</v>
      </c>
      <c r="AA13" s="2694" t="s">
        <v>1332</v>
      </c>
      <c r="AB13" s="3084" t="s">
        <v>2237</v>
      </c>
    </row>
    <row r="14" spans="1:28" ht="38.4" customHeight="1">
      <c r="A14" s="2879"/>
      <c r="B14" s="2695"/>
      <c r="C14" s="2723"/>
      <c r="D14" s="719" t="s">
        <v>2855</v>
      </c>
      <c r="E14" s="720"/>
      <c r="F14" s="892"/>
      <c r="G14" s="720"/>
      <c r="H14" s="722">
        <v>8.44</v>
      </c>
      <c r="I14" s="723">
        <f t="shared" si="1"/>
        <v>0.58850710900473935</v>
      </c>
      <c r="J14" s="657"/>
      <c r="K14" s="722">
        <v>13.407</v>
      </c>
      <c r="L14" s="722"/>
      <c r="M14" s="1496"/>
      <c r="N14" s="2130">
        <f t="shared" si="2"/>
        <v>-1</v>
      </c>
      <c r="O14" s="722"/>
      <c r="P14" s="1496"/>
      <c r="Q14" s="722"/>
      <c r="R14" s="1496"/>
      <c r="S14" s="2871"/>
      <c r="T14" s="2704"/>
      <c r="U14" s="2694"/>
      <c r="V14" s="2694"/>
      <c r="W14" s="2694"/>
      <c r="X14" s="2694"/>
      <c r="Y14" s="2694"/>
      <c r="Z14" s="2694"/>
      <c r="AA14" s="2694"/>
      <c r="AB14" s="3085"/>
    </row>
    <row r="15" spans="1:28" ht="36.6" customHeight="1">
      <c r="A15" s="2879"/>
      <c r="B15" s="2695"/>
      <c r="C15" s="2723"/>
      <c r="D15" s="725" t="s">
        <v>1067</v>
      </c>
      <c r="E15" s="726">
        <f>SUM(E13:E13)</f>
        <v>12.804</v>
      </c>
      <c r="F15" s="911">
        <f>H15/E15-1</f>
        <v>0.52608559825054657</v>
      </c>
      <c r="G15" s="726">
        <f t="shared" ref="G15" si="3">SUM(G13:G13)</f>
        <v>0</v>
      </c>
      <c r="H15" s="728">
        <f>SUM(H13:H14)</f>
        <v>19.54</v>
      </c>
      <c r="I15" s="729">
        <f t="shared" si="1"/>
        <v>0.29513817809621301</v>
      </c>
      <c r="J15" s="1056">
        <f t="shared" ref="J15:O15" si="4">SUM(J13:J14)</f>
        <v>20</v>
      </c>
      <c r="K15" s="728">
        <f t="shared" si="4"/>
        <v>25.307000000000002</v>
      </c>
      <c r="L15" s="728">
        <f t="shared" si="4"/>
        <v>12</v>
      </c>
      <c r="M15" s="1464">
        <f t="shared" ref="M15" si="5">SUM(M13:M14)</f>
        <v>12</v>
      </c>
      <c r="N15" s="1243">
        <f t="shared" si="2"/>
        <v>-0.52582289485122702</v>
      </c>
      <c r="O15" s="728">
        <f t="shared" si="4"/>
        <v>12</v>
      </c>
      <c r="P15" s="1464">
        <f t="shared" ref="P15:Q15" si="6">SUM(P13:P14)</f>
        <v>12</v>
      </c>
      <c r="Q15" s="728">
        <f t="shared" si="6"/>
        <v>12</v>
      </c>
      <c r="R15" s="1464">
        <f t="shared" ref="R15" si="7">SUM(R13:R14)</f>
        <v>12</v>
      </c>
      <c r="S15" s="2871"/>
      <c r="T15" s="2734"/>
      <c r="U15" s="2694"/>
      <c r="V15" s="2694"/>
      <c r="W15" s="2694"/>
      <c r="X15" s="2694"/>
      <c r="Y15" s="2694"/>
      <c r="Z15" s="2694"/>
      <c r="AA15" s="2694"/>
      <c r="AB15" s="3085"/>
    </row>
    <row r="16" spans="1:28" ht="20.399999999999999" hidden="1" customHeight="1">
      <c r="A16" s="913"/>
      <c r="B16" s="693" t="s">
        <v>3022</v>
      </c>
      <c r="C16" s="894"/>
      <c r="D16" s="682"/>
      <c r="E16" s="734"/>
      <c r="F16" s="906"/>
      <c r="G16" s="734"/>
      <c r="H16" s="681"/>
      <c r="I16" s="778"/>
      <c r="J16" s="734"/>
      <c r="K16" s="681"/>
      <c r="L16" s="681"/>
      <c r="M16" s="1470">
        <v>2.5</v>
      </c>
      <c r="N16" s="778" t="e">
        <f t="shared" si="2"/>
        <v>#DIV/0!</v>
      </c>
      <c r="O16" s="681"/>
      <c r="P16" s="1470">
        <v>3.55</v>
      </c>
      <c r="Q16" s="681"/>
      <c r="R16" s="1470">
        <v>3.5</v>
      </c>
      <c r="S16" s="2871"/>
      <c r="T16" s="655"/>
      <c r="U16" s="656"/>
      <c r="V16" s="656"/>
      <c r="W16" s="656"/>
      <c r="X16" s="656"/>
      <c r="Y16" s="656"/>
      <c r="Z16" s="656"/>
      <c r="AA16" s="656"/>
      <c r="AB16" s="3085"/>
    </row>
    <row r="17" spans="1:28" ht="22.95" hidden="1" customHeight="1">
      <c r="A17" s="913"/>
      <c r="B17" s="693" t="s">
        <v>3941</v>
      </c>
      <c r="C17" s="894"/>
      <c r="D17" s="682"/>
      <c r="E17" s="734"/>
      <c r="F17" s="906"/>
      <c r="G17" s="734"/>
      <c r="H17" s="681"/>
      <c r="I17" s="778"/>
      <c r="J17" s="734"/>
      <c r="K17" s="681"/>
      <c r="L17" s="681"/>
      <c r="M17" s="1470">
        <v>2.8</v>
      </c>
      <c r="N17" s="778" t="e">
        <f t="shared" si="2"/>
        <v>#DIV/0!</v>
      </c>
      <c r="O17" s="681"/>
      <c r="P17" s="1470">
        <v>2.8</v>
      </c>
      <c r="Q17" s="681"/>
      <c r="R17" s="1470">
        <v>2.8</v>
      </c>
      <c r="S17" s="2871"/>
      <c r="T17" s="655"/>
      <c r="U17" s="656"/>
      <c r="V17" s="656"/>
      <c r="W17" s="656"/>
      <c r="X17" s="656"/>
      <c r="Y17" s="656"/>
      <c r="Z17" s="656"/>
      <c r="AA17" s="656"/>
      <c r="AB17" s="3085"/>
    </row>
    <row r="18" spans="1:28" ht="49.2" customHeight="1">
      <c r="A18" s="2879" t="s">
        <v>2031</v>
      </c>
      <c r="B18" s="2695" t="s">
        <v>1236</v>
      </c>
      <c r="C18" s="2723" t="s">
        <v>1071</v>
      </c>
      <c r="D18" s="719" t="s">
        <v>470</v>
      </c>
      <c r="E18" s="720"/>
      <c r="F18" s="720"/>
      <c r="G18" s="720"/>
      <c r="H18" s="722"/>
      <c r="I18" s="723"/>
      <c r="J18" s="657"/>
      <c r="K18" s="722"/>
      <c r="L18" s="722"/>
      <c r="M18" s="1496"/>
      <c r="N18" s="2130"/>
      <c r="O18" s="722"/>
      <c r="P18" s="1496"/>
      <c r="Q18" s="722"/>
      <c r="R18" s="1496"/>
      <c r="S18" s="2871"/>
      <c r="T18" s="2704" t="s">
        <v>2589</v>
      </c>
      <c r="U18" s="2694" t="s">
        <v>1490</v>
      </c>
      <c r="V18" s="2694" t="s">
        <v>1505</v>
      </c>
      <c r="W18" s="2694" t="s">
        <v>403</v>
      </c>
      <c r="X18" s="2694" t="s">
        <v>403</v>
      </c>
      <c r="Y18" s="2694" t="s">
        <v>1707</v>
      </c>
      <c r="Z18" s="2694" t="s">
        <v>1707</v>
      </c>
      <c r="AA18" s="2694" t="s">
        <v>1707</v>
      </c>
      <c r="AB18" s="3085"/>
    </row>
    <row r="19" spans="1:28" ht="38.4" customHeight="1">
      <c r="A19" s="2879"/>
      <c r="B19" s="2695"/>
      <c r="C19" s="2723"/>
      <c r="D19" s="725" t="s">
        <v>1067</v>
      </c>
      <c r="E19" s="726">
        <f>SUM(E18:E18)</f>
        <v>0</v>
      </c>
      <c r="F19" s="726">
        <f t="shared" ref="F19:O19" si="8">SUM(F18:F18)</f>
        <v>0</v>
      </c>
      <c r="G19" s="726">
        <f t="shared" si="8"/>
        <v>0</v>
      </c>
      <c r="H19" s="728">
        <f t="shared" si="8"/>
        <v>0</v>
      </c>
      <c r="I19" s="729"/>
      <c r="J19" s="1056"/>
      <c r="K19" s="728">
        <f t="shared" si="8"/>
        <v>0</v>
      </c>
      <c r="L19" s="728">
        <f t="shared" si="8"/>
        <v>0</v>
      </c>
      <c r="M19" s="1464">
        <f t="shared" ref="M19" si="9">SUM(M18:M18)</f>
        <v>0</v>
      </c>
      <c r="N19" s="1243"/>
      <c r="O19" s="728">
        <f t="shared" si="8"/>
        <v>0</v>
      </c>
      <c r="P19" s="1464">
        <f t="shared" ref="P19:Q19" si="10">SUM(P18:P18)</f>
        <v>0</v>
      </c>
      <c r="Q19" s="728">
        <f t="shared" si="10"/>
        <v>0</v>
      </c>
      <c r="R19" s="1464">
        <f t="shared" ref="R19" si="11">SUM(R18:R18)</f>
        <v>0</v>
      </c>
      <c r="S19" s="2871"/>
      <c r="T19" s="2734"/>
      <c r="U19" s="2694"/>
      <c r="V19" s="2694"/>
      <c r="W19" s="2694"/>
      <c r="X19" s="2694"/>
      <c r="Y19" s="2694"/>
      <c r="Z19" s="2694"/>
      <c r="AA19" s="2694"/>
      <c r="AB19" s="3085"/>
    </row>
    <row r="20" spans="1:28" ht="36" customHeight="1">
      <c r="A20" s="2879" t="s">
        <v>2032</v>
      </c>
      <c r="B20" s="2695" t="s">
        <v>3735</v>
      </c>
      <c r="C20" s="2723" t="s">
        <v>1195</v>
      </c>
      <c r="D20" s="719" t="s">
        <v>1072</v>
      </c>
      <c r="E20" s="720">
        <v>142</v>
      </c>
      <c r="F20" s="892">
        <f>H20/E20-1</f>
        <v>9.5352112676056366E-2</v>
      </c>
      <c r="G20" s="720">
        <v>149.69999999999999</v>
      </c>
      <c r="H20" s="722">
        <f>142.54+13</f>
        <v>155.54</v>
      </c>
      <c r="I20" s="723">
        <f t="shared" si="1"/>
        <v>6.3456345634563593E-2</v>
      </c>
      <c r="J20" s="657">
        <v>152.88999999999999</v>
      </c>
      <c r="K20" s="722">
        <v>165.41</v>
      </c>
      <c r="L20" s="722">
        <f>138.7+30.03</f>
        <v>168.73</v>
      </c>
      <c r="M20" s="1496">
        <f>165.41+1.233</f>
        <v>166.643</v>
      </c>
      <c r="N20" s="2130">
        <f t="shared" si="2"/>
        <v>2.0071337887673013E-2</v>
      </c>
      <c r="O20" s="722">
        <f>138.7+30.03</f>
        <v>168.73</v>
      </c>
      <c r="P20" s="1496">
        <f>165.41+2.467</f>
        <v>167.87700000000001</v>
      </c>
      <c r="Q20" s="722">
        <f>138.7+30.03</f>
        <v>168.73</v>
      </c>
      <c r="R20" s="1496">
        <f>165.41+2.467</f>
        <v>167.87700000000001</v>
      </c>
      <c r="S20" s="2871"/>
      <c r="T20" s="2736" t="s">
        <v>4269</v>
      </c>
      <c r="U20" s="2694" t="s">
        <v>1491</v>
      </c>
      <c r="V20" s="2694" t="s">
        <v>1506</v>
      </c>
      <c r="W20" s="2694" t="s">
        <v>1507</v>
      </c>
      <c r="X20" s="2694" t="s">
        <v>3377</v>
      </c>
      <c r="Y20" s="2694" t="s">
        <v>3377</v>
      </c>
      <c r="Z20" s="2694" t="s">
        <v>3377</v>
      </c>
      <c r="AA20" s="2694" t="s">
        <v>3377</v>
      </c>
      <c r="AB20" s="3085"/>
    </row>
    <row r="21" spans="1:28" ht="33.6" customHeight="1">
      <c r="A21" s="2879"/>
      <c r="B21" s="2695"/>
      <c r="C21" s="2723"/>
      <c r="D21" s="719" t="s">
        <v>470</v>
      </c>
      <c r="E21" s="720"/>
      <c r="F21" s="914"/>
      <c r="G21" s="720"/>
      <c r="H21" s="722"/>
      <c r="I21" s="1014"/>
      <c r="J21" s="657">
        <v>3.5</v>
      </c>
      <c r="K21" s="722">
        <v>4.13</v>
      </c>
      <c r="L21" s="722">
        <v>4.0999999999999996</v>
      </c>
      <c r="M21" s="1496">
        <v>4.0999999999999996</v>
      </c>
      <c r="N21" s="2130">
        <f t="shared" si="2"/>
        <v>-7.2639225181598665E-3</v>
      </c>
      <c r="O21" s="722"/>
      <c r="P21" s="1496"/>
      <c r="Q21" s="722"/>
      <c r="R21" s="1496"/>
      <c r="S21" s="2871"/>
      <c r="T21" s="2736"/>
      <c r="U21" s="2694"/>
      <c r="V21" s="2694"/>
      <c r="W21" s="2694"/>
      <c r="X21" s="2694"/>
      <c r="Y21" s="2694"/>
      <c r="Z21" s="2694"/>
      <c r="AA21" s="2694"/>
      <c r="AB21" s="3085"/>
    </row>
    <row r="22" spans="1:28" ht="33.6" customHeight="1">
      <c r="A22" s="2879"/>
      <c r="B22" s="2695"/>
      <c r="C22" s="2723"/>
      <c r="D22" s="719" t="s">
        <v>2747</v>
      </c>
      <c r="E22" s="720"/>
      <c r="F22" s="914"/>
      <c r="G22" s="720"/>
      <c r="H22" s="722"/>
      <c r="I22" s="1014"/>
      <c r="J22" s="657"/>
      <c r="K22" s="720"/>
      <c r="L22" s="722"/>
      <c r="M22" s="1496"/>
      <c r="N22" s="2130"/>
      <c r="O22" s="722"/>
      <c r="P22" s="1496"/>
      <c r="Q22" s="722"/>
      <c r="R22" s="1496"/>
      <c r="S22" s="2871"/>
      <c r="T22" s="2736"/>
      <c r="U22" s="2694"/>
      <c r="V22" s="2694"/>
      <c r="W22" s="2694"/>
      <c r="X22" s="2694"/>
      <c r="Y22" s="2694"/>
      <c r="Z22" s="2694"/>
      <c r="AA22" s="2694"/>
      <c r="AB22" s="3085"/>
    </row>
    <row r="23" spans="1:28" ht="39.6" customHeight="1">
      <c r="A23" s="2879"/>
      <c r="B23" s="2695"/>
      <c r="C23" s="2723"/>
      <c r="D23" s="725" t="s">
        <v>1067</v>
      </c>
      <c r="E23" s="726">
        <f>SUM(E20:E20)</f>
        <v>142</v>
      </c>
      <c r="F23" s="911">
        <f>H23/E23-1</f>
        <v>9.5352112676056366E-2</v>
      </c>
      <c r="G23" s="726">
        <f t="shared" ref="G23:J23" si="12">SUM(G20:G20)</f>
        <v>149.69999999999999</v>
      </c>
      <c r="H23" s="728">
        <f t="shared" si="12"/>
        <v>155.54</v>
      </c>
      <c r="I23" s="729">
        <f t="shared" si="1"/>
        <v>9.0009000900090008E-2</v>
      </c>
      <c r="J23" s="1056">
        <f t="shared" si="12"/>
        <v>152.88999999999999</v>
      </c>
      <c r="K23" s="728">
        <f>SUM(K20,K21,K22,)</f>
        <v>169.54</v>
      </c>
      <c r="L23" s="728">
        <f>SUM(L20,L21,L22,)</f>
        <v>172.82999999999998</v>
      </c>
      <c r="M23" s="1464">
        <f t="shared" ref="M23" si="13">SUM(M20,M21,M22,)</f>
        <v>170.74299999999999</v>
      </c>
      <c r="N23" s="1243">
        <f t="shared" si="2"/>
        <v>1.9405450041288144E-2</v>
      </c>
      <c r="O23" s="728">
        <f t="shared" ref="O23" si="14">SUM(O20,O21,O22,)</f>
        <v>168.73</v>
      </c>
      <c r="P23" s="1464">
        <f t="shared" ref="P23:Q23" si="15">SUM(P20,P21,P22,)</f>
        <v>167.87700000000001</v>
      </c>
      <c r="Q23" s="728">
        <f t="shared" si="15"/>
        <v>168.73</v>
      </c>
      <c r="R23" s="1464">
        <f t="shared" ref="R23" si="16">SUM(R20,R21,R22,)</f>
        <v>167.87700000000001</v>
      </c>
      <c r="S23" s="2871"/>
      <c r="T23" s="2690"/>
      <c r="U23" s="2694"/>
      <c r="V23" s="2694"/>
      <c r="W23" s="2694"/>
      <c r="X23" s="2694"/>
      <c r="Y23" s="2694"/>
      <c r="Z23" s="2694"/>
      <c r="AA23" s="2694"/>
      <c r="AB23" s="3085"/>
    </row>
    <row r="24" spans="1:28" ht="38.4" customHeight="1">
      <c r="A24" s="2879" t="s">
        <v>2033</v>
      </c>
      <c r="B24" s="2695" t="s">
        <v>1237</v>
      </c>
      <c r="C24" s="2723" t="s">
        <v>1195</v>
      </c>
      <c r="D24" s="719" t="s">
        <v>470</v>
      </c>
      <c r="E24" s="720"/>
      <c r="F24" s="720"/>
      <c r="G24" s="720"/>
      <c r="H24" s="722"/>
      <c r="I24" s="723"/>
      <c r="J24" s="657">
        <f>J29</f>
        <v>20</v>
      </c>
      <c r="K24" s="722">
        <f>K29</f>
        <v>20</v>
      </c>
      <c r="L24" s="1818"/>
      <c r="M24" s="1496">
        <v>60</v>
      </c>
      <c r="N24" s="2130">
        <f t="shared" si="2"/>
        <v>-1</v>
      </c>
      <c r="O24" s="722">
        <v>35</v>
      </c>
      <c r="P24" s="1496">
        <v>3</v>
      </c>
      <c r="Q24" s="722">
        <v>35</v>
      </c>
      <c r="R24" s="1496">
        <v>3</v>
      </c>
      <c r="S24" s="2871"/>
      <c r="T24" s="2704" t="s">
        <v>4271</v>
      </c>
      <c r="U24" s="2694" t="s">
        <v>1492</v>
      </c>
      <c r="V24" s="2694" t="s">
        <v>4270</v>
      </c>
      <c r="W24" s="2694" t="s">
        <v>4</v>
      </c>
      <c r="X24" s="2694" t="s">
        <v>3378</v>
      </c>
      <c r="Y24" s="2694" t="s">
        <v>3378</v>
      </c>
      <c r="Z24" s="2694" t="s">
        <v>3379</v>
      </c>
      <c r="AA24" s="2694" t="s">
        <v>3379</v>
      </c>
      <c r="AB24" s="3085"/>
    </row>
    <row r="25" spans="1:28" ht="33.6" customHeight="1">
      <c r="A25" s="2879"/>
      <c r="B25" s="2695"/>
      <c r="C25" s="2723"/>
      <c r="D25" s="719" t="s">
        <v>2747</v>
      </c>
      <c r="E25" s="720"/>
      <c r="F25" s="720"/>
      <c r="G25" s="720"/>
      <c r="H25" s="722"/>
      <c r="I25" s="723"/>
      <c r="J25" s="657"/>
      <c r="K25" s="722">
        <v>15</v>
      </c>
      <c r="L25" s="722">
        <v>35</v>
      </c>
      <c r="M25" s="1496"/>
      <c r="N25" s="2130">
        <f t="shared" si="2"/>
        <v>1.3333333333333333</v>
      </c>
      <c r="O25" s="722"/>
      <c r="P25" s="1496"/>
      <c r="Q25" s="722"/>
      <c r="R25" s="1496"/>
      <c r="S25" s="2871"/>
      <c r="T25" s="2704"/>
      <c r="U25" s="2694"/>
      <c r="V25" s="2694"/>
      <c r="W25" s="2694"/>
      <c r="X25" s="2694"/>
      <c r="Y25" s="2694"/>
      <c r="Z25" s="2694"/>
      <c r="AA25" s="2694"/>
      <c r="AB25" s="3085"/>
    </row>
    <row r="26" spans="1:28" ht="37.200000000000003" customHeight="1">
      <c r="A26" s="2879"/>
      <c r="B26" s="2695"/>
      <c r="C26" s="2723"/>
      <c r="D26" s="719" t="s">
        <v>246</v>
      </c>
      <c r="E26" s="720"/>
      <c r="F26" s="720"/>
      <c r="G26" s="720"/>
      <c r="H26" s="722"/>
      <c r="I26" s="723"/>
      <c r="J26" s="657"/>
      <c r="K26" s="722"/>
      <c r="L26" s="722"/>
      <c r="M26" s="1496"/>
      <c r="N26" s="2130"/>
      <c r="O26" s="722"/>
      <c r="P26" s="1496"/>
      <c r="Q26" s="722"/>
      <c r="R26" s="1496"/>
      <c r="S26" s="2871"/>
      <c r="T26" s="2704"/>
      <c r="U26" s="2694"/>
      <c r="V26" s="2694"/>
      <c r="W26" s="2694"/>
      <c r="X26" s="2694"/>
      <c r="Y26" s="2694"/>
      <c r="Z26" s="2694"/>
      <c r="AA26" s="2694"/>
      <c r="AB26" s="3085"/>
    </row>
    <row r="27" spans="1:28" ht="42" customHeight="1">
      <c r="A27" s="2879"/>
      <c r="B27" s="2695"/>
      <c r="C27" s="2723"/>
      <c r="D27" s="725" t="s">
        <v>1067</v>
      </c>
      <c r="E27" s="726">
        <f>SUM(E24:E24)</f>
        <v>0</v>
      </c>
      <c r="F27" s="726">
        <f t="shared" ref="F27:H27" si="17">SUM(F24:F24)</f>
        <v>0</v>
      </c>
      <c r="G27" s="726">
        <f t="shared" si="17"/>
        <v>0</v>
      </c>
      <c r="H27" s="728">
        <f t="shared" si="17"/>
        <v>0</v>
      </c>
      <c r="I27" s="729"/>
      <c r="J27" s="1056">
        <f>J24</f>
        <v>20</v>
      </c>
      <c r="K27" s="728">
        <f>SUM(K24,K25)</f>
        <v>35</v>
      </c>
      <c r="L27" s="728">
        <f>SUM(L24,L25,L26)</f>
        <v>35</v>
      </c>
      <c r="M27" s="1464">
        <f t="shared" ref="M27" si="18">M24</f>
        <v>60</v>
      </c>
      <c r="N27" s="1243">
        <f t="shared" si="2"/>
        <v>0</v>
      </c>
      <c r="O27" s="728">
        <f t="shared" ref="O27" si="19">O24</f>
        <v>35</v>
      </c>
      <c r="P27" s="1464">
        <f t="shared" ref="P27:Q27" si="20">P24</f>
        <v>3</v>
      </c>
      <c r="Q27" s="728">
        <f t="shared" si="20"/>
        <v>35</v>
      </c>
      <c r="R27" s="1464">
        <f t="shared" ref="R27" si="21">R24</f>
        <v>3</v>
      </c>
      <c r="S27" s="2871"/>
      <c r="T27" s="2734"/>
      <c r="U27" s="2694"/>
      <c r="V27" s="2694"/>
      <c r="W27" s="2694"/>
      <c r="X27" s="2694"/>
      <c r="Y27" s="2694"/>
      <c r="Z27" s="2694"/>
      <c r="AA27" s="2694"/>
      <c r="AB27" s="3085"/>
    </row>
    <row r="28" spans="1:28" ht="48" hidden="1" customHeight="1">
      <c r="A28" s="693" t="s">
        <v>4176</v>
      </c>
      <c r="B28" s="2018" t="s">
        <v>4175</v>
      </c>
      <c r="C28" s="894"/>
      <c r="D28" s="700"/>
      <c r="E28" s="755"/>
      <c r="F28" s="755"/>
      <c r="G28" s="755"/>
      <c r="H28" s="737"/>
      <c r="I28" s="733"/>
      <c r="J28" s="734"/>
      <c r="K28" s="737"/>
      <c r="L28" s="755"/>
      <c r="M28" s="1465"/>
      <c r="N28" s="778" t="e">
        <f t="shared" si="2"/>
        <v>#DIV/0!</v>
      </c>
      <c r="O28" s="737"/>
      <c r="P28" s="1465"/>
      <c r="Q28" s="737"/>
      <c r="R28" s="1465"/>
      <c r="S28" s="2871"/>
      <c r="T28" s="655"/>
      <c r="U28" s="656"/>
      <c r="V28" s="656"/>
      <c r="W28" s="656"/>
      <c r="X28" s="656"/>
      <c r="Y28" s="656"/>
      <c r="Z28" s="656"/>
      <c r="AA28" s="656"/>
      <c r="AB28" s="3085"/>
    </row>
    <row r="29" spans="1:28" ht="51.6" hidden="1" customHeight="1">
      <c r="A29" s="688" t="s">
        <v>3088</v>
      </c>
      <c r="B29" s="925"/>
      <c r="C29" s="1333"/>
      <c r="D29" s="780"/>
      <c r="E29" s="757"/>
      <c r="F29" s="757"/>
      <c r="G29" s="757"/>
      <c r="H29" s="689"/>
      <c r="I29" s="756"/>
      <c r="J29" s="734">
        <v>20</v>
      </c>
      <c r="K29" s="681">
        <f>20</f>
        <v>20</v>
      </c>
      <c r="L29" s="681">
        <v>2</v>
      </c>
      <c r="M29" s="1470">
        <v>2</v>
      </c>
      <c r="N29" s="778">
        <f t="shared" si="2"/>
        <v>-0.9</v>
      </c>
      <c r="O29" s="681">
        <v>3</v>
      </c>
      <c r="P29" s="1470">
        <v>3</v>
      </c>
      <c r="Q29" s="681">
        <v>3</v>
      </c>
      <c r="R29" s="1470">
        <v>3</v>
      </c>
      <c r="S29" s="2871"/>
      <c r="T29" s="907" t="s">
        <v>3089</v>
      </c>
      <c r="U29" s="688"/>
      <c r="V29" s="688"/>
      <c r="W29" s="688"/>
      <c r="X29" s="688"/>
      <c r="Y29" s="688"/>
      <c r="Z29" s="688"/>
      <c r="AA29" s="688"/>
      <c r="AB29" s="3085"/>
    </row>
    <row r="30" spans="1:28" ht="40.200000000000003" customHeight="1">
      <c r="A30" s="2694" t="s">
        <v>4151</v>
      </c>
      <c r="B30" s="2695" t="s">
        <v>4381</v>
      </c>
      <c r="C30" s="2723" t="s">
        <v>1071</v>
      </c>
      <c r="D30" s="719" t="s">
        <v>470</v>
      </c>
      <c r="E30" s="720"/>
      <c r="F30" s="720"/>
      <c r="G30" s="720"/>
      <c r="H30" s="722"/>
      <c r="I30" s="723"/>
      <c r="J30" s="657"/>
      <c r="K30" s="722"/>
      <c r="L30" s="722">
        <v>6</v>
      </c>
      <c r="M30" s="722">
        <v>6</v>
      </c>
      <c r="N30" s="1241"/>
      <c r="O30" s="722">
        <v>6</v>
      </c>
      <c r="P30" s="1496">
        <v>6</v>
      </c>
      <c r="Q30" s="722">
        <v>6</v>
      </c>
      <c r="R30" s="1496">
        <v>6</v>
      </c>
      <c r="S30" s="2871"/>
      <c r="T30" s="2704" t="s">
        <v>4152</v>
      </c>
      <c r="U30" s="2694" t="s">
        <v>1493</v>
      </c>
      <c r="V30" s="3028" t="s">
        <v>4153</v>
      </c>
      <c r="W30" s="2694"/>
      <c r="X30" s="2694"/>
      <c r="Y30" s="2694" t="s">
        <v>1372</v>
      </c>
      <c r="Z30" s="2694" t="s">
        <v>1372</v>
      </c>
      <c r="AA30" s="2694" t="s">
        <v>1372</v>
      </c>
      <c r="AB30" s="3085"/>
    </row>
    <row r="31" spans="1:28" ht="37.950000000000003" customHeight="1">
      <c r="A31" s="2879"/>
      <c r="B31" s="2695"/>
      <c r="C31" s="2723"/>
      <c r="D31" s="725" t="s">
        <v>1067</v>
      </c>
      <c r="E31" s="726">
        <f>SUM(E30:E30)</f>
        <v>0</v>
      </c>
      <c r="F31" s="726">
        <f t="shared" ref="F31:O31" si="22">SUM(F30:F30)</f>
        <v>0</v>
      </c>
      <c r="G31" s="726">
        <f t="shared" si="22"/>
        <v>0</v>
      </c>
      <c r="H31" s="728">
        <f t="shared" si="22"/>
        <v>0</v>
      </c>
      <c r="I31" s="729"/>
      <c r="J31" s="1056"/>
      <c r="K31" s="728">
        <f t="shared" si="22"/>
        <v>0</v>
      </c>
      <c r="L31" s="728">
        <f t="shared" si="22"/>
        <v>6</v>
      </c>
      <c r="M31" s="1464">
        <f t="shared" ref="M31" si="23">SUM(M30:M30)</f>
        <v>6</v>
      </c>
      <c r="N31" s="1243"/>
      <c r="O31" s="728">
        <f t="shared" si="22"/>
        <v>6</v>
      </c>
      <c r="P31" s="1464">
        <f t="shared" ref="P31:Q31" si="24">SUM(P30:P30)</f>
        <v>6</v>
      </c>
      <c r="Q31" s="728">
        <f t="shared" si="24"/>
        <v>6</v>
      </c>
      <c r="R31" s="1464">
        <f t="shared" ref="R31" si="25">SUM(R30:R30)</f>
        <v>6</v>
      </c>
      <c r="S31" s="2871"/>
      <c r="T31" s="2734"/>
      <c r="U31" s="2694"/>
      <c r="V31" s="2891"/>
      <c r="W31" s="2694"/>
      <c r="X31" s="2694"/>
      <c r="Y31" s="2694"/>
      <c r="Z31" s="2694"/>
      <c r="AA31" s="2694"/>
      <c r="AB31" s="3085"/>
    </row>
    <row r="32" spans="1:28" ht="37.950000000000003" hidden="1" customHeight="1">
      <c r="A32" s="913"/>
      <c r="B32" s="693" t="s">
        <v>1355</v>
      </c>
      <c r="C32" s="894"/>
      <c r="D32" s="682"/>
      <c r="E32" s="681"/>
      <c r="F32" s="681"/>
      <c r="G32" s="681"/>
      <c r="H32" s="681"/>
      <c r="I32" s="778"/>
      <c r="J32" s="681"/>
      <c r="K32" s="681"/>
      <c r="L32" s="681">
        <v>2</v>
      </c>
      <c r="M32" s="681"/>
      <c r="N32" s="778"/>
      <c r="O32" s="681"/>
      <c r="P32" s="681"/>
      <c r="Q32" s="681"/>
      <c r="R32" s="681"/>
      <c r="S32" s="2871"/>
      <c r="T32" s="655"/>
      <c r="U32" s="656"/>
      <c r="V32" s="2019"/>
      <c r="W32" s="656"/>
      <c r="X32" s="656"/>
      <c r="Y32" s="656"/>
      <c r="Z32" s="656"/>
      <c r="AA32" s="656"/>
      <c r="AB32" s="3085"/>
    </row>
    <row r="33" spans="1:29" ht="34.5" customHeight="1">
      <c r="A33" s="2879" t="s">
        <v>2034</v>
      </c>
      <c r="B33" s="2695" t="s">
        <v>3736</v>
      </c>
      <c r="C33" s="2723" t="s">
        <v>1071</v>
      </c>
      <c r="D33" s="719" t="s">
        <v>470</v>
      </c>
      <c r="E33" s="720">
        <f>E39</f>
        <v>0.6</v>
      </c>
      <c r="F33" s="892">
        <f>H33/E33-1</f>
        <v>0.16666666666666674</v>
      </c>
      <c r="G33" s="720">
        <v>0.7</v>
      </c>
      <c r="H33" s="722">
        <v>0.7</v>
      </c>
      <c r="I33" s="723">
        <f t="shared" si="1"/>
        <v>0.14285714285714302</v>
      </c>
      <c r="J33" s="657"/>
      <c r="K33" s="722">
        <v>0.8</v>
      </c>
      <c r="L33" s="722">
        <f>L39</f>
        <v>0.96</v>
      </c>
      <c r="M33" s="1496">
        <f>M39</f>
        <v>0.96499999999999997</v>
      </c>
      <c r="N33" s="2130">
        <f t="shared" si="2"/>
        <v>0.1999999999999999</v>
      </c>
      <c r="O33" s="722">
        <f t="shared" ref="O33:R33" si="26">O39</f>
        <v>0.96499999999999997</v>
      </c>
      <c r="P33" s="1496">
        <f t="shared" si="26"/>
        <v>0.96499999999999997</v>
      </c>
      <c r="Q33" s="722">
        <f t="shared" si="26"/>
        <v>0.96499999999999997</v>
      </c>
      <c r="R33" s="1496">
        <f t="shared" si="26"/>
        <v>0.96499999999999997</v>
      </c>
      <c r="S33" s="2871"/>
      <c r="T33" s="2704" t="s">
        <v>1513</v>
      </c>
      <c r="U33" s="2694" t="s">
        <v>1494</v>
      </c>
      <c r="V33" s="2694" t="s">
        <v>2500</v>
      </c>
      <c r="W33" s="2694" t="s">
        <v>1508</v>
      </c>
      <c r="X33" s="2694" t="s">
        <v>1508</v>
      </c>
      <c r="Y33" s="2694" t="s">
        <v>1508</v>
      </c>
      <c r="Z33" s="2694" t="s">
        <v>1508</v>
      </c>
      <c r="AA33" s="2694" t="s">
        <v>1508</v>
      </c>
      <c r="AB33" s="3085"/>
    </row>
    <row r="34" spans="1:29" ht="35.25" customHeight="1">
      <c r="A34" s="2879"/>
      <c r="B34" s="2695"/>
      <c r="C34" s="2723"/>
      <c r="D34" s="719" t="s">
        <v>1072</v>
      </c>
      <c r="E34" s="720">
        <f>E38</f>
        <v>1.8</v>
      </c>
      <c r="F34" s="892">
        <f>H34/E34-1</f>
        <v>5.555555555555558E-2</v>
      </c>
      <c r="G34" s="720">
        <v>1.9</v>
      </c>
      <c r="H34" s="722">
        <v>1.9</v>
      </c>
      <c r="I34" s="723">
        <f t="shared" si="1"/>
        <v>0.84210526315789491</v>
      </c>
      <c r="J34" s="657">
        <v>3.5</v>
      </c>
      <c r="K34" s="722">
        <v>3.5</v>
      </c>
      <c r="L34" s="722">
        <f>L38</f>
        <v>2.7</v>
      </c>
      <c r="M34" s="1496">
        <f>M38</f>
        <v>2.7</v>
      </c>
      <c r="N34" s="2130">
        <f t="shared" si="2"/>
        <v>-0.22857142857142851</v>
      </c>
      <c r="O34" s="722">
        <f t="shared" ref="O34:R34" si="27">O38</f>
        <v>2.7</v>
      </c>
      <c r="P34" s="1496">
        <f t="shared" si="27"/>
        <v>2.7</v>
      </c>
      <c r="Q34" s="722">
        <f t="shared" si="27"/>
        <v>2.7</v>
      </c>
      <c r="R34" s="1496">
        <f t="shared" si="27"/>
        <v>2.7</v>
      </c>
      <c r="S34" s="2871"/>
      <c r="T34" s="2704"/>
      <c r="U34" s="2694"/>
      <c r="V34" s="2694"/>
      <c r="W34" s="2694"/>
      <c r="X34" s="2694"/>
      <c r="Y34" s="2694"/>
      <c r="Z34" s="2694"/>
      <c r="AA34" s="2694"/>
      <c r="AB34" s="3085"/>
    </row>
    <row r="35" spans="1:29" s="356" customFormat="1" ht="15.6" customHeight="1">
      <c r="A35" s="2879"/>
      <c r="B35" s="2695"/>
      <c r="C35" s="2723"/>
      <c r="D35" s="3158" t="s">
        <v>1067</v>
      </c>
      <c r="E35" s="3159">
        <f>SUM(E33:E34)</f>
        <v>2.4</v>
      </c>
      <c r="F35" s="3160">
        <f t="shared" ref="F35:L35" si="28">SUM(F33:F34)</f>
        <v>0.22222222222222232</v>
      </c>
      <c r="G35" s="3159">
        <f t="shared" si="28"/>
        <v>2.5999999999999996</v>
      </c>
      <c r="H35" s="3112">
        <f t="shared" si="28"/>
        <v>2.5999999999999996</v>
      </c>
      <c r="I35" s="3154">
        <f t="shared" si="1"/>
        <v>0.65384615384615397</v>
      </c>
      <c r="J35" s="3155"/>
      <c r="K35" s="3112">
        <f t="shared" si="28"/>
        <v>4.3</v>
      </c>
      <c r="L35" s="3112">
        <f t="shared" si="28"/>
        <v>3.66</v>
      </c>
      <c r="M35" s="3111">
        <f t="shared" ref="M35" si="29">SUM(M33:M34)</f>
        <v>3.665</v>
      </c>
      <c r="N35" s="3101">
        <f t="shared" si="2"/>
        <v>-0.14883720930232552</v>
      </c>
      <c r="O35" s="3112">
        <f t="shared" ref="O35:P35" si="30">SUM(O33:O34)</f>
        <v>3.665</v>
      </c>
      <c r="P35" s="3111">
        <f t="shared" si="30"/>
        <v>3.665</v>
      </c>
      <c r="Q35" s="3112">
        <f t="shared" ref="Q35:R35" si="31">SUM(Q33:Q34)</f>
        <v>3.665</v>
      </c>
      <c r="R35" s="3111">
        <f t="shared" si="31"/>
        <v>3.665</v>
      </c>
      <c r="S35" s="2871"/>
      <c r="T35" s="2704"/>
      <c r="U35" s="2694"/>
      <c r="V35" s="2694"/>
      <c r="W35" s="2694"/>
      <c r="X35" s="2694"/>
      <c r="Y35" s="2694"/>
      <c r="Z35" s="2694"/>
      <c r="AA35" s="2694"/>
      <c r="AB35" s="3085"/>
    </row>
    <row r="36" spans="1:29" s="356" customFormat="1" ht="44.25" customHeight="1">
      <c r="A36" s="2879"/>
      <c r="B36" s="2695"/>
      <c r="C36" s="2723"/>
      <c r="D36" s="3158"/>
      <c r="E36" s="3159"/>
      <c r="F36" s="3160"/>
      <c r="G36" s="3159"/>
      <c r="H36" s="3112"/>
      <c r="I36" s="3154" t="e">
        <f t="shared" si="1"/>
        <v>#DIV/0!</v>
      </c>
      <c r="J36" s="3155"/>
      <c r="K36" s="3112"/>
      <c r="L36" s="3112"/>
      <c r="M36" s="3111"/>
      <c r="N36" s="3102" t="e">
        <f t="shared" si="2"/>
        <v>#DIV/0!</v>
      </c>
      <c r="O36" s="3112"/>
      <c r="P36" s="3111"/>
      <c r="Q36" s="3112"/>
      <c r="R36" s="3111"/>
      <c r="S36" s="2871"/>
      <c r="T36" s="2704"/>
      <c r="U36" s="2694"/>
      <c r="V36" s="656" t="s">
        <v>2501</v>
      </c>
      <c r="W36" s="656" t="s">
        <v>1508</v>
      </c>
      <c r="X36" s="656" t="s">
        <v>1508</v>
      </c>
      <c r="Y36" s="656" t="s">
        <v>1508</v>
      </c>
      <c r="Z36" s="656" t="s">
        <v>1508</v>
      </c>
      <c r="AA36" s="656" t="s">
        <v>1508</v>
      </c>
      <c r="AB36" s="3085"/>
      <c r="AC36" s="356" t="s">
        <v>2594</v>
      </c>
    </row>
    <row r="37" spans="1:29" s="356" customFormat="1" ht="37.950000000000003" customHeight="1">
      <c r="A37" s="2879"/>
      <c r="B37" s="2695"/>
      <c r="C37" s="2723"/>
      <c r="D37" s="3158"/>
      <c r="E37" s="3159"/>
      <c r="F37" s="3160"/>
      <c r="G37" s="3159"/>
      <c r="H37" s="3112"/>
      <c r="I37" s="3154" t="e">
        <f t="shared" si="1"/>
        <v>#DIV/0!</v>
      </c>
      <c r="J37" s="3155"/>
      <c r="K37" s="3112"/>
      <c r="L37" s="3112"/>
      <c r="M37" s="3111"/>
      <c r="N37" s="3103" t="e">
        <f t="shared" si="2"/>
        <v>#DIV/0!</v>
      </c>
      <c r="O37" s="3112"/>
      <c r="P37" s="3111"/>
      <c r="Q37" s="3112"/>
      <c r="R37" s="3111"/>
      <c r="S37" s="2871"/>
      <c r="T37" s="2704"/>
      <c r="U37" s="2694"/>
      <c r="V37" s="2694" t="s">
        <v>2502</v>
      </c>
      <c r="W37" s="656" t="s">
        <v>324</v>
      </c>
      <c r="X37" s="2694" t="s">
        <v>324</v>
      </c>
      <c r="Y37" s="2694" t="s">
        <v>324</v>
      </c>
      <c r="Z37" s="2694" t="s">
        <v>324</v>
      </c>
      <c r="AA37" s="2694" t="s">
        <v>324</v>
      </c>
      <c r="AB37" s="3085"/>
    </row>
    <row r="38" spans="1:29" s="356" customFormat="1" ht="18.600000000000001" hidden="1" customHeight="1">
      <c r="A38" s="913"/>
      <c r="B38" s="693" t="s">
        <v>1354</v>
      </c>
      <c r="C38" s="894"/>
      <c r="D38" s="682" t="s">
        <v>1410</v>
      </c>
      <c r="E38" s="734">
        <v>1.8</v>
      </c>
      <c r="F38" s="734"/>
      <c r="G38" s="734"/>
      <c r="H38" s="681">
        <v>1.9</v>
      </c>
      <c r="I38" s="681"/>
      <c r="J38" s="734"/>
      <c r="K38" s="681"/>
      <c r="L38" s="681">
        <v>2.7</v>
      </c>
      <c r="M38" s="1470">
        <v>2.7</v>
      </c>
      <c r="N38" s="778"/>
      <c r="O38" s="681">
        <v>2.7</v>
      </c>
      <c r="P38" s="1470">
        <v>2.7</v>
      </c>
      <c r="Q38" s="681">
        <v>2.7</v>
      </c>
      <c r="R38" s="1470">
        <v>2.7</v>
      </c>
      <c r="S38" s="2871"/>
      <c r="T38" s="2704"/>
      <c r="U38" s="2694"/>
      <c r="V38" s="2694"/>
      <c r="W38" s="672"/>
      <c r="X38" s="2694"/>
      <c r="Y38" s="2694"/>
      <c r="Z38" s="2694"/>
      <c r="AA38" s="2694"/>
      <c r="AB38" s="3085"/>
    </row>
    <row r="39" spans="1:29" s="356" customFormat="1" ht="17.399999999999999" hidden="1" customHeight="1">
      <c r="A39" s="913"/>
      <c r="B39" s="693" t="s">
        <v>339</v>
      </c>
      <c r="C39" s="894"/>
      <c r="D39" s="682" t="s">
        <v>470</v>
      </c>
      <c r="E39" s="734">
        <v>0.6</v>
      </c>
      <c r="F39" s="734"/>
      <c r="G39" s="734">
        <v>0.7</v>
      </c>
      <c r="H39" s="681">
        <v>0.7</v>
      </c>
      <c r="I39" s="681"/>
      <c r="J39" s="734">
        <v>0.8</v>
      </c>
      <c r="K39" s="681">
        <v>0.8</v>
      </c>
      <c r="L39" s="681">
        <v>0.96</v>
      </c>
      <c r="M39" s="1470">
        <v>0.96499999999999997</v>
      </c>
      <c r="N39" s="778">
        <f t="shared" si="2"/>
        <v>0.1999999999999999</v>
      </c>
      <c r="O39" s="681">
        <v>0.96499999999999997</v>
      </c>
      <c r="P39" s="1470">
        <v>0.96499999999999997</v>
      </c>
      <c r="Q39" s="681">
        <v>0.96499999999999997</v>
      </c>
      <c r="R39" s="1470">
        <v>0.96499999999999997</v>
      </c>
      <c r="S39" s="2871"/>
      <c r="T39" s="2704"/>
      <c r="U39" s="2694"/>
      <c r="V39" s="2694"/>
      <c r="W39" s="672"/>
      <c r="X39" s="2694"/>
      <c r="Y39" s="2694"/>
      <c r="Z39" s="2694"/>
      <c r="AA39" s="2694"/>
      <c r="AB39" s="3086"/>
    </row>
    <row r="40" spans="1:29" ht="43.2" customHeight="1">
      <c r="A40" s="2694" t="s">
        <v>3855</v>
      </c>
      <c r="B40" s="2695" t="s">
        <v>3856</v>
      </c>
      <c r="C40" s="2723" t="s">
        <v>1195</v>
      </c>
      <c r="D40" s="719" t="s">
        <v>470</v>
      </c>
      <c r="E40" s="720">
        <v>10</v>
      </c>
      <c r="F40" s="720"/>
      <c r="G40" s="720"/>
      <c r="H40" s="722"/>
      <c r="I40" s="722"/>
      <c r="J40" s="657"/>
      <c r="K40" s="722"/>
      <c r="L40" s="722"/>
      <c r="M40" s="1496">
        <v>300</v>
      </c>
      <c r="N40" s="2130"/>
      <c r="O40" s="722">
        <v>300</v>
      </c>
      <c r="P40" s="1496">
        <v>300</v>
      </c>
      <c r="Q40" s="722">
        <v>300</v>
      </c>
      <c r="R40" s="1496">
        <v>300</v>
      </c>
      <c r="S40" s="2871" t="s">
        <v>2240</v>
      </c>
      <c r="T40" s="2704" t="s">
        <v>4119</v>
      </c>
      <c r="U40" s="2694" t="s">
        <v>1495</v>
      </c>
      <c r="V40" s="2942" t="s">
        <v>2241</v>
      </c>
      <c r="W40" s="2694" t="s">
        <v>433</v>
      </c>
      <c r="X40" s="2694" t="s">
        <v>433</v>
      </c>
      <c r="Y40" s="2694" t="s">
        <v>432</v>
      </c>
      <c r="Z40" s="2694" t="s">
        <v>432</v>
      </c>
      <c r="AA40" s="2694" t="s">
        <v>432</v>
      </c>
      <c r="AB40" s="3084" t="s">
        <v>4380</v>
      </c>
    </row>
    <row r="41" spans="1:29" ht="43.2" customHeight="1">
      <c r="A41" s="2694"/>
      <c r="B41" s="2695"/>
      <c r="C41" s="2723"/>
      <c r="D41" s="719" t="s">
        <v>2747</v>
      </c>
      <c r="E41" s="720"/>
      <c r="F41" s="720"/>
      <c r="G41" s="720"/>
      <c r="H41" s="722"/>
      <c r="I41" s="722"/>
      <c r="J41" s="657"/>
      <c r="K41" s="722"/>
      <c r="L41" s="722">
        <v>460</v>
      </c>
      <c r="M41" s="1496"/>
      <c r="N41" s="2130"/>
      <c r="O41" s="722"/>
      <c r="P41" s="1496"/>
      <c r="Q41" s="722"/>
      <c r="R41" s="1496"/>
      <c r="S41" s="2871"/>
      <c r="T41" s="2704"/>
      <c r="U41" s="2694"/>
      <c r="V41" s="2943"/>
      <c r="W41" s="2694"/>
      <c r="X41" s="2694"/>
      <c r="Y41" s="2694"/>
      <c r="Z41" s="2694"/>
      <c r="AA41" s="2694"/>
      <c r="AB41" s="3085"/>
    </row>
    <row r="42" spans="1:29" ht="43.2" customHeight="1">
      <c r="A42" s="2879"/>
      <c r="B42" s="2695"/>
      <c r="C42" s="2723"/>
      <c r="D42" s="725" t="s">
        <v>1067</v>
      </c>
      <c r="E42" s="726">
        <f>SUM(E40:E40)</f>
        <v>10</v>
      </c>
      <c r="F42" s="726">
        <f>SUM(F40:F40)</f>
        <v>0</v>
      </c>
      <c r="G42" s="726">
        <f>SUM(G40:G40)</f>
        <v>0</v>
      </c>
      <c r="H42" s="728">
        <f>SUM(H40:H40)</f>
        <v>0</v>
      </c>
      <c r="I42" s="728"/>
      <c r="J42" s="1056"/>
      <c r="K42" s="728">
        <f>SUM(K40:K40)</f>
        <v>0</v>
      </c>
      <c r="L42" s="728">
        <f>SUM(L40,L41)</f>
        <v>460</v>
      </c>
      <c r="M42" s="1464">
        <f>SUM(M40:M40)</f>
        <v>300</v>
      </c>
      <c r="N42" s="1243"/>
      <c r="O42" s="728">
        <f>SUM(O40:O40)</f>
        <v>300</v>
      </c>
      <c r="P42" s="1464">
        <f>SUM(P40:P40)</f>
        <v>300</v>
      </c>
      <c r="Q42" s="728">
        <f>SUM(Q40:Q40)</f>
        <v>300</v>
      </c>
      <c r="R42" s="1464">
        <f>SUM(R40:R40)</f>
        <v>300</v>
      </c>
      <c r="S42" s="2871"/>
      <c r="T42" s="2734"/>
      <c r="U42" s="2694"/>
      <c r="V42" s="2944"/>
      <c r="W42" s="2694"/>
      <c r="X42" s="2694"/>
      <c r="Y42" s="2694"/>
      <c r="Z42" s="2694"/>
      <c r="AA42" s="2694"/>
      <c r="AB42" s="3086"/>
    </row>
    <row r="43" spans="1:29" ht="49.2" customHeight="1">
      <c r="A43" s="2879" t="s">
        <v>2035</v>
      </c>
      <c r="B43" s="2695" t="s">
        <v>1238</v>
      </c>
      <c r="C43" s="2723" t="s">
        <v>1195</v>
      </c>
      <c r="D43" s="719" t="s">
        <v>1072</v>
      </c>
      <c r="E43" s="720">
        <v>37.200000000000003</v>
      </c>
      <c r="F43" s="892">
        <f>H43/E43-1</f>
        <v>0.46236559139784927</v>
      </c>
      <c r="G43" s="720">
        <v>54.4</v>
      </c>
      <c r="H43" s="722">
        <v>54.4</v>
      </c>
      <c r="I43" s="723">
        <f t="shared" ref="I43:I51" si="32">K43/H43-1</f>
        <v>-7.9044117647059098E-3</v>
      </c>
      <c r="J43" s="657">
        <v>53.96</v>
      </c>
      <c r="K43" s="722">
        <v>53.97</v>
      </c>
      <c r="L43" s="722">
        <v>53.92</v>
      </c>
      <c r="M43" s="1496">
        <v>53.48</v>
      </c>
      <c r="N43" s="2130">
        <f t="shared" si="2"/>
        <v>-9.2644061515651584E-4</v>
      </c>
      <c r="O43" s="722">
        <v>53.92</v>
      </c>
      <c r="P43" s="1496">
        <v>53.48</v>
      </c>
      <c r="Q43" s="722">
        <v>53.92</v>
      </c>
      <c r="R43" s="1496">
        <v>53.48</v>
      </c>
      <c r="S43" s="2871" t="s">
        <v>2236</v>
      </c>
      <c r="T43" s="2704" t="s">
        <v>1514</v>
      </c>
      <c r="U43" s="2694" t="s">
        <v>1496</v>
      </c>
      <c r="V43" s="2694" t="s">
        <v>2590</v>
      </c>
      <c r="W43" s="2694" t="s">
        <v>1509</v>
      </c>
      <c r="X43" s="2694" t="s">
        <v>3380</v>
      </c>
      <c r="Y43" s="2694" t="s">
        <v>392</v>
      </c>
      <c r="Z43" s="2694" t="s">
        <v>392</v>
      </c>
      <c r="AA43" s="2694" t="s">
        <v>392</v>
      </c>
      <c r="AB43" s="3084" t="s">
        <v>2237</v>
      </c>
    </row>
    <row r="44" spans="1:29" ht="46.95" customHeight="1">
      <c r="A44" s="2879"/>
      <c r="B44" s="2695"/>
      <c r="C44" s="2723"/>
      <c r="D44" s="725" t="s">
        <v>1067</v>
      </c>
      <c r="E44" s="726">
        <f>SUM(E43:E43)</f>
        <v>37.200000000000003</v>
      </c>
      <c r="F44" s="911">
        <f t="shared" ref="F44:O44" si="33">SUM(F43:F43)</f>
        <v>0.46236559139784927</v>
      </c>
      <c r="G44" s="726">
        <f t="shared" si="33"/>
        <v>54.4</v>
      </c>
      <c r="H44" s="728">
        <f t="shared" si="33"/>
        <v>54.4</v>
      </c>
      <c r="I44" s="729">
        <f t="shared" si="32"/>
        <v>-7.9044117647059098E-3</v>
      </c>
      <c r="J44" s="1056">
        <f t="shared" si="33"/>
        <v>53.96</v>
      </c>
      <c r="K44" s="728">
        <f t="shared" si="33"/>
        <v>53.97</v>
      </c>
      <c r="L44" s="728">
        <f t="shared" si="33"/>
        <v>53.92</v>
      </c>
      <c r="M44" s="1464">
        <f t="shared" ref="M44" si="34">SUM(M43:M43)</f>
        <v>53.48</v>
      </c>
      <c r="N44" s="1243">
        <f t="shared" si="2"/>
        <v>-9.2644061515651584E-4</v>
      </c>
      <c r="O44" s="728">
        <f t="shared" si="33"/>
        <v>53.92</v>
      </c>
      <c r="P44" s="1464">
        <f t="shared" ref="P44:Q44" si="35">SUM(P43:P43)</f>
        <v>53.48</v>
      </c>
      <c r="Q44" s="728">
        <f t="shared" si="35"/>
        <v>53.92</v>
      </c>
      <c r="R44" s="1464">
        <f t="shared" ref="R44" si="36">SUM(R43:R43)</f>
        <v>53.48</v>
      </c>
      <c r="S44" s="2871"/>
      <c r="T44" s="2734"/>
      <c r="U44" s="2694"/>
      <c r="V44" s="2694"/>
      <c r="W44" s="2694"/>
      <c r="X44" s="2694"/>
      <c r="Y44" s="2694"/>
      <c r="Z44" s="2694"/>
      <c r="AA44" s="2694"/>
      <c r="AB44" s="3086"/>
    </row>
    <row r="45" spans="1:29" ht="48.6" customHeight="1">
      <c r="A45" s="2879" t="s">
        <v>2036</v>
      </c>
      <c r="B45" s="2695" t="s">
        <v>1239</v>
      </c>
      <c r="C45" s="2723" t="s">
        <v>1195</v>
      </c>
      <c r="D45" s="719" t="s">
        <v>470</v>
      </c>
      <c r="E45" s="720">
        <v>20</v>
      </c>
      <c r="F45" s="892">
        <f>H45/E45-1</f>
        <v>0</v>
      </c>
      <c r="G45" s="720">
        <v>20</v>
      </c>
      <c r="H45" s="722">
        <v>20</v>
      </c>
      <c r="I45" s="723">
        <f t="shared" si="32"/>
        <v>0.25</v>
      </c>
      <c r="J45" s="657">
        <v>25</v>
      </c>
      <c r="K45" s="722">
        <v>25</v>
      </c>
      <c r="L45" s="722">
        <v>25</v>
      </c>
      <c r="M45" s="1496">
        <v>50</v>
      </c>
      <c r="N45" s="2130">
        <f t="shared" si="2"/>
        <v>0</v>
      </c>
      <c r="O45" s="722">
        <v>25</v>
      </c>
      <c r="P45" s="1496">
        <v>50</v>
      </c>
      <c r="Q45" s="722">
        <v>25</v>
      </c>
      <c r="R45" s="1496">
        <v>50</v>
      </c>
      <c r="S45" s="2871" t="s">
        <v>2233</v>
      </c>
      <c r="T45" s="2704" t="s">
        <v>2776</v>
      </c>
      <c r="U45" s="2694" t="s">
        <v>1497</v>
      </c>
      <c r="V45" s="2694" t="s">
        <v>1510</v>
      </c>
      <c r="W45" s="2694" t="s">
        <v>432</v>
      </c>
      <c r="X45" s="2694" t="s">
        <v>1372</v>
      </c>
      <c r="Y45" s="2694" t="s">
        <v>1372</v>
      </c>
      <c r="Z45" s="2694" t="s">
        <v>1372</v>
      </c>
      <c r="AA45" s="2694" t="s">
        <v>1372</v>
      </c>
      <c r="AB45" s="1061" t="s">
        <v>2234</v>
      </c>
    </row>
    <row r="46" spans="1:29" ht="93.75" customHeight="1">
      <c r="A46" s="2879"/>
      <c r="B46" s="2695"/>
      <c r="C46" s="2723"/>
      <c r="D46" s="725" t="s">
        <v>1067</v>
      </c>
      <c r="E46" s="726">
        <f>SUM(E45:E45)</f>
        <v>20</v>
      </c>
      <c r="F46" s="726">
        <f t="shared" ref="F46:O46" si="37">SUM(F45:F45)</f>
        <v>0</v>
      </c>
      <c r="G46" s="726">
        <f t="shared" si="37"/>
        <v>20</v>
      </c>
      <c r="H46" s="728">
        <f t="shared" si="37"/>
        <v>20</v>
      </c>
      <c r="I46" s="729">
        <f t="shared" si="32"/>
        <v>0.25</v>
      </c>
      <c r="J46" s="1056">
        <f t="shared" si="37"/>
        <v>25</v>
      </c>
      <c r="K46" s="728">
        <f t="shared" si="37"/>
        <v>25</v>
      </c>
      <c r="L46" s="728">
        <f>SUM(L45:L45)</f>
        <v>25</v>
      </c>
      <c r="M46" s="1464">
        <f t="shared" ref="M46" si="38">SUM(M45:M45)</f>
        <v>50</v>
      </c>
      <c r="N46" s="1243">
        <f t="shared" si="2"/>
        <v>0</v>
      </c>
      <c r="O46" s="728">
        <f t="shared" si="37"/>
        <v>25</v>
      </c>
      <c r="P46" s="1464">
        <f t="shared" ref="P46:Q46" si="39">SUM(P45:P45)</f>
        <v>50</v>
      </c>
      <c r="Q46" s="728">
        <f t="shared" si="39"/>
        <v>25</v>
      </c>
      <c r="R46" s="1464">
        <f t="shared" ref="R46" si="40">SUM(R45:R45)</f>
        <v>50</v>
      </c>
      <c r="S46" s="2871"/>
      <c r="T46" s="2734"/>
      <c r="U46" s="2694"/>
      <c r="V46" s="2694"/>
      <c r="W46" s="2694"/>
      <c r="X46" s="2694"/>
      <c r="Y46" s="2694"/>
      <c r="Z46" s="2694"/>
      <c r="AA46" s="2694"/>
      <c r="AB46" s="1061" t="s">
        <v>2235</v>
      </c>
    </row>
    <row r="47" spans="1:29" ht="41.25" hidden="1" customHeight="1">
      <c r="A47" s="2879" t="s">
        <v>3233</v>
      </c>
      <c r="B47" s="2695" t="s">
        <v>2774</v>
      </c>
      <c r="C47" s="2723" t="s">
        <v>1071</v>
      </c>
      <c r="D47" s="719" t="s">
        <v>470</v>
      </c>
      <c r="E47" s="720"/>
      <c r="F47" s="720"/>
      <c r="G47" s="720"/>
      <c r="H47" s="722"/>
      <c r="I47" s="723"/>
      <c r="J47" s="657">
        <f>SUM(J52,J56,J60)</f>
        <v>0</v>
      </c>
      <c r="K47" s="722">
        <f t="shared" ref="K47:O47" si="41">SUM(K52,K56,K60)</f>
        <v>0</v>
      </c>
      <c r="L47" s="722">
        <f t="shared" si="41"/>
        <v>0</v>
      </c>
      <c r="M47" s="1496">
        <f t="shared" ref="M47" si="42">SUM(M52,M56,M60)</f>
        <v>0</v>
      </c>
      <c r="N47" s="2130" t="e">
        <f t="shared" si="2"/>
        <v>#DIV/0!</v>
      </c>
      <c r="O47" s="722">
        <f t="shared" si="41"/>
        <v>0</v>
      </c>
      <c r="P47" s="1496">
        <f t="shared" ref="P47:Q47" si="43">SUM(P52,P56,P60)</f>
        <v>0</v>
      </c>
      <c r="Q47" s="722">
        <f t="shared" si="43"/>
        <v>0</v>
      </c>
      <c r="R47" s="1496">
        <f t="shared" ref="R47" si="44">SUM(R52,R56,R60)</f>
        <v>0</v>
      </c>
      <c r="S47" s="2871" t="s">
        <v>2240</v>
      </c>
      <c r="T47" s="2704" t="s">
        <v>4140</v>
      </c>
      <c r="U47" s="2694" t="s">
        <v>1498</v>
      </c>
      <c r="V47" s="656" t="s">
        <v>3740</v>
      </c>
      <c r="W47" s="2694" t="s">
        <v>1372</v>
      </c>
      <c r="X47" s="656" t="s">
        <v>433</v>
      </c>
      <c r="Y47" s="656" t="s">
        <v>3382</v>
      </c>
      <c r="Z47" s="656" t="s">
        <v>433</v>
      </c>
      <c r="AA47" s="656" t="s">
        <v>433</v>
      </c>
      <c r="AB47" s="3084" t="s">
        <v>2241</v>
      </c>
    </row>
    <row r="48" spans="1:29" ht="36.75" hidden="1" customHeight="1">
      <c r="A48" s="2879"/>
      <c r="B48" s="2695"/>
      <c r="C48" s="2723"/>
      <c r="D48" s="719" t="s">
        <v>2747</v>
      </c>
      <c r="E48" s="720"/>
      <c r="F48" s="720"/>
      <c r="G48" s="720"/>
      <c r="H48" s="722"/>
      <c r="I48" s="723"/>
      <c r="J48" s="657"/>
      <c r="K48" s="722"/>
      <c r="L48" s="722"/>
      <c r="M48" s="1496"/>
      <c r="N48" s="2130" t="e">
        <f t="shared" si="2"/>
        <v>#DIV/0!</v>
      </c>
      <c r="O48" s="722"/>
      <c r="P48" s="1496"/>
      <c r="Q48" s="722"/>
      <c r="R48" s="1496"/>
      <c r="S48" s="2871"/>
      <c r="T48" s="2704"/>
      <c r="U48" s="2694"/>
      <c r="V48" s="656" t="s">
        <v>3741</v>
      </c>
      <c r="W48" s="2694"/>
      <c r="X48" s="656" t="s">
        <v>433</v>
      </c>
      <c r="Y48" s="656" t="s">
        <v>3383</v>
      </c>
      <c r="Z48" s="656" t="s">
        <v>433</v>
      </c>
      <c r="AA48" s="656" t="s">
        <v>433</v>
      </c>
      <c r="AB48" s="3085"/>
    </row>
    <row r="49" spans="1:29" ht="47.25" customHeight="1">
      <c r="A49" s="2879"/>
      <c r="B49" s="2695"/>
      <c r="C49" s="2723"/>
      <c r="D49" s="719" t="s">
        <v>246</v>
      </c>
      <c r="E49" s="720">
        <v>0</v>
      </c>
      <c r="F49" s="720"/>
      <c r="G49" s="720">
        <v>400</v>
      </c>
      <c r="H49" s="1062">
        <v>400</v>
      </c>
      <c r="I49" s="1038">
        <f t="shared" si="32"/>
        <v>0.8501725</v>
      </c>
      <c r="J49" s="657">
        <f>SUM(J53,J57,J61)</f>
        <v>590.52500000000009</v>
      </c>
      <c r="K49" s="722">
        <f t="shared" ref="K49:L49" si="45">SUM(K53,K57,K61)</f>
        <v>740.06899999999996</v>
      </c>
      <c r="L49" s="722">
        <f t="shared" si="45"/>
        <v>652.97900000000004</v>
      </c>
      <c r="M49" s="1496">
        <f>SUM(M53,M57,M61)</f>
        <v>652.97800000000007</v>
      </c>
      <c r="N49" s="2130">
        <f t="shared" si="2"/>
        <v>-0.11767821649062442</v>
      </c>
      <c r="O49" s="722"/>
      <c r="P49" s="1496"/>
      <c r="Q49" s="722"/>
      <c r="R49" s="1496"/>
      <c r="S49" s="2871"/>
      <c r="T49" s="2704"/>
      <c r="U49" s="2694"/>
      <c r="V49" s="656" t="s">
        <v>3742</v>
      </c>
      <c r="W49" s="2694"/>
      <c r="X49" s="656" t="s">
        <v>433</v>
      </c>
      <c r="Y49" s="656" t="s">
        <v>3386</v>
      </c>
      <c r="Z49" s="656" t="s">
        <v>433</v>
      </c>
      <c r="AA49" s="656" t="s">
        <v>433</v>
      </c>
      <c r="AB49" s="3085"/>
    </row>
    <row r="50" spans="1:29" ht="32.25" customHeight="1">
      <c r="A50" s="2879"/>
      <c r="B50" s="2695"/>
      <c r="C50" s="2723"/>
      <c r="D50" s="719" t="s">
        <v>412</v>
      </c>
      <c r="E50" s="720"/>
      <c r="F50" s="720"/>
      <c r="G50" s="720"/>
      <c r="H50" s="1062"/>
      <c r="I50" s="1038"/>
      <c r="J50" s="657">
        <f>SUM(J54,J58,J62)</f>
        <v>104.21</v>
      </c>
      <c r="K50" s="722">
        <f t="shared" ref="K50:L50" si="46">SUM(K54,K58,K62)</f>
        <v>130.6</v>
      </c>
      <c r="L50" s="722">
        <f t="shared" si="46"/>
        <v>0</v>
      </c>
      <c r="M50" s="1496">
        <f t="shared" ref="M50" si="47">SUM(M54,M58,M62)</f>
        <v>0</v>
      </c>
      <c r="N50" s="2130">
        <f t="shared" si="2"/>
        <v>-1</v>
      </c>
      <c r="O50" s="722"/>
      <c r="P50" s="1496"/>
      <c r="Q50" s="722"/>
      <c r="R50" s="1496"/>
      <c r="S50" s="2871"/>
      <c r="T50" s="2704"/>
      <c r="U50" s="2694"/>
      <c r="V50" s="2694" t="s">
        <v>3743</v>
      </c>
      <c r="W50" s="2694"/>
      <c r="X50" s="2694" t="s">
        <v>433</v>
      </c>
      <c r="Y50" s="2694" t="s">
        <v>3385</v>
      </c>
      <c r="Z50" s="2694" t="s">
        <v>433</v>
      </c>
      <c r="AA50" s="2694" t="s">
        <v>433</v>
      </c>
      <c r="AB50" s="3085"/>
    </row>
    <row r="51" spans="1:29" ht="32.25" customHeight="1">
      <c r="A51" s="2879"/>
      <c r="B51" s="2695"/>
      <c r="C51" s="2723"/>
      <c r="D51" s="725" t="s">
        <v>1067</v>
      </c>
      <c r="E51" s="726">
        <f>SUM(E47:E47)</f>
        <v>0</v>
      </c>
      <c r="F51" s="726">
        <f t="shared" ref="F51" si="48">SUM(F47:F47)</f>
        <v>0</v>
      </c>
      <c r="G51" s="726">
        <f>SUM(G47:G49)</f>
        <v>400</v>
      </c>
      <c r="H51" s="728">
        <f t="shared" ref="H51" si="49">SUM(H47:H49)</f>
        <v>400</v>
      </c>
      <c r="I51" s="729">
        <f t="shared" si="32"/>
        <v>1.1766725</v>
      </c>
      <c r="J51" s="1056">
        <f>SUM(J47,J49,J50)</f>
        <v>694.73500000000013</v>
      </c>
      <c r="K51" s="728">
        <f t="shared" ref="K51:L51" si="50">SUM(K47,K49,K50)</f>
        <v>870.66899999999998</v>
      </c>
      <c r="L51" s="728">
        <f t="shared" si="50"/>
        <v>652.97900000000004</v>
      </c>
      <c r="M51" s="1464">
        <f t="shared" ref="M51" si="51">SUM(M47,M49,M50)</f>
        <v>652.97800000000007</v>
      </c>
      <c r="N51" s="1243">
        <f t="shared" si="2"/>
        <v>-0.25002612933273144</v>
      </c>
      <c r="O51" s="728"/>
      <c r="P51" s="1464"/>
      <c r="Q51" s="728"/>
      <c r="R51" s="1464"/>
      <c r="S51" s="2871"/>
      <c r="T51" s="2734"/>
      <c r="U51" s="2694"/>
      <c r="V51" s="2694"/>
      <c r="W51" s="2694"/>
      <c r="X51" s="2694"/>
      <c r="Y51" s="2694"/>
      <c r="Z51" s="2694"/>
      <c r="AA51" s="2694"/>
      <c r="AB51" s="3086"/>
    </row>
    <row r="52" spans="1:29" ht="13.5" hidden="1" customHeight="1">
      <c r="A52" s="3104"/>
      <c r="B52" s="2876" t="s">
        <v>3170</v>
      </c>
      <c r="C52" s="2922"/>
      <c r="D52" s="913" t="s">
        <v>470</v>
      </c>
      <c r="E52" s="755"/>
      <c r="F52" s="755"/>
      <c r="G52" s="755"/>
      <c r="H52" s="737"/>
      <c r="I52" s="737"/>
      <c r="J52" s="734"/>
      <c r="K52" s="681"/>
      <c r="L52" s="737"/>
      <c r="M52" s="1470"/>
      <c r="N52" s="778" t="e">
        <f t="shared" si="2"/>
        <v>#DIV/0!</v>
      </c>
      <c r="O52" s="737"/>
      <c r="P52" s="1465"/>
      <c r="Q52" s="737"/>
      <c r="R52" s="1465"/>
      <c r="S52" s="3089" t="s">
        <v>2240</v>
      </c>
      <c r="T52" s="2936"/>
      <c r="U52" s="2876"/>
      <c r="V52" s="2876"/>
      <c r="W52" s="2876"/>
      <c r="X52" s="2876"/>
      <c r="Y52" s="2876"/>
      <c r="Z52" s="2876"/>
      <c r="AA52" s="2876"/>
      <c r="AB52" s="3145"/>
    </row>
    <row r="53" spans="1:29" ht="16.5" hidden="1" customHeight="1">
      <c r="A53" s="3104"/>
      <c r="B53" s="2876"/>
      <c r="C53" s="2922"/>
      <c r="D53" s="913" t="s">
        <v>246</v>
      </c>
      <c r="E53" s="755">
        <v>0</v>
      </c>
      <c r="F53" s="755"/>
      <c r="G53" s="755">
        <v>400</v>
      </c>
      <c r="H53" s="737">
        <v>400</v>
      </c>
      <c r="I53" s="737"/>
      <c r="J53" s="734">
        <v>145.36600000000001</v>
      </c>
      <c r="K53" s="681">
        <v>181.708</v>
      </c>
      <c r="L53" s="681">
        <v>30.911999999999999</v>
      </c>
      <c r="M53" s="1470">
        <v>30.911999999999999</v>
      </c>
      <c r="N53" s="778">
        <f t="shared" si="2"/>
        <v>-0.82988090783014501</v>
      </c>
      <c r="O53" s="737"/>
      <c r="P53" s="1465"/>
      <c r="Q53" s="737"/>
      <c r="R53" s="1465"/>
      <c r="S53" s="3089"/>
      <c r="T53" s="2936"/>
      <c r="U53" s="2876"/>
      <c r="V53" s="2876"/>
      <c r="W53" s="2876"/>
      <c r="X53" s="2876"/>
      <c r="Y53" s="2876"/>
      <c r="Z53" s="2876"/>
      <c r="AA53" s="2876"/>
      <c r="AB53" s="3146"/>
    </row>
    <row r="54" spans="1:29" ht="18.75" hidden="1" customHeight="1">
      <c r="A54" s="3104"/>
      <c r="B54" s="2876"/>
      <c r="C54" s="2922"/>
      <c r="D54" s="913" t="s">
        <v>412</v>
      </c>
      <c r="E54" s="755"/>
      <c r="F54" s="755"/>
      <c r="G54" s="755"/>
      <c r="H54" s="737"/>
      <c r="I54" s="737"/>
      <c r="J54" s="734">
        <v>25.652999999999999</v>
      </c>
      <c r="K54" s="681">
        <v>32.066000000000003</v>
      </c>
      <c r="L54" s="681"/>
      <c r="M54" s="1470"/>
      <c r="N54" s="778">
        <f t="shared" si="2"/>
        <v>-1</v>
      </c>
      <c r="O54" s="737"/>
      <c r="P54" s="1465"/>
      <c r="Q54" s="737"/>
      <c r="R54" s="1465"/>
      <c r="S54" s="3089"/>
      <c r="T54" s="2936"/>
      <c r="U54" s="2876"/>
      <c r="V54" s="2876"/>
      <c r="W54" s="2876"/>
      <c r="X54" s="2876"/>
      <c r="Y54" s="2876"/>
      <c r="Z54" s="2876"/>
      <c r="AA54" s="2876"/>
      <c r="AB54" s="3146"/>
    </row>
    <row r="55" spans="1:29" ht="17.25" hidden="1" customHeight="1">
      <c r="A55" s="3104"/>
      <c r="B55" s="2876"/>
      <c r="C55" s="2922"/>
      <c r="D55" s="700" t="s">
        <v>1067</v>
      </c>
      <c r="E55" s="755">
        <f>SUM(E52:E52)</f>
        <v>0</v>
      </c>
      <c r="F55" s="755">
        <f t="shared" ref="F55" si="52">SUM(F52:F52)</f>
        <v>0</v>
      </c>
      <c r="G55" s="755">
        <f>SUM(G52:G53)</f>
        <v>400</v>
      </c>
      <c r="H55" s="737">
        <f t="shared" ref="H55:L55" si="53">SUM(H52:H53)</f>
        <v>400</v>
      </c>
      <c r="I55" s="737">
        <f t="shared" si="53"/>
        <v>0</v>
      </c>
      <c r="J55" s="734">
        <f t="shared" si="53"/>
        <v>145.36600000000001</v>
      </c>
      <c r="K55" s="681">
        <f>SUM(K52:K54)</f>
        <v>213.774</v>
      </c>
      <c r="L55" s="681">
        <f t="shared" si="53"/>
        <v>30.911999999999999</v>
      </c>
      <c r="M55" s="1470">
        <f t="shared" ref="M55" si="54">SUM(M52:M53)</f>
        <v>30.911999999999999</v>
      </c>
      <c r="N55" s="778">
        <f t="shared" si="2"/>
        <v>-0.85539869207667907</v>
      </c>
      <c r="O55" s="737"/>
      <c r="P55" s="1465"/>
      <c r="Q55" s="737"/>
      <c r="R55" s="1465"/>
      <c r="S55" s="3089"/>
      <c r="T55" s="3113"/>
      <c r="U55" s="2876"/>
      <c r="V55" s="2876"/>
      <c r="W55" s="2876"/>
      <c r="X55" s="2876"/>
      <c r="Y55" s="2876"/>
      <c r="Z55" s="2876"/>
      <c r="AA55" s="2876"/>
      <c r="AB55" s="3147"/>
    </row>
    <row r="56" spans="1:29" ht="14.25" hidden="1" customHeight="1">
      <c r="A56" s="3097"/>
      <c r="B56" s="3076" t="s">
        <v>3171</v>
      </c>
      <c r="C56" s="3098"/>
      <c r="D56" s="1378" t="s">
        <v>470</v>
      </c>
      <c r="E56" s="1069"/>
      <c r="F56" s="1069"/>
      <c r="G56" s="1069"/>
      <c r="H56" s="1064"/>
      <c r="I56" s="1064"/>
      <c r="J56" s="1065"/>
      <c r="K56" s="1066"/>
      <c r="L56" s="1066"/>
      <c r="M56" s="1620"/>
      <c r="N56" s="2170" t="e">
        <f t="shared" si="2"/>
        <v>#DIV/0!</v>
      </c>
      <c r="O56" s="1064"/>
      <c r="P56" s="1617"/>
      <c r="Q56" s="1064"/>
      <c r="R56" s="1617"/>
      <c r="S56" s="3099" t="s">
        <v>2240</v>
      </c>
      <c r="T56" s="3100"/>
      <c r="U56" s="3076"/>
      <c r="V56" s="3076"/>
      <c r="W56" s="3076"/>
      <c r="X56" s="3076"/>
      <c r="Y56" s="3076"/>
      <c r="Z56" s="3076"/>
      <c r="AA56" s="3076"/>
      <c r="AB56" s="3148"/>
    </row>
    <row r="57" spans="1:29" ht="15" hidden="1" customHeight="1">
      <c r="A57" s="3097"/>
      <c r="B57" s="3076"/>
      <c r="C57" s="3098"/>
      <c r="D57" s="1378" t="s">
        <v>246</v>
      </c>
      <c r="E57" s="1069">
        <v>0</v>
      </c>
      <c r="F57" s="1069"/>
      <c r="G57" s="1069">
        <v>400</v>
      </c>
      <c r="H57" s="1064">
        <v>400</v>
      </c>
      <c r="I57" s="1064"/>
      <c r="J57" s="1065">
        <v>434.44900000000001</v>
      </c>
      <c r="K57" s="1066">
        <v>543.06100000000004</v>
      </c>
      <c r="L57" s="1066">
        <v>614.56100000000004</v>
      </c>
      <c r="M57" s="1620">
        <v>614.56100000000004</v>
      </c>
      <c r="N57" s="2170">
        <f t="shared" si="2"/>
        <v>0.13166108411393931</v>
      </c>
      <c r="O57" s="1064"/>
      <c r="P57" s="1617"/>
      <c r="Q57" s="1064"/>
      <c r="R57" s="1617"/>
      <c r="S57" s="3099"/>
      <c r="T57" s="3100"/>
      <c r="U57" s="3076"/>
      <c r="V57" s="3076"/>
      <c r="W57" s="3076"/>
      <c r="X57" s="3076"/>
      <c r="Y57" s="3076"/>
      <c r="Z57" s="3076"/>
      <c r="AA57" s="3076"/>
      <c r="AB57" s="3149"/>
    </row>
    <row r="58" spans="1:29" ht="15.75" hidden="1" customHeight="1">
      <c r="A58" s="3097"/>
      <c r="B58" s="3076"/>
      <c r="C58" s="3098"/>
      <c r="D58" s="1378" t="s">
        <v>412</v>
      </c>
      <c r="E58" s="1069"/>
      <c r="F58" s="1069"/>
      <c r="G58" s="1069"/>
      <c r="H58" s="1064"/>
      <c r="I58" s="1064"/>
      <c r="J58" s="1065">
        <v>76.667000000000002</v>
      </c>
      <c r="K58" s="1066">
        <v>95.834000000000003</v>
      </c>
      <c r="L58" s="1066"/>
      <c r="M58" s="1620"/>
      <c r="N58" s="2170">
        <f t="shared" si="2"/>
        <v>-1</v>
      </c>
      <c r="O58" s="1064"/>
      <c r="P58" s="1617"/>
      <c r="Q58" s="1064"/>
      <c r="R58" s="1617"/>
      <c r="S58" s="3099"/>
      <c r="T58" s="3100"/>
      <c r="U58" s="3076"/>
      <c r="V58" s="3076"/>
      <c r="W58" s="3076"/>
      <c r="X58" s="3076"/>
      <c r="Y58" s="3076"/>
      <c r="Z58" s="3076"/>
      <c r="AA58" s="3076"/>
      <c r="AB58" s="3149"/>
    </row>
    <row r="59" spans="1:29" ht="18" hidden="1" customHeight="1">
      <c r="A59" s="3097"/>
      <c r="B59" s="3076"/>
      <c r="C59" s="3098"/>
      <c r="D59" s="1068" t="s">
        <v>1067</v>
      </c>
      <c r="E59" s="1069">
        <f>SUM(E56:E56)</f>
        <v>0</v>
      </c>
      <c r="F59" s="1069">
        <f t="shared" ref="F59" si="55">SUM(F56:F56)</f>
        <v>0</v>
      </c>
      <c r="G59" s="1069">
        <f>SUM(G56:G57)</f>
        <v>400</v>
      </c>
      <c r="H59" s="1064">
        <f t="shared" ref="H59:L59" si="56">SUM(H56:H57)</f>
        <v>400</v>
      </c>
      <c r="I59" s="1064">
        <f t="shared" si="56"/>
        <v>0</v>
      </c>
      <c r="J59" s="1065">
        <f t="shared" si="56"/>
        <v>434.44900000000001</v>
      </c>
      <c r="K59" s="1066">
        <f>SUM(K56:K58)</f>
        <v>638.89499999999998</v>
      </c>
      <c r="L59" s="1066">
        <f t="shared" si="56"/>
        <v>614.56100000000004</v>
      </c>
      <c r="M59" s="1620">
        <f t="shared" ref="M59" si="57">SUM(M56:M57)</f>
        <v>614.56100000000004</v>
      </c>
      <c r="N59" s="2170">
        <f t="shared" si="2"/>
        <v>-3.8087635683484687E-2</v>
      </c>
      <c r="O59" s="1064"/>
      <c r="P59" s="1617"/>
      <c r="Q59" s="1064"/>
      <c r="R59" s="1617"/>
      <c r="S59" s="3099"/>
      <c r="T59" s="3106"/>
      <c r="U59" s="3076"/>
      <c r="V59" s="3076"/>
      <c r="W59" s="3076"/>
      <c r="X59" s="3076"/>
      <c r="Y59" s="3076"/>
      <c r="Z59" s="3076"/>
      <c r="AA59" s="3076"/>
      <c r="AB59" s="3150"/>
    </row>
    <row r="60" spans="1:29" ht="12.75" hidden="1" customHeight="1">
      <c r="A60" s="3087"/>
      <c r="B60" s="3088" t="s">
        <v>2540</v>
      </c>
      <c r="C60" s="3107"/>
      <c r="D60" s="1379" t="s">
        <v>470</v>
      </c>
      <c r="E60" s="1074"/>
      <c r="F60" s="1074"/>
      <c r="G60" s="1074"/>
      <c r="H60" s="1070"/>
      <c r="I60" s="1070"/>
      <c r="J60" s="1071"/>
      <c r="K60" s="1072"/>
      <c r="L60" s="1070"/>
      <c r="M60" s="1622"/>
      <c r="N60" s="2171" t="e">
        <f t="shared" si="2"/>
        <v>#DIV/0!</v>
      </c>
      <c r="O60" s="1070"/>
      <c r="P60" s="1618"/>
      <c r="Q60" s="1070"/>
      <c r="R60" s="1618"/>
      <c r="S60" s="3105" t="s">
        <v>2240</v>
      </c>
      <c r="T60" s="3108"/>
      <c r="U60" s="3088"/>
      <c r="V60" s="3088"/>
      <c r="W60" s="3088"/>
      <c r="X60" s="3088"/>
      <c r="Y60" s="3088"/>
      <c r="Z60" s="3088"/>
      <c r="AA60" s="3088"/>
      <c r="AB60" s="3151"/>
    </row>
    <row r="61" spans="1:29" ht="15.75" hidden="1" customHeight="1">
      <c r="A61" s="3087"/>
      <c r="B61" s="3088"/>
      <c r="C61" s="3107"/>
      <c r="D61" s="1379" t="s">
        <v>246</v>
      </c>
      <c r="E61" s="1074">
        <v>0</v>
      </c>
      <c r="F61" s="1074"/>
      <c r="G61" s="1074">
        <v>400</v>
      </c>
      <c r="H61" s="1070">
        <v>400</v>
      </c>
      <c r="I61" s="1070"/>
      <c r="J61" s="1071">
        <v>10.71</v>
      </c>
      <c r="K61" s="1072">
        <v>15.3</v>
      </c>
      <c r="L61" s="1070">
        <v>7.5060000000000002</v>
      </c>
      <c r="M61" s="1622">
        <v>7.5049999999999999</v>
      </c>
      <c r="N61" s="2171">
        <f t="shared" si="2"/>
        <v>-0.50941176470588234</v>
      </c>
      <c r="O61" s="1070"/>
      <c r="P61" s="1618"/>
      <c r="Q61" s="1070"/>
      <c r="R61" s="1618"/>
      <c r="S61" s="3105"/>
      <c r="T61" s="3108"/>
      <c r="U61" s="3088"/>
      <c r="V61" s="3088"/>
      <c r="W61" s="3088"/>
      <c r="X61" s="3088"/>
      <c r="Y61" s="3088"/>
      <c r="Z61" s="3088"/>
      <c r="AA61" s="3088"/>
      <c r="AB61" s="3152"/>
    </row>
    <row r="62" spans="1:29" ht="12.75" hidden="1" customHeight="1">
      <c r="A62" s="3087"/>
      <c r="B62" s="3088"/>
      <c r="C62" s="3107"/>
      <c r="D62" s="1379" t="s">
        <v>412</v>
      </c>
      <c r="E62" s="1074"/>
      <c r="F62" s="1074"/>
      <c r="G62" s="1074"/>
      <c r="H62" s="1070"/>
      <c r="I62" s="1070"/>
      <c r="J62" s="1071">
        <v>1.89</v>
      </c>
      <c r="K62" s="1072">
        <v>2.7</v>
      </c>
      <c r="L62" s="1070"/>
      <c r="M62" s="1622"/>
      <c r="N62" s="2171">
        <f t="shared" si="2"/>
        <v>-1</v>
      </c>
      <c r="O62" s="1070"/>
      <c r="P62" s="1618"/>
      <c r="Q62" s="1070"/>
      <c r="R62" s="1618"/>
      <c r="S62" s="3105"/>
      <c r="T62" s="3108"/>
      <c r="U62" s="3088"/>
      <c r="V62" s="3088"/>
      <c r="W62" s="3088"/>
      <c r="X62" s="3088"/>
      <c r="Y62" s="3088"/>
      <c r="Z62" s="3088"/>
      <c r="AA62" s="3088"/>
      <c r="AB62" s="3152"/>
    </row>
    <row r="63" spans="1:29" ht="17.25" hidden="1" customHeight="1">
      <c r="A63" s="3087"/>
      <c r="B63" s="3088"/>
      <c r="C63" s="3107"/>
      <c r="D63" s="1073" t="s">
        <v>1067</v>
      </c>
      <c r="E63" s="1074">
        <f>SUM(E60:E60)</f>
        <v>0</v>
      </c>
      <c r="F63" s="1074">
        <f t="shared" ref="F63" si="58">SUM(F60:F60)</f>
        <v>0</v>
      </c>
      <c r="G63" s="1074">
        <f>SUM(G60:G61)</f>
        <v>400</v>
      </c>
      <c r="H63" s="1070">
        <f t="shared" ref="H63:L63" si="59">SUM(H60:H61)</f>
        <v>400</v>
      </c>
      <c r="I63" s="1070">
        <f t="shared" si="59"/>
        <v>0</v>
      </c>
      <c r="J63" s="1071">
        <f t="shared" si="59"/>
        <v>10.71</v>
      </c>
      <c r="K63" s="1072">
        <f>SUM(K60:K62)</f>
        <v>18</v>
      </c>
      <c r="L63" s="1070">
        <f t="shared" si="59"/>
        <v>7.5060000000000002</v>
      </c>
      <c r="M63" s="1622">
        <f t="shared" ref="M63" si="60">SUM(M60:M61)</f>
        <v>7.5049999999999999</v>
      </c>
      <c r="N63" s="2171">
        <f t="shared" si="2"/>
        <v>-0.58299999999999996</v>
      </c>
      <c r="O63" s="1070"/>
      <c r="P63" s="1618"/>
      <c r="Q63" s="1070"/>
      <c r="R63" s="1618"/>
      <c r="S63" s="3105"/>
      <c r="T63" s="3109"/>
      <c r="U63" s="3088"/>
      <c r="V63" s="3088"/>
      <c r="W63" s="3088"/>
      <c r="X63" s="3088"/>
      <c r="Y63" s="3088"/>
      <c r="Z63" s="3088"/>
      <c r="AA63" s="3088"/>
      <c r="AB63" s="3153"/>
    </row>
    <row r="64" spans="1:29" ht="39" customHeight="1">
      <c r="A64" s="2879" t="s">
        <v>3234</v>
      </c>
      <c r="B64" s="2695" t="s">
        <v>3392</v>
      </c>
      <c r="C64" s="2723" t="s">
        <v>1071</v>
      </c>
      <c r="D64" s="719" t="s">
        <v>470</v>
      </c>
      <c r="E64" s="720"/>
      <c r="F64" s="720"/>
      <c r="G64" s="720"/>
      <c r="H64" s="722"/>
      <c r="I64" s="723"/>
      <c r="J64" s="657">
        <f>SUM(J68,J72,J76,)</f>
        <v>8.85</v>
      </c>
      <c r="K64" s="722">
        <v>0</v>
      </c>
      <c r="L64" s="722"/>
      <c r="M64" s="1496">
        <f>M76</f>
        <v>9</v>
      </c>
      <c r="N64" s="2130"/>
      <c r="O64" s="722">
        <v>9</v>
      </c>
      <c r="P64" s="1496">
        <f>P76</f>
        <v>9</v>
      </c>
      <c r="Q64" s="722"/>
      <c r="R64" s="1496"/>
      <c r="S64" s="2871" t="s">
        <v>2236</v>
      </c>
      <c r="T64" s="2698" t="s">
        <v>4279</v>
      </c>
      <c r="U64" s="2951" t="s">
        <v>1499</v>
      </c>
      <c r="V64" s="656" t="s">
        <v>3387</v>
      </c>
      <c r="W64" s="2694" t="s">
        <v>433</v>
      </c>
      <c r="X64" s="656" t="s">
        <v>433</v>
      </c>
      <c r="Y64" s="656" t="s">
        <v>433</v>
      </c>
      <c r="Z64" s="656" t="s">
        <v>433</v>
      </c>
      <c r="AA64" s="656" t="s">
        <v>1421</v>
      </c>
      <c r="AB64" s="3084" t="s">
        <v>2237</v>
      </c>
      <c r="AC64" s="357" t="s">
        <v>2591</v>
      </c>
    </row>
    <row r="65" spans="1:29" ht="34.799999999999997" customHeight="1">
      <c r="A65" s="2879"/>
      <c r="B65" s="2695"/>
      <c r="C65" s="2723"/>
      <c r="D65" s="719" t="s">
        <v>2747</v>
      </c>
      <c r="E65" s="720"/>
      <c r="F65" s="720"/>
      <c r="G65" s="720"/>
      <c r="H65" s="722"/>
      <c r="I65" s="723"/>
      <c r="J65" s="657"/>
      <c r="K65" s="722">
        <v>8.85</v>
      </c>
      <c r="L65" s="722">
        <v>9</v>
      </c>
      <c r="M65" s="1496"/>
      <c r="N65" s="2130">
        <f t="shared" si="2"/>
        <v>1.6949152542372923E-2</v>
      </c>
      <c r="O65" s="722"/>
      <c r="P65" s="1496"/>
      <c r="Q65" s="722"/>
      <c r="R65" s="1496"/>
      <c r="S65" s="2871"/>
      <c r="T65" s="2724"/>
      <c r="U65" s="2951"/>
      <c r="V65" s="656" t="s">
        <v>4278</v>
      </c>
      <c r="W65" s="2694"/>
      <c r="X65" s="656" t="s">
        <v>433</v>
      </c>
      <c r="Y65" s="656" t="s">
        <v>433</v>
      </c>
      <c r="Z65" s="656" t="s">
        <v>433</v>
      </c>
      <c r="AA65" s="656" t="s">
        <v>4277</v>
      </c>
      <c r="AB65" s="3085"/>
      <c r="AC65" s="357"/>
    </row>
    <row r="66" spans="1:29" ht="47.4" customHeight="1">
      <c r="A66" s="2879"/>
      <c r="B66" s="2695"/>
      <c r="C66" s="2723"/>
      <c r="D66" s="719" t="s">
        <v>246</v>
      </c>
      <c r="E66" s="720"/>
      <c r="F66" s="720"/>
      <c r="G66" s="720"/>
      <c r="H66" s="722"/>
      <c r="I66" s="723"/>
      <c r="J66" s="657">
        <f>SUM(J69,J73,J77,)</f>
        <v>50.150000000000006</v>
      </c>
      <c r="K66" s="722">
        <f t="shared" ref="K66" si="61">SUM(K69,K73,K77,)</f>
        <v>50.150000000000006</v>
      </c>
      <c r="L66" s="722">
        <v>51</v>
      </c>
      <c r="M66" s="1496">
        <f>M77</f>
        <v>51</v>
      </c>
      <c r="N66" s="2130">
        <f t="shared" si="2"/>
        <v>1.6949152542372767E-2</v>
      </c>
      <c r="O66" s="722">
        <v>51</v>
      </c>
      <c r="P66" s="1496">
        <f>P77</f>
        <v>51</v>
      </c>
      <c r="Q66" s="722"/>
      <c r="R66" s="1496"/>
      <c r="S66" s="2871"/>
      <c r="T66" s="2937"/>
      <c r="U66" s="2951"/>
      <c r="V66" s="1815" t="s">
        <v>3388</v>
      </c>
      <c r="W66" s="2694"/>
      <c r="X66" s="2694" t="s">
        <v>433</v>
      </c>
      <c r="Y66" s="1815" t="s">
        <v>433</v>
      </c>
      <c r="Z66" s="1815" t="s">
        <v>433</v>
      </c>
      <c r="AA66" s="1815" t="s">
        <v>324</v>
      </c>
      <c r="AB66" s="3085"/>
    </row>
    <row r="67" spans="1:29" ht="43.8" customHeight="1">
      <c r="A67" s="2879"/>
      <c r="B67" s="2695"/>
      <c r="C67" s="2723"/>
      <c r="D67" s="725" t="s">
        <v>1067</v>
      </c>
      <c r="E67" s="726">
        <f>SUM(E64:E66)</f>
        <v>0</v>
      </c>
      <c r="F67" s="726">
        <f t="shared" ref="F67:O67" si="62">SUM(F64:F66)</f>
        <v>0</v>
      </c>
      <c r="G67" s="726">
        <f t="shared" si="62"/>
        <v>0</v>
      </c>
      <c r="H67" s="728">
        <f t="shared" si="62"/>
        <v>0</v>
      </c>
      <c r="I67" s="729"/>
      <c r="J67" s="1075">
        <f t="shared" si="62"/>
        <v>59.000000000000007</v>
      </c>
      <c r="K67" s="728">
        <f t="shared" si="62"/>
        <v>59.000000000000007</v>
      </c>
      <c r="L67" s="728">
        <f>SUM(L64:L66)</f>
        <v>60</v>
      </c>
      <c r="M67" s="1464">
        <f>SUM(M64:M66)</f>
        <v>60</v>
      </c>
      <c r="N67" s="1243">
        <f t="shared" si="2"/>
        <v>1.694915254237276E-2</v>
      </c>
      <c r="O67" s="728">
        <f t="shared" si="62"/>
        <v>60</v>
      </c>
      <c r="P67" s="1464">
        <f t="shared" ref="P67:Q67" si="63">SUM(P64:P66)</f>
        <v>60</v>
      </c>
      <c r="Q67" s="728">
        <f t="shared" si="63"/>
        <v>0</v>
      </c>
      <c r="R67" s="1464">
        <f t="shared" ref="R67" si="64">SUM(R64:R66)</f>
        <v>0</v>
      </c>
      <c r="S67" s="2871"/>
      <c r="T67" s="2937"/>
      <c r="U67" s="2951"/>
      <c r="V67" s="1815" t="s">
        <v>4276</v>
      </c>
      <c r="W67" s="2694"/>
      <c r="X67" s="2694"/>
      <c r="Y67" s="1815"/>
      <c r="Z67" s="1815"/>
      <c r="AA67" s="1815" t="s">
        <v>4277</v>
      </c>
      <c r="AB67" s="3086"/>
    </row>
    <row r="68" spans="1:29" ht="18" hidden="1" customHeight="1">
      <c r="A68" s="3104"/>
      <c r="B68" s="2876" t="s">
        <v>3172</v>
      </c>
      <c r="C68" s="2922"/>
      <c r="D68" s="913" t="s">
        <v>470</v>
      </c>
      <c r="E68" s="755"/>
      <c r="F68" s="755"/>
      <c r="G68" s="755"/>
      <c r="H68" s="737"/>
      <c r="I68" s="737"/>
      <c r="J68" s="734">
        <v>3.3220000000000001</v>
      </c>
      <c r="K68" s="681">
        <v>3.3220000000000001</v>
      </c>
      <c r="L68" s="681"/>
      <c r="M68" s="1465"/>
      <c r="N68" s="2172">
        <f t="shared" si="2"/>
        <v>-1</v>
      </c>
      <c r="O68" s="737"/>
      <c r="P68" s="1465"/>
      <c r="Q68" s="737"/>
      <c r="R68" s="1465"/>
      <c r="S68" s="3089" t="s">
        <v>2240</v>
      </c>
      <c r="T68" s="2936"/>
      <c r="U68" s="2876"/>
      <c r="V68" s="2876"/>
      <c r="W68" s="2876"/>
      <c r="X68" s="2876"/>
      <c r="Y68" s="2876"/>
      <c r="Z68" s="2876"/>
      <c r="AA68" s="2876"/>
      <c r="AB68" s="3145"/>
    </row>
    <row r="69" spans="1:29" ht="17.25" hidden="1" customHeight="1">
      <c r="A69" s="3104"/>
      <c r="B69" s="2876"/>
      <c r="C69" s="2922"/>
      <c r="D69" s="913" t="s">
        <v>246</v>
      </c>
      <c r="E69" s="755">
        <v>0</v>
      </c>
      <c r="F69" s="755"/>
      <c r="G69" s="755">
        <v>400</v>
      </c>
      <c r="H69" s="737"/>
      <c r="I69" s="737"/>
      <c r="J69" s="734">
        <v>18.827000000000002</v>
      </c>
      <c r="K69" s="681">
        <v>18.827000000000002</v>
      </c>
      <c r="L69" s="681"/>
      <c r="M69" s="1465"/>
      <c r="N69" s="2172">
        <f t="shared" si="2"/>
        <v>-1</v>
      </c>
      <c r="O69" s="737"/>
      <c r="P69" s="1465"/>
      <c r="Q69" s="737"/>
      <c r="R69" s="1465"/>
      <c r="S69" s="3089"/>
      <c r="T69" s="2936"/>
      <c r="U69" s="2876"/>
      <c r="V69" s="2876"/>
      <c r="W69" s="2876"/>
      <c r="X69" s="2876"/>
      <c r="Y69" s="2876"/>
      <c r="Z69" s="2876"/>
      <c r="AA69" s="2876"/>
      <c r="AB69" s="3146"/>
    </row>
    <row r="70" spans="1:29" ht="17.25" hidden="1" customHeight="1">
      <c r="A70" s="3104"/>
      <c r="B70" s="2876"/>
      <c r="C70" s="2922"/>
      <c r="D70" s="913" t="s">
        <v>412</v>
      </c>
      <c r="E70" s="755"/>
      <c r="F70" s="755"/>
      <c r="G70" s="755"/>
      <c r="H70" s="737"/>
      <c r="I70" s="737"/>
      <c r="J70" s="734"/>
      <c r="K70" s="681"/>
      <c r="L70" s="681"/>
      <c r="M70" s="1465"/>
      <c r="N70" s="2172" t="e">
        <f t="shared" si="2"/>
        <v>#DIV/0!</v>
      </c>
      <c r="O70" s="737"/>
      <c r="P70" s="1465"/>
      <c r="Q70" s="737"/>
      <c r="R70" s="1465"/>
      <c r="S70" s="3089"/>
      <c r="T70" s="2936"/>
      <c r="U70" s="2876"/>
      <c r="V70" s="2876"/>
      <c r="W70" s="2876"/>
      <c r="X70" s="2876"/>
      <c r="Y70" s="2876"/>
      <c r="Z70" s="2876"/>
      <c r="AA70" s="2876"/>
      <c r="AB70" s="3146"/>
    </row>
    <row r="71" spans="1:29" ht="16.5" hidden="1" customHeight="1">
      <c r="A71" s="3104"/>
      <c r="B71" s="2876"/>
      <c r="C71" s="2922"/>
      <c r="D71" s="700" t="s">
        <v>1067</v>
      </c>
      <c r="E71" s="755">
        <f>SUM(E68:E68)</f>
        <v>0</v>
      </c>
      <c r="F71" s="755">
        <f t="shared" ref="F71" si="65">SUM(F68:F68)</f>
        <v>0</v>
      </c>
      <c r="G71" s="755">
        <f>SUM(G68:G69)</f>
        <v>400</v>
      </c>
      <c r="H71" s="737"/>
      <c r="I71" s="737"/>
      <c r="J71" s="734">
        <f>SUM(J68,J69,J70)</f>
        <v>22.149000000000001</v>
      </c>
      <c r="K71" s="681">
        <f>SUM(K68,K69,K70)</f>
        <v>22.149000000000001</v>
      </c>
      <c r="L71" s="681"/>
      <c r="M71" s="1465"/>
      <c r="N71" s="2172">
        <f t="shared" si="2"/>
        <v>-1</v>
      </c>
      <c r="O71" s="737"/>
      <c r="P71" s="1465"/>
      <c r="Q71" s="737"/>
      <c r="R71" s="1465"/>
      <c r="S71" s="3089"/>
      <c r="T71" s="3113"/>
      <c r="U71" s="2876"/>
      <c r="V71" s="2876"/>
      <c r="W71" s="2876"/>
      <c r="X71" s="2876"/>
      <c r="Y71" s="2876"/>
      <c r="Z71" s="2876"/>
      <c r="AA71" s="2876"/>
      <c r="AB71" s="3147"/>
    </row>
    <row r="72" spans="1:29" ht="19.5" hidden="1" customHeight="1">
      <c r="A72" s="3097"/>
      <c r="B72" s="3076" t="s">
        <v>3173</v>
      </c>
      <c r="C72" s="3098"/>
      <c r="D72" s="1378" t="s">
        <v>470</v>
      </c>
      <c r="E72" s="1069"/>
      <c r="F72" s="1069"/>
      <c r="G72" s="1069"/>
      <c r="H72" s="1064"/>
      <c r="I72" s="1064"/>
      <c r="J72" s="1065">
        <v>5.5279999999999996</v>
      </c>
      <c r="K72" s="1066">
        <v>5.5279999999999996</v>
      </c>
      <c r="L72" s="1066"/>
      <c r="M72" s="1620"/>
      <c r="N72" s="2170">
        <f t="shared" si="2"/>
        <v>-1</v>
      </c>
      <c r="O72" s="1064"/>
      <c r="P72" s="1617"/>
      <c r="Q72" s="1064"/>
      <c r="R72" s="1617"/>
      <c r="S72" s="3099" t="s">
        <v>2240</v>
      </c>
      <c r="T72" s="3100"/>
      <c r="U72" s="3076"/>
      <c r="V72" s="3076"/>
      <c r="W72" s="3076"/>
      <c r="X72" s="3076"/>
      <c r="Y72" s="3076"/>
      <c r="Z72" s="3076"/>
      <c r="AA72" s="3076"/>
      <c r="AB72" s="3148"/>
    </row>
    <row r="73" spans="1:29" ht="17.25" hidden="1" customHeight="1">
      <c r="A73" s="3097"/>
      <c r="B73" s="3076"/>
      <c r="C73" s="3098"/>
      <c r="D73" s="1378" t="s">
        <v>246</v>
      </c>
      <c r="E73" s="1069">
        <v>0</v>
      </c>
      <c r="F73" s="1069"/>
      <c r="G73" s="1069">
        <v>400</v>
      </c>
      <c r="H73" s="1064"/>
      <c r="I73" s="1064"/>
      <c r="J73" s="1065">
        <v>31.323</v>
      </c>
      <c r="K73" s="1066">
        <v>31.323</v>
      </c>
      <c r="L73" s="1066"/>
      <c r="M73" s="1620"/>
      <c r="N73" s="2170">
        <f t="shared" si="2"/>
        <v>-1</v>
      </c>
      <c r="O73" s="1064"/>
      <c r="P73" s="1617"/>
      <c r="Q73" s="1064"/>
      <c r="R73" s="1617"/>
      <c r="S73" s="3099"/>
      <c r="T73" s="3100"/>
      <c r="U73" s="3076"/>
      <c r="V73" s="3076"/>
      <c r="W73" s="3076"/>
      <c r="X73" s="3076"/>
      <c r="Y73" s="3076"/>
      <c r="Z73" s="3076"/>
      <c r="AA73" s="3076"/>
      <c r="AB73" s="3149"/>
    </row>
    <row r="74" spans="1:29" ht="15" hidden="1" customHeight="1">
      <c r="A74" s="3097"/>
      <c r="B74" s="3076"/>
      <c r="C74" s="3098"/>
      <c r="D74" s="1378" t="s">
        <v>412</v>
      </c>
      <c r="E74" s="1069"/>
      <c r="F74" s="1069"/>
      <c r="G74" s="1069"/>
      <c r="H74" s="1064"/>
      <c r="I74" s="1064"/>
      <c r="J74" s="1065"/>
      <c r="K74" s="1066"/>
      <c r="L74" s="1066"/>
      <c r="M74" s="1620"/>
      <c r="N74" s="2170" t="e">
        <f t="shared" si="2"/>
        <v>#DIV/0!</v>
      </c>
      <c r="O74" s="1064"/>
      <c r="P74" s="1617"/>
      <c r="Q74" s="1064"/>
      <c r="R74" s="1617"/>
      <c r="S74" s="3099"/>
      <c r="T74" s="3100"/>
      <c r="U74" s="3076"/>
      <c r="V74" s="3076"/>
      <c r="W74" s="3076"/>
      <c r="X74" s="3076"/>
      <c r="Y74" s="3076"/>
      <c r="Z74" s="3076"/>
      <c r="AA74" s="3076"/>
      <c r="AB74" s="3149"/>
    </row>
    <row r="75" spans="1:29" ht="20.25" hidden="1" customHeight="1">
      <c r="A75" s="3097"/>
      <c r="B75" s="3076"/>
      <c r="C75" s="3098"/>
      <c r="D75" s="1068" t="s">
        <v>1067</v>
      </c>
      <c r="E75" s="1069">
        <f>SUM(E72:E72)</f>
        <v>0</v>
      </c>
      <c r="F75" s="1069">
        <f t="shared" ref="F75" si="66">SUM(F72:F72)</f>
        <v>0</v>
      </c>
      <c r="G75" s="1069">
        <f>SUM(G72:G73)</f>
        <v>400</v>
      </c>
      <c r="H75" s="1064"/>
      <c r="I75" s="1064"/>
      <c r="J75" s="1065">
        <f>SUM(J72,J73,J74)</f>
        <v>36.850999999999999</v>
      </c>
      <c r="K75" s="1066">
        <f>SUM(K72,K73,K74)</f>
        <v>36.850999999999999</v>
      </c>
      <c r="L75" s="1066"/>
      <c r="M75" s="1620"/>
      <c r="N75" s="2170">
        <f t="shared" si="2"/>
        <v>-1</v>
      </c>
      <c r="O75" s="1064"/>
      <c r="P75" s="1617"/>
      <c r="Q75" s="1064"/>
      <c r="R75" s="1617"/>
      <c r="S75" s="3099"/>
      <c r="T75" s="3106"/>
      <c r="U75" s="3076"/>
      <c r="V75" s="3076"/>
      <c r="W75" s="3076"/>
      <c r="X75" s="3076"/>
      <c r="Y75" s="3076"/>
      <c r="Z75" s="3076"/>
      <c r="AA75" s="3076"/>
      <c r="AB75" s="3150"/>
    </row>
    <row r="76" spans="1:29" ht="17.25" hidden="1" customHeight="1">
      <c r="A76" s="3087"/>
      <c r="B76" s="3088" t="s">
        <v>2540</v>
      </c>
      <c r="C76" s="3107"/>
      <c r="D76" s="1379" t="s">
        <v>470</v>
      </c>
      <c r="E76" s="1074"/>
      <c r="F76" s="1074"/>
      <c r="G76" s="1074"/>
      <c r="H76" s="1070"/>
      <c r="I76" s="1070"/>
      <c r="J76" s="1071"/>
      <c r="K76" s="1072"/>
      <c r="L76" s="1072">
        <v>9</v>
      </c>
      <c r="M76" s="1622">
        <v>9</v>
      </c>
      <c r="N76" s="2171" t="e">
        <f t="shared" si="2"/>
        <v>#DIV/0!</v>
      </c>
      <c r="O76" s="1072">
        <v>9</v>
      </c>
      <c r="P76" s="1622">
        <v>9</v>
      </c>
      <c r="Q76" s="1070"/>
      <c r="R76" s="1618"/>
      <c r="S76" s="3105" t="s">
        <v>2240</v>
      </c>
      <c r="T76" s="3108"/>
      <c r="U76" s="3088"/>
      <c r="V76" s="3088"/>
      <c r="W76" s="3088"/>
      <c r="X76" s="3088"/>
      <c r="Y76" s="3088"/>
      <c r="Z76" s="3088"/>
      <c r="AA76" s="3088"/>
      <c r="AB76" s="3151"/>
    </row>
    <row r="77" spans="1:29" ht="18.75" hidden="1" customHeight="1">
      <c r="A77" s="3087"/>
      <c r="B77" s="3088"/>
      <c r="C77" s="3107"/>
      <c r="D77" s="1379" t="s">
        <v>246</v>
      </c>
      <c r="E77" s="1074">
        <v>0</v>
      </c>
      <c r="F77" s="1074"/>
      <c r="G77" s="1074">
        <v>400</v>
      </c>
      <c r="H77" s="1070"/>
      <c r="I77" s="1070"/>
      <c r="J77" s="1071"/>
      <c r="K77" s="1072"/>
      <c r="L77" s="1072">
        <v>51</v>
      </c>
      <c r="M77" s="1622">
        <v>51</v>
      </c>
      <c r="N77" s="2171" t="e">
        <f t="shared" si="2"/>
        <v>#DIV/0!</v>
      </c>
      <c r="O77" s="1072">
        <v>51</v>
      </c>
      <c r="P77" s="1622">
        <v>51</v>
      </c>
      <c r="Q77" s="1070"/>
      <c r="R77" s="1618"/>
      <c r="S77" s="3105"/>
      <c r="T77" s="3108"/>
      <c r="U77" s="3088"/>
      <c r="V77" s="3088"/>
      <c r="W77" s="3088"/>
      <c r="X77" s="3088"/>
      <c r="Y77" s="3088"/>
      <c r="Z77" s="3088"/>
      <c r="AA77" s="3088"/>
      <c r="AB77" s="3152"/>
    </row>
    <row r="78" spans="1:29" ht="17.25" hidden="1" customHeight="1">
      <c r="A78" s="3087"/>
      <c r="B78" s="3088"/>
      <c r="C78" s="3107"/>
      <c r="D78" s="1379" t="s">
        <v>412</v>
      </c>
      <c r="E78" s="1074"/>
      <c r="F78" s="1074"/>
      <c r="G78" s="1074"/>
      <c r="H78" s="1070"/>
      <c r="I78" s="1070"/>
      <c r="J78" s="1071"/>
      <c r="K78" s="1072"/>
      <c r="L78" s="1070"/>
      <c r="M78" s="1622"/>
      <c r="N78" s="2171" t="e">
        <f t="shared" ref="N78:N142" si="67">(L78-K78)/K78</f>
        <v>#DIV/0!</v>
      </c>
      <c r="O78" s="1070"/>
      <c r="P78" s="1618"/>
      <c r="Q78" s="1070"/>
      <c r="R78" s="1618"/>
      <c r="S78" s="3105"/>
      <c r="T78" s="3108"/>
      <c r="U78" s="3088"/>
      <c r="V78" s="3088"/>
      <c r="W78" s="3088"/>
      <c r="X78" s="3088"/>
      <c r="Y78" s="3088"/>
      <c r="Z78" s="3088"/>
      <c r="AA78" s="3088"/>
      <c r="AB78" s="3152"/>
    </row>
    <row r="79" spans="1:29" ht="15.75" hidden="1" customHeight="1">
      <c r="A79" s="3087"/>
      <c r="B79" s="3088"/>
      <c r="C79" s="3107"/>
      <c r="D79" s="1073" t="s">
        <v>1067</v>
      </c>
      <c r="E79" s="1074">
        <f>SUM(E76:E76)</f>
        <v>0</v>
      </c>
      <c r="F79" s="1074">
        <f t="shared" ref="F79" si="68">SUM(F76:F76)</f>
        <v>0</v>
      </c>
      <c r="G79" s="1074">
        <f>SUM(G76:G77)</f>
        <v>400</v>
      </c>
      <c r="H79" s="1070"/>
      <c r="I79" s="1070"/>
      <c r="J79" s="1071">
        <f>SUM(J76,J77,J78)</f>
        <v>0</v>
      </c>
      <c r="K79" s="1072">
        <f>SUM(K76,K77,K78)</f>
        <v>0</v>
      </c>
      <c r="L79" s="1070">
        <f t="shared" ref="L79:M79" si="69">SUM(L76,L77,L78)</f>
        <v>60</v>
      </c>
      <c r="M79" s="1622">
        <f t="shared" si="69"/>
        <v>60</v>
      </c>
      <c r="N79" s="2171" t="e">
        <f t="shared" si="67"/>
        <v>#DIV/0!</v>
      </c>
      <c r="O79" s="1070">
        <f t="shared" ref="O79:P79" si="70">SUM(O76,O77,O78)</f>
        <v>60</v>
      </c>
      <c r="P79" s="1618">
        <f t="shared" si="70"/>
        <v>60</v>
      </c>
      <c r="Q79" s="1070">
        <f t="shared" ref="Q79:R79" si="71">SUM(Q76,Q77,Q78)</f>
        <v>0</v>
      </c>
      <c r="R79" s="1618">
        <f t="shared" si="71"/>
        <v>0</v>
      </c>
      <c r="S79" s="3105"/>
      <c r="T79" s="3109"/>
      <c r="U79" s="3088"/>
      <c r="V79" s="3088"/>
      <c r="W79" s="3088"/>
      <c r="X79" s="3088"/>
      <c r="Y79" s="3088"/>
      <c r="Z79" s="3088"/>
      <c r="AA79" s="3088"/>
      <c r="AB79" s="3153"/>
    </row>
    <row r="80" spans="1:29" ht="41.25" hidden="1" customHeight="1">
      <c r="A80" s="2879" t="s">
        <v>4379</v>
      </c>
      <c r="B80" s="2695" t="s">
        <v>2775</v>
      </c>
      <c r="C80" s="2723" t="s">
        <v>4177</v>
      </c>
      <c r="D80" s="719" t="s">
        <v>470</v>
      </c>
      <c r="E80" s="720"/>
      <c r="F80" s="720"/>
      <c r="G80" s="720"/>
      <c r="H80" s="1076"/>
      <c r="I80" s="1076"/>
      <c r="J80" s="657"/>
      <c r="K80" s="722"/>
      <c r="L80" s="722"/>
      <c r="M80" s="1496"/>
      <c r="N80" s="2130" t="e">
        <f t="shared" si="67"/>
        <v>#DIV/0!</v>
      </c>
      <c r="O80" s="722"/>
      <c r="P80" s="1496"/>
      <c r="Q80" s="722"/>
      <c r="R80" s="1496"/>
      <c r="S80" s="2871" t="s">
        <v>2242</v>
      </c>
      <c r="T80" s="2704" t="s">
        <v>4377</v>
      </c>
      <c r="U80" s="2694" t="s">
        <v>4724</v>
      </c>
      <c r="V80" s="656" t="s">
        <v>3381</v>
      </c>
      <c r="W80" s="2694" t="s">
        <v>433</v>
      </c>
      <c r="X80" s="656" t="s">
        <v>433</v>
      </c>
      <c r="Y80" s="656" t="s">
        <v>1369</v>
      </c>
      <c r="Z80" s="656"/>
      <c r="AA80" s="656"/>
      <c r="AB80" s="3084" t="s">
        <v>2243</v>
      </c>
      <c r="AC80" s="357" t="s">
        <v>2591</v>
      </c>
    </row>
    <row r="81" spans="1:29" ht="45" hidden="1" customHeight="1">
      <c r="A81" s="2879"/>
      <c r="B81" s="2695"/>
      <c r="C81" s="2723"/>
      <c r="D81" s="719" t="s">
        <v>2747</v>
      </c>
      <c r="E81" s="720"/>
      <c r="F81" s="720"/>
      <c r="G81" s="720"/>
      <c r="H81" s="1076"/>
      <c r="I81" s="1076"/>
      <c r="J81" s="657"/>
      <c r="K81" s="722"/>
      <c r="L81" s="722"/>
      <c r="M81" s="1496"/>
      <c r="N81" s="2130" t="e">
        <f t="shared" si="67"/>
        <v>#DIV/0!</v>
      </c>
      <c r="O81" s="722"/>
      <c r="P81" s="1496"/>
      <c r="Q81" s="722"/>
      <c r="R81" s="1496"/>
      <c r="S81" s="2871"/>
      <c r="T81" s="2704"/>
      <c r="U81" s="2694"/>
      <c r="V81" s="656" t="s">
        <v>3384</v>
      </c>
      <c r="W81" s="2694"/>
      <c r="X81" s="656"/>
      <c r="Y81" s="656" t="s">
        <v>3389</v>
      </c>
      <c r="Z81" s="656"/>
      <c r="AA81" s="656"/>
      <c r="AB81" s="3085"/>
      <c r="AC81" s="357"/>
    </row>
    <row r="82" spans="1:29" ht="37.200000000000003" hidden="1" customHeight="1">
      <c r="A82" s="2879"/>
      <c r="B82" s="2695"/>
      <c r="C82" s="2723"/>
      <c r="D82" s="2879" t="s">
        <v>246</v>
      </c>
      <c r="E82" s="720"/>
      <c r="F82" s="720"/>
      <c r="G82" s="720"/>
      <c r="H82" s="3091"/>
      <c r="I82" s="3091"/>
      <c r="J82" s="2937">
        <f>SUM(J88,J92)</f>
        <v>297.99400000000003</v>
      </c>
      <c r="K82" s="2871">
        <f t="shared" ref="K82" si="72">SUM(K88,K92)</f>
        <v>297.99400000000003</v>
      </c>
      <c r="L82" s="2871">
        <v>400.20499999999998</v>
      </c>
      <c r="M82" s="3110">
        <v>400.20499999999998</v>
      </c>
      <c r="N82" s="3162">
        <f t="shared" si="67"/>
        <v>0.34299683886252724</v>
      </c>
      <c r="O82" s="2871">
        <v>0</v>
      </c>
      <c r="P82" s="3110"/>
      <c r="Q82" s="2871">
        <f t="shared" ref="Q82" si="73">SUM(Q88,Q92)</f>
        <v>0</v>
      </c>
      <c r="R82" s="3110">
        <f t="shared" ref="R82" si="74">SUM(R88,R92)</f>
        <v>0</v>
      </c>
      <c r="S82" s="2871"/>
      <c r="T82" s="2704"/>
      <c r="U82" s="2694"/>
      <c r="V82" s="3071" t="s">
        <v>4273</v>
      </c>
      <c r="W82" s="2694"/>
      <c r="X82" s="656"/>
      <c r="Y82" s="2903" t="s">
        <v>1425</v>
      </c>
      <c r="Z82" s="2903" t="s">
        <v>433</v>
      </c>
      <c r="AA82" s="2903" t="s">
        <v>433</v>
      </c>
      <c r="AB82" s="3085"/>
    </row>
    <row r="83" spans="1:29" ht="37.200000000000003" customHeight="1">
      <c r="A83" s="2879"/>
      <c r="B83" s="2695"/>
      <c r="C83" s="2723"/>
      <c r="D83" s="2879"/>
      <c r="E83" s="720"/>
      <c r="F83" s="720"/>
      <c r="G83" s="720"/>
      <c r="H83" s="3091"/>
      <c r="I83" s="3091"/>
      <c r="J83" s="2937"/>
      <c r="K83" s="2871"/>
      <c r="L83" s="2871"/>
      <c r="M83" s="3110"/>
      <c r="N83" s="3163" t="e">
        <f t="shared" si="67"/>
        <v>#DIV/0!</v>
      </c>
      <c r="O83" s="2871"/>
      <c r="P83" s="3110"/>
      <c r="Q83" s="2871"/>
      <c r="R83" s="3110"/>
      <c r="S83" s="2871"/>
      <c r="T83" s="2704"/>
      <c r="U83" s="2694"/>
      <c r="V83" s="3072"/>
      <c r="W83" s="2694"/>
      <c r="X83" s="656"/>
      <c r="Y83" s="2905"/>
      <c r="Z83" s="2905"/>
      <c r="AA83" s="2905"/>
      <c r="AB83" s="3085"/>
    </row>
    <row r="84" spans="1:29" ht="43.8" customHeight="1">
      <c r="A84" s="2879"/>
      <c r="B84" s="2695"/>
      <c r="C84" s="2723"/>
      <c r="D84" s="2879"/>
      <c r="E84" s="720"/>
      <c r="F84" s="720"/>
      <c r="G84" s="720"/>
      <c r="H84" s="3091"/>
      <c r="I84" s="3091"/>
      <c r="J84" s="2937"/>
      <c r="K84" s="2871"/>
      <c r="L84" s="2871"/>
      <c r="M84" s="3110"/>
      <c r="N84" s="3164" t="e">
        <f t="shared" si="67"/>
        <v>#DIV/0!</v>
      </c>
      <c r="O84" s="2871"/>
      <c r="P84" s="3110"/>
      <c r="Q84" s="2871"/>
      <c r="R84" s="3110"/>
      <c r="S84" s="2871"/>
      <c r="T84" s="2704"/>
      <c r="U84" s="2694"/>
      <c r="V84" s="3071" t="s">
        <v>4274</v>
      </c>
      <c r="W84" s="2694"/>
      <c r="X84" s="656"/>
      <c r="Y84" s="2903" t="s">
        <v>1425</v>
      </c>
      <c r="Z84" s="2903" t="s">
        <v>433</v>
      </c>
      <c r="AA84" s="2903" t="s">
        <v>433</v>
      </c>
      <c r="AB84" s="3085"/>
    </row>
    <row r="85" spans="1:29" ht="43.8" customHeight="1">
      <c r="A85" s="2879"/>
      <c r="B85" s="2695"/>
      <c r="C85" s="2723"/>
      <c r="D85" s="719" t="s">
        <v>1115</v>
      </c>
      <c r="E85" s="720"/>
      <c r="F85" s="720"/>
      <c r="G85" s="720"/>
      <c r="H85" s="1076"/>
      <c r="I85" s="1076"/>
      <c r="J85" s="657"/>
      <c r="K85" s="722"/>
      <c r="L85" s="722">
        <v>70.623999999999995</v>
      </c>
      <c r="M85" s="1496"/>
      <c r="N85" s="2173"/>
      <c r="O85" s="722"/>
      <c r="P85" s="1496"/>
      <c r="Q85" s="722"/>
      <c r="R85" s="1496"/>
      <c r="S85" s="2871"/>
      <c r="T85" s="2704"/>
      <c r="U85" s="2694"/>
      <c r="V85" s="3075"/>
      <c r="W85" s="2694"/>
      <c r="X85" s="656"/>
      <c r="Y85" s="2904"/>
      <c r="Z85" s="2904"/>
      <c r="AA85" s="2904"/>
      <c r="AB85" s="3085"/>
    </row>
    <row r="86" spans="1:29" ht="43.2" customHeight="1">
      <c r="A86" s="2879"/>
      <c r="B86" s="2695"/>
      <c r="C86" s="2723"/>
      <c r="D86" s="725" t="s">
        <v>1067</v>
      </c>
      <c r="E86" s="728">
        <f t="shared" ref="E86:M86" si="75">SUM(E80:E82)</f>
        <v>0</v>
      </c>
      <c r="F86" s="728">
        <f t="shared" si="75"/>
        <v>0</v>
      </c>
      <c r="G86" s="728">
        <f t="shared" si="75"/>
        <v>0</v>
      </c>
      <c r="H86" s="728">
        <f t="shared" si="75"/>
        <v>0</v>
      </c>
      <c r="I86" s="728">
        <f t="shared" si="75"/>
        <v>0</v>
      </c>
      <c r="J86" s="1056">
        <f t="shared" si="75"/>
        <v>297.99400000000003</v>
      </c>
      <c r="K86" s="728">
        <f t="shared" si="75"/>
        <v>297.99400000000003</v>
      </c>
      <c r="L86" s="728">
        <f>SUM(L82,L85)</f>
        <v>470.82899999999995</v>
      </c>
      <c r="M86" s="1464">
        <f t="shared" si="75"/>
        <v>400.20499999999998</v>
      </c>
      <c r="N86" s="1243">
        <f t="shared" si="67"/>
        <v>0.57999489922615866</v>
      </c>
      <c r="O86" s="728">
        <f>SUM(O80:O82)</f>
        <v>0</v>
      </c>
      <c r="P86" s="1464">
        <f>SUM(P80:P82)</f>
        <v>0</v>
      </c>
      <c r="Q86" s="728">
        <f>SUM(Q80:Q82)</f>
        <v>0</v>
      </c>
      <c r="R86" s="1464">
        <f>SUM(R80:R82)</f>
        <v>0</v>
      </c>
      <c r="S86" s="2871"/>
      <c r="T86" s="2734"/>
      <c r="U86" s="2694"/>
      <c r="V86" s="3072"/>
      <c r="W86" s="2694"/>
      <c r="X86" s="656"/>
      <c r="Y86" s="2905"/>
      <c r="Z86" s="2905"/>
      <c r="AA86" s="2905"/>
      <c r="AB86" s="3086"/>
    </row>
    <row r="87" spans="1:29" ht="15.75" hidden="1" customHeight="1">
      <c r="A87" s="3104"/>
      <c r="B87" s="2876" t="s">
        <v>3170</v>
      </c>
      <c r="C87" s="2922"/>
      <c r="D87" s="913" t="s">
        <v>470</v>
      </c>
      <c r="E87" s="755"/>
      <c r="F87" s="755"/>
      <c r="G87" s="755"/>
      <c r="H87" s="737"/>
      <c r="I87" s="737"/>
      <c r="J87" s="734"/>
      <c r="K87" s="681"/>
      <c r="L87" s="737"/>
      <c r="M87" s="1465"/>
      <c r="N87" s="778" t="e">
        <f t="shared" si="67"/>
        <v>#DIV/0!</v>
      </c>
      <c r="O87" s="737"/>
      <c r="P87" s="1465"/>
      <c r="Q87" s="737"/>
      <c r="R87" s="1465"/>
      <c r="S87" s="3089"/>
      <c r="T87" s="2936"/>
      <c r="U87" s="2876"/>
      <c r="V87" s="2876"/>
      <c r="W87" s="2876"/>
      <c r="X87" s="2876"/>
      <c r="Y87" s="2876"/>
      <c r="Z87" s="2876"/>
      <c r="AA87" s="2876"/>
      <c r="AB87" s="3145"/>
    </row>
    <row r="88" spans="1:29" ht="20.25" hidden="1" customHeight="1">
      <c r="A88" s="3104"/>
      <c r="B88" s="2876"/>
      <c r="C88" s="2922"/>
      <c r="D88" s="913" t="s">
        <v>246</v>
      </c>
      <c r="E88" s="755">
        <v>0</v>
      </c>
      <c r="F88" s="755"/>
      <c r="G88" s="755">
        <v>400</v>
      </c>
      <c r="H88" s="737"/>
      <c r="I88" s="737"/>
      <c r="J88" s="734">
        <v>59.994</v>
      </c>
      <c r="K88" s="681">
        <v>59.994</v>
      </c>
      <c r="L88" s="681"/>
      <c r="M88" s="1470"/>
      <c r="N88" s="778">
        <f t="shared" si="67"/>
        <v>-1</v>
      </c>
      <c r="O88" s="681"/>
      <c r="P88" s="1470"/>
      <c r="Q88" s="681"/>
      <c r="R88" s="1470"/>
      <c r="S88" s="3089"/>
      <c r="T88" s="2936"/>
      <c r="U88" s="2876"/>
      <c r="V88" s="2876"/>
      <c r="W88" s="2876"/>
      <c r="X88" s="2876"/>
      <c r="Y88" s="2876"/>
      <c r="Z88" s="2876"/>
      <c r="AA88" s="2876"/>
      <c r="AB88" s="3146"/>
    </row>
    <row r="89" spans="1:29" ht="15" hidden="1" customHeight="1">
      <c r="A89" s="3104"/>
      <c r="B89" s="2876"/>
      <c r="C89" s="2922"/>
      <c r="D89" s="913" t="s">
        <v>412</v>
      </c>
      <c r="E89" s="755"/>
      <c r="F89" s="755"/>
      <c r="G89" s="755"/>
      <c r="H89" s="737"/>
      <c r="I89" s="737"/>
      <c r="J89" s="734"/>
      <c r="K89" s="681"/>
      <c r="L89" s="681"/>
      <c r="M89" s="1470"/>
      <c r="N89" s="778" t="e">
        <f t="shared" si="67"/>
        <v>#DIV/0!</v>
      </c>
      <c r="O89" s="681"/>
      <c r="P89" s="1470"/>
      <c r="Q89" s="681"/>
      <c r="R89" s="1470"/>
      <c r="S89" s="3089"/>
      <c r="T89" s="2936"/>
      <c r="U89" s="2876"/>
      <c r="V89" s="2876"/>
      <c r="W89" s="2876"/>
      <c r="X89" s="2876"/>
      <c r="Y89" s="2876"/>
      <c r="Z89" s="2876"/>
      <c r="AA89" s="2876"/>
      <c r="AB89" s="3146"/>
    </row>
    <row r="90" spans="1:29" ht="20.25" hidden="1" customHeight="1">
      <c r="A90" s="3104"/>
      <c r="B90" s="2876"/>
      <c r="C90" s="2922"/>
      <c r="D90" s="700" t="s">
        <v>1067</v>
      </c>
      <c r="E90" s="755">
        <f>SUM(E87:E87)</f>
        <v>0</v>
      </c>
      <c r="F90" s="755">
        <f t="shared" ref="F90" si="76">SUM(F87:F87)</f>
        <v>0</v>
      </c>
      <c r="G90" s="755">
        <f>SUM(G87:G88)</f>
        <v>400</v>
      </c>
      <c r="H90" s="737"/>
      <c r="I90" s="737"/>
      <c r="J90" s="734">
        <f>SUM(J87,J88,J89)</f>
        <v>59.994</v>
      </c>
      <c r="K90" s="681">
        <f>SUM(K87,K88,K89)</f>
        <v>59.994</v>
      </c>
      <c r="L90" s="681"/>
      <c r="M90" s="1470"/>
      <c r="N90" s="778">
        <f t="shared" si="67"/>
        <v>-1</v>
      </c>
      <c r="O90" s="681"/>
      <c r="P90" s="1470"/>
      <c r="Q90" s="681"/>
      <c r="R90" s="1470"/>
      <c r="S90" s="3089"/>
      <c r="T90" s="3113"/>
      <c r="U90" s="2876"/>
      <c r="V90" s="2876"/>
      <c r="W90" s="2876"/>
      <c r="X90" s="2876"/>
      <c r="Y90" s="2876"/>
      <c r="Z90" s="2876"/>
      <c r="AA90" s="2876"/>
      <c r="AB90" s="3147"/>
    </row>
    <row r="91" spans="1:29" ht="16.5" hidden="1" customHeight="1">
      <c r="A91" s="3097"/>
      <c r="B91" s="3076" t="s">
        <v>3171</v>
      </c>
      <c r="C91" s="3098"/>
      <c r="D91" s="1378" t="s">
        <v>470</v>
      </c>
      <c r="E91" s="1069"/>
      <c r="F91" s="1069"/>
      <c r="G91" s="1069"/>
      <c r="H91" s="1064"/>
      <c r="I91" s="1064"/>
      <c r="J91" s="1065"/>
      <c r="K91" s="1066"/>
      <c r="L91" s="1066"/>
      <c r="M91" s="1620"/>
      <c r="N91" s="2170" t="e">
        <f t="shared" si="67"/>
        <v>#DIV/0!</v>
      </c>
      <c r="O91" s="1066"/>
      <c r="P91" s="1620"/>
      <c r="Q91" s="1066"/>
      <c r="R91" s="1620"/>
      <c r="S91" s="3099"/>
      <c r="T91" s="3100"/>
      <c r="U91" s="3076"/>
      <c r="V91" s="3076"/>
      <c r="W91" s="3076"/>
      <c r="X91" s="3076"/>
      <c r="Y91" s="3076"/>
      <c r="Z91" s="3076"/>
      <c r="AA91" s="3076"/>
      <c r="AB91" s="3148"/>
    </row>
    <row r="92" spans="1:29" ht="17.25" hidden="1" customHeight="1">
      <c r="A92" s="3097"/>
      <c r="B92" s="3076"/>
      <c r="C92" s="3098"/>
      <c r="D92" s="1378" t="s">
        <v>246</v>
      </c>
      <c r="E92" s="1069">
        <v>0</v>
      </c>
      <c r="F92" s="1069"/>
      <c r="G92" s="1069">
        <v>400</v>
      </c>
      <c r="H92" s="1064"/>
      <c r="I92" s="1064"/>
      <c r="J92" s="1065">
        <v>238</v>
      </c>
      <c r="K92" s="1066">
        <v>238</v>
      </c>
      <c r="L92" s="1066">
        <v>212.85300000000001</v>
      </c>
      <c r="M92" s="1620">
        <v>212.85300000000001</v>
      </c>
      <c r="N92" s="2170">
        <f t="shared" si="67"/>
        <v>-0.10565966386554618</v>
      </c>
      <c r="O92" s="1066"/>
      <c r="P92" s="1620">
        <v>212.85300000000001</v>
      </c>
      <c r="Q92" s="1066"/>
      <c r="R92" s="1620"/>
      <c r="S92" s="3099"/>
      <c r="T92" s="3100"/>
      <c r="U92" s="3076"/>
      <c r="V92" s="3076"/>
      <c r="W92" s="3076"/>
      <c r="X92" s="3076"/>
      <c r="Y92" s="3076"/>
      <c r="Z92" s="3076"/>
      <c r="AA92" s="3076"/>
      <c r="AB92" s="3149"/>
    </row>
    <row r="93" spans="1:29" ht="17.25" hidden="1" customHeight="1">
      <c r="A93" s="3097"/>
      <c r="B93" s="3076"/>
      <c r="C93" s="3098"/>
      <c r="D93" s="1378" t="s">
        <v>412</v>
      </c>
      <c r="E93" s="1069"/>
      <c r="F93" s="1069"/>
      <c r="G93" s="1069"/>
      <c r="H93" s="1064"/>
      <c r="I93" s="1064"/>
      <c r="J93" s="1065"/>
      <c r="K93" s="1066"/>
      <c r="L93" s="1066"/>
      <c r="M93" s="1620"/>
      <c r="N93" s="2170" t="e">
        <f t="shared" si="67"/>
        <v>#DIV/0!</v>
      </c>
      <c r="O93" s="1066"/>
      <c r="P93" s="1620"/>
      <c r="Q93" s="1066"/>
      <c r="R93" s="1620"/>
      <c r="S93" s="3099"/>
      <c r="T93" s="3100"/>
      <c r="U93" s="3076"/>
      <c r="V93" s="3076"/>
      <c r="W93" s="3076"/>
      <c r="X93" s="3076"/>
      <c r="Y93" s="3076"/>
      <c r="Z93" s="3076"/>
      <c r="AA93" s="3076"/>
      <c r="AB93" s="3149"/>
    </row>
    <row r="94" spans="1:29" ht="18.75" hidden="1" customHeight="1">
      <c r="A94" s="3097"/>
      <c r="B94" s="3076"/>
      <c r="C94" s="3098"/>
      <c r="D94" s="1068" t="s">
        <v>1067</v>
      </c>
      <c r="E94" s="1069">
        <f>SUM(E91:E91)</f>
        <v>0</v>
      </c>
      <c r="F94" s="1069">
        <f t="shared" ref="F94" si="77">SUM(F91:F91)</f>
        <v>0</v>
      </c>
      <c r="G94" s="1069">
        <f>SUM(G91:G92)</f>
        <v>400</v>
      </c>
      <c r="H94" s="1064"/>
      <c r="I94" s="1064"/>
      <c r="J94" s="1065">
        <f>SUM(J91,J92,J93)</f>
        <v>238</v>
      </c>
      <c r="K94" s="1066">
        <f>SUM(K91,K92,K93)</f>
        <v>238</v>
      </c>
      <c r="L94" s="1066">
        <f t="shared" ref="L94:R94" si="78">SUM(L91,L92,L93)</f>
        <v>212.85300000000001</v>
      </c>
      <c r="M94" s="1066">
        <f t="shared" si="78"/>
        <v>212.85300000000001</v>
      </c>
      <c r="N94" s="1066">
        <f t="shared" si="67"/>
        <v>-0.10565966386554618</v>
      </c>
      <c r="O94" s="1066">
        <f t="shared" si="78"/>
        <v>0</v>
      </c>
      <c r="P94" s="1066">
        <f t="shared" si="78"/>
        <v>212.85300000000001</v>
      </c>
      <c r="Q94" s="1066">
        <f t="shared" si="78"/>
        <v>0</v>
      </c>
      <c r="R94" s="1066">
        <f t="shared" si="78"/>
        <v>0</v>
      </c>
      <c r="S94" s="3099"/>
      <c r="T94" s="3106"/>
      <c r="U94" s="3076"/>
      <c r="V94" s="3076"/>
      <c r="W94" s="3076"/>
      <c r="X94" s="3076"/>
      <c r="Y94" s="3076"/>
      <c r="Z94" s="3076"/>
      <c r="AA94" s="3076"/>
      <c r="AB94" s="3150"/>
    </row>
    <row r="95" spans="1:29" ht="49.8" customHeight="1">
      <c r="A95" s="895" t="s">
        <v>2040</v>
      </c>
      <c r="B95" s="671" t="s">
        <v>1240</v>
      </c>
      <c r="C95" s="896"/>
      <c r="D95" s="697"/>
      <c r="E95" s="745">
        <f>SUM(E102,E126,E129,)</f>
        <v>14.951000000000001</v>
      </c>
      <c r="F95" s="745">
        <f>SUM(F102,F126,F129,)</f>
        <v>0</v>
      </c>
      <c r="G95" s="745">
        <f>SUM(G102,G126,G129,)</f>
        <v>0</v>
      </c>
      <c r="H95" s="746">
        <f>SUM(H98,H102,H126,H129,H137,H141,H153)</f>
        <v>236.34800000000001</v>
      </c>
      <c r="I95" s="746"/>
      <c r="J95" s="1055"/>
      <c r="K95" s="746">
        <f>SUM(K98,K102,K126,K129,K137,K141,K153)</f>
        <v>268.05673200000001</v>
      </c>
      <c r="L95" s="746">
        <f>SUM(L98,L102,L126,L129,L137,L141,L153)</f>
        <v>259.91800000000001</v>
      </c>
      <c r="M95" s="746">
        <f t="shared" ref="M95:Q95" si="79">SUM(M98,M102,M126,M129,M137,M141,M153)</f>
        <v>259.91800000000001</v>
      </c>
      <c r="N95" s="746" t="e">
        <f t="shared" si="79"/>
        <v>#DIV/0!</v>
      </c>
      <c r="O95" s="746">
        <f t="shared" si="79"/>
        <v>260.83800000000002</v>
      </c>
      <c r="P95" s="746">
        <f t="shared" si="79"/>
        <v>260.83800000000002</v>
      </c>
      <c r="Q95" s="746">
        <f t="shared" si="79"/>
        <v>114.94600000000001</v>
      </c>
      <c r="R95" s="1497"/>
      <c r="S95" s="746" t="s">
        <v>2268</v>
      </c>
      <c r="T95" s="898"/>
      <c r="U95" s="671" t="s">
        <v>4378</v>
      </c>
      <c r="V95" s="671" t="s">
        <v>2596</v>
      </c>
      <c r="W95" s="671" t="s">
        <v>324</v>
      </c>
      <c r="X95" s="671" t="s">
        <v>324</v>
      </c>
      <c r="Y95" s="671" t="s">
        <v>324</v>
      </c>
      <c r="Z95" s="671" t="s">
        <v>324</v>
      </c>
      <c r="AA95" s="671" t="s">
        <v>324</v>
      </c>
      <c r="AB95" s="1077"/>
    </row>
    <row r="96" spans="1:29" ht="39" customHeight="1">
      <c r="A96" s="2879" t="s">
        <v>2382</v>
      </c>
      <c r="B96" s="2699" t="s">
        <v>2593</v>
      </c>
      <c r="C96" s="2719">
        <v>188711925</v>
      </c>
      <c r="D96" s="706" t="s">
        <v>470</v>
      </c>
      <c r="E96" s="720"/>
      <c r="F96" s="720"/>
      <c r="G96" s="720"/>
      <c r="H96" s="722">
        <v>34.1</v>
      </c>
      <c r="I96" s="723">
        <f t="shared" ref="I96:I98" si="80">K96/H96-1</f>
        <v>-0.85337243401759533</v>
      </c>
      <c r="J96" s="657">
        <v>8</v>
      </c>
      <c r="K96" s="722">
        <v>5</v>
      </c>
      <c r="L96" s="722">
        <v>5</v>
      </c>
      <c r="M96" s="1496">
        <v>5</v>
      </c>
      <c r="N96" s="2130">
        <f t="shared" si="67"/>
        <v>0</v>
      </c>
      <c r="O96" s="722">
        <v>5</v>
      </c>
      <c r="P96" s="1496">
        <v>5</v>
      </c>
      <c r="Q96" s="722">
        <v>5</v>
      </c>
      <c r="R96" s="1496">
        <v>5</v>
      </c>
      <c r="S96" s="2871" t="s">
        <v>2384</v>
      </c>
      <c r="T96" s="2704" t="s">
        <v>3744</v>
      </c>
      <c r="U96" s="2694" t="s">
        <v>2383</v>
      </c>
      <c r="V96" s="2694" t="s">
        <v>2386</v>
      </c>
      <c r="W96" s="2694" t="s">
        <v>324</v>
      </c>
      <c r="X96" s="2694" t="s">
        <v>324</v>
      </c>
      <c r="Y96" s="2694" t="s">
        <v>324</v>
      </c>
      <c r="Z96" s="2694" t="s">
        <v>324</v>
      </c>
      <c r="AA96" s="2694" t="s">
        <v>324</v>
      </c>
      <c r="AB96" s="3084" t="s">
        <v>2385</v>
      </c>
      <c r="AC96" s="358" t="s">
        <v>2592</v>
      </c>
    </row>
    <row r="97" spans="1:90" ht="34.950000000000003" hidden="1" customHeight="1">
      <c r="A97" s="2879"/>
      <c r="B97" s="2699"/>
      <c r="C97" s="2719"/>
      <c r="D97" s="706" t="s">
        <v>246</v>
      </c>
      <c r="E97" s="720"/>
      <c r="F97" s="720"/>
      <c r="G97" s="720"/>
      <c r="H97" s="722"/>
      <c r="I97" s="723"/>
      <c r="J97" s="657"/>
      <c r="K97" s="722"/>
      <c r="L97" s="722"/>
      <c r="M97" s="1496"/>
      <c r="N97" s="2141" t="e">
        <f t="shared" si="67"/>
        <v>#DIV/0!</v>
      </c>
      <c r="O97" s="722"/>
      <c r="P97" s="1496"/>
      <c r="Q97" s="722"/>
      <c r="R97" s="1496"/>
      <c r="S97" s="2871"/>
      <c r="T97" s="2704"/>
      <c r="U97" s="2694"/>
      <c r="V97" s="2694"/>
      <c r="W97" s="2694"/>
      <c r="X97" s="2694"/>
      <c r="Y97" s="2694"/>
      <c r="Z97" s="2694"/>
      <c r="AA97" s="2694"/>
      <c r="AB97" s="3085"/>
    </row>
    <row r="98" spans="1:90" ht="52.5" customHeight="1">
      <c r="A98" s="2879"/>
      <c r="B98" s="2699"/>
      <c r="C98" s="2719"/>
      <c r="D98" s="725" t="s">
        <v>1067</v>
      </c>
      <c r="E98" s="726">
        <f>E96</f>
        <v>0</v>
      </c>
      <c r="F98" s="726"/>
      <c r="G98" s="726">
        <f t="shared" ref="G98:O98" si="81">G96</f>
        <v>0</v>
      </c>
      <c r="H98" s="728">
        <f t="shared" si="81"/>
        <v>34.1</v>
      </c>
      <c r="I98" s="729">
        <f t="shared" si="80"/>
        <v>-0.85337243401759533</v>
      </c>
      <c r="J98" s="1056">
        <f t="shared" si="81"/>
        <v>8</v>
      </c>
      <c r="K98" s="728">
        <f t="shared" si="81"/>
        <v>5</v>
      </c>
      <c r="L98" s="728">
        <f t="shared" si="81"/>
        <v>5</v>
      </c>
      <c r="M98" s="1464">
        <f t="shared" ref="M98" si="82">M96</f>
        <v>5</v>
      </c>
      <c r="N98" s="1243">
        <f t="shared" si="67"/>
        <v>0</v>
      </c>
      <c r="O98" s="728">
        <f t="shared" si="81"/>
        <v>5</v>
      </c>
      <c r="P98" s="1464">
        <f t="shared" ref="P98:Q98" si="83">P96</f>
        <v>5</v>
      </c>
      <c r="Q98" s="728">
        <f t="shared" si="83"/>
        <v>5</v>
      </c>
      <c r="R98" s="1464">
        <f t="shared" ref="R98" si="84">R96</f>
        <v>5</v>
      </c>
      <c r="S98" s="2871"/>
      <c r="T98" s="2734"/>
      <c r="U98" s="2694"/>
      <c r="V98" s="2694"/>
      <c r="W98" s="2694"/>
      <c r="X98" s="2694"/>
      <c r="Y98" s="2694"/>
      <c r="Z98" s="2694"/>
      <c r="AA98" s="2694"/>
      <c r="AB98" s="3086"/>
      <c r="AE98" s="319"/>
    </row>
    <row r="99" spans="1:90" ht="46.2" customHeight="1">
      <c r="A99" s="2879" t="s">
        <v>3235</v>
      </c>
      <c r="B99" s="2699" t="s">
        <v>3737</v>
      </c>
      <c r="C99" s="2719" t="s">
        <v>1071</v>
      </c>
      <c r="D99" s="719" t="s">
        <v>470</v>
      </c>
      <c r="E99" s="720"/>
      <c r="F99" s="720"/>
      <c r="G99" s="720"/>
      <c r="H99" s="1076"/>
      <c r="I99" s="1078"/>
      <c r="J99" s="657"/>
      <c r="K99" s="1062"/>
      <c r="L99" s="722"/>
      <c r="M99" s="1062">
        <f>SUM(M115)</f>
        <v>3.4140000000000001</v>
      </c>
      <c r="N99" s="2130"/>
      <c r="O99" s="1062">
        <f t="shared" ref="O99:R99" si="85">SUM(O115)</f>
        <v>3.4129999999999998</v>
      </c>
      <c r="P99" s="1619">
        <f t="shared" si="85"/>
        <v>3.4129999999999998</v>
      </c>
      <c r="Q99" s="1062">
        <f t="shared" si="85"/>
        <v>3.4129999999999998</v>
      </c>
      <c r="R99" s="1619">
        <f t="shared" si="85"/>
        <v>3.4129999999999998</v>
      </c>
      <c r="S99" s="2871" t="s">
        <v>2233</v>
      </c>
      <c r="T99" s="2704" t="s">
        <v>3745</v>
      </c>
      <c r="U99" s="2694" t="s">
        <v>2873</v>
      </c>
      <c r="V99" s="656" t="s">
        <v>3394</v>
      </c>
      <c r="W99" s="656"/>
      <c r="X99" s="656" t="s">
        <v>324</v>
      </c>
      <c r="Y99" s="656" t="s">
        <v>433</v>
      </c>
      <c r="Z99" s="656" t="s">
        <v>324</v>
      </c>
      <c r="AA99" s="656" t="s">
        <v>324</v>
      </c>
      <c r="AB99" s="2942" t="s">
        <v>2874</v>
      </c>
      <c r="AC99" s="357" t="s">
        <v>2591</v>
      </c>
    </row>
    <row r="100" spans="1:90" ht="55.8" customHeight="1">
      <c r="A100" s="2879"/>
      <c r="B100" s="2699"/>
      <c r="C100" s="2719"/>
      <c r="D100" s="719" t="s">
        <v>2747</v>
      </c>
      <c r="E100" s="720"/>
      <c r="F100" s="720"/>
      <c r="G100" s="720"/>
      <c r="H100" s="1076"/>
      <c r="I100" s="1078"/>
      <c r="J100" s="657"/>
      <c r="K100" s="1062"/>
      <c r="L100" s="722">
        <v>3.4140000000000001</v>
      </c>
      <c r="M100" s="1619"/>
      <c r="N100" s="2130"/>
      <c r="O100" s="1062"/>
      <c r="P100" s="1619"/>
      <c r="Q100" s="1062"/>
      <c r="R100" s="1619"/>
      <c r="S100" s="2871"/>
      <c r="T100" s="2704"/>
      <c r="U100" s="2694"/>
      <c r="V100" s="1854" t="s">
        <v>4114</v>
      </c>
      <c r="W100" s="1848"/>
      <c r="X100" s="1848" t="s">
        <v>1372</v>
      </c>
      <c r="Y100" s="656" t="s">
        <v>433</v>
      </c>
      <c r="Z100" s="656" t="s">
        <v>1372</v>
      </c>
      <c r="AA100" s="656" t="s">
        <v>1372</v>
      </c>
      <c r="AB100" s="2943"/>
      <c r="AC100" s="357"/>
    </row>
    <row r="101" spans="1:90" ht="57.75" customHeight="1">
      <c r="A101" s="2879"/>
      <c r="B101" s="2699"/>
      <c r="C101" s="2719"/>
      <c r="D101" s="706" t="s">
        <v>246</v>
      </c>
      <c r="E101" s="720"/>
      <c r="F101" s="720"/>
      <c r="G101" s="720"/>
      <c r="H101" s="722">
        <v>0</v>
      </c>
      <c r="I101" s="723"/>
      <c r="J101" s="657">
        <f>SUM(J104,J108,J112,J116)</f>
        <v>106.87473199999999</v>
      </c>
      <c r="K101" s="722">
        <f>SUM(K104,K108,K112,K116)</f>
        <v>106.87473199999999</v>
      </c>
      <c r="L101" s="722">
        <f>SUM(L104,L108,L112,L116,L120)</f>
        <v>124.289</v>
      </c>
      <c r="M101" s="1496">
        <f>SUM(M104,M108,M112,M116,M120)</f>
        <v>124.289</v>
      </c>
      <c r="N101" s="2130">
        <f t="shared" si="67"/>
        <v>0.16294092788929762</v>
      </c>
      <c r="O101" s="722">
        <f t="shared" ref="O101:R101" si="86">SUM(O104,O108,O112,O116,O120)</f>
        <v>124.28800000000001</v>
      </c>
      <c r="P101" s="1496">
        <f t="shared" si="86"/>
        <v>124.28800000000001</v>
      </c>
      <c r="Q101" s="722">
        <f t="shared" si="86"/>
        <v>106.53300000000002</v>
      </c>
      <c r="R101" s="1496">
        <f t="shared" si="86"/>
        <v>106.53300000000002</v>
      </c>
      <c r="S101" s="2871"/>
      <c r="T101" s="2704"/>
      <c r="U101" s="2694"/>
      <c r="V101" s="2694" t="s">
        <v>3395</v>
      </c>
      <c r="W101" s="2694" t="s">
        <v>1372</v>
      </c>
      <c r="X101" s="2694" t="s">
        <v>433</v>
      </c>
      <c r="Y101" s="2694" t="s">
        <v>433</v>
      </c>
      <c r="Z101" s="2694" t="s">
        <v>3118</v>
      </c>
      <c r="AA101" s="2694" t="s">
        <v>3118</v>
      </c>
      <c r="AB101" s="2943"/>
    </row>
    <row r="102" spans="1:90" ht="170.4" customHeight="1">
      <c r="A102" s="2879"/>
      <c r="B102" s="2699"/>
      <c r="C102" s="2719"/>
      <c r="D102" s="725" t="s">
        <v>1067</v>
      </c>
      <c r="E102" s="726"/>
      <c r="F102" s="726"/>
      <c r="G102" s="726"/>
      <c r="H102" s="728">
        <f>H101</f>
        <v>0</v>
      </c>
      <c r="I102" s="729"/>
      <c r="J102" s="1056">
        <f>J106+J110+J114+J118</f>
        <v>106.87473199999999</v>
      </c>
      <c r="K102" s="728">
        <f>K101</f>
        <v>106.87473199999999</v>
      </c>
      <c r="L102" s="728">
        <f>SUM(L101,L99,L100)</f>
        <v>127.703</v>
      </c>
      <c r="M102" s="1464">
        <f>SUM(M101,M99,M100)</f>
        <v>127.703</v>
      </c>
      <c r="N102" s="1243">
        <f t="shared" si="67"/>
        <v>0.19488486764111848</v>
      </c>
      <c r="O102" s="728">
        <f t="shared" ref="O102:R102" si="87">SUM(O101,O99,O100)</f>
        <v>127.70100000000001</v>
      </c>
      <c r="P102" s="1464">
        <f t="shared" si="87"/>
        <v>127.70100000000001</v>
      </c>
      <c r="Q102" s="728">
        <f t="shared" si="87"/>
        <v>109.94600000000001</v>
      </c>
      <c r="R102" s="1464">
        <f t="shared" si="87"/>
        <v>109.94600000000001</v>
      </c>
      <c r="S102" s="2871"/>
      <c r="T102" s="2704"/>
      <c r="U102" s="2694"/>
      <c r="V102" s="2694"/>
      <c r="W102" s="2694"/>
      <c r="X102" s="2694"/>
      <c r="Y102" s="2694"/>
      <c r="Z102" s="2694"/>
      <c r="AA102" s="2694"/>
      <c r="AB102" s="2943"/>
    </row>
    <row r="103" spans="1:90" ht="17.25" hidden="1" customHeight="1">
      <c r="A103" s="3104"/>
      <c r="B103" s="2876" t="s">
        <v>3171</v>
      </c>
      <c r="C103" s="2922"/>
      <c r="D103" s="913" t="s">
        <v>470</v>
      </c>
      <c r="E103" s="755"/>
      <c r="F103" s="755"/>
      <c r="G103" s="755"/>
      <c r="H103" s="737"/>
      <c r="I103" s="737"/>
      <c r="J103" s="734"/>
      <c r="K103" s="737"/>
      <c r="L103" s="737"/>
      <c r="M103" s="1465"/>
      <c r="N103" s="2172" t="e">
        <f t="shared" si="67"/>
        <v>#DIV/0!</v>
      </c>
      <c r="O103" s="737"/>
      <c r="P103" s="1465"/>
      <c r="Q103" s="737"/>
      <c r="R103" s="1465"/>
      <c r="S103" s="3089" t="s">
        <v>2240</v>
      </c>
      <c r="T103" s="2704" t="s">
        <v>3176</v>
      </c>
      <c r="U103" s="2693"/>
      <c r="V103" s="2693"/>
      <c r="W103" s="2693"/>
      <c r="X103" s="2693"/>
      <c r="Y103" s="2693"/>
      <c r="Z103" s="2693"/>
      <c r="AA103" s="1779"/>
      <c r="AB103" s="2943"/>
    </row>
    <row r="104" spans="1:90" ht="17.25" hidden="1" customHeight="1">
      <c r="A104" s="3104"/>
      <c r="B104" s="2876"/>
      <c r="C104" s="2922"/>
      <c r="D104" s="913" t="s">
        <v>246</v>
      </c>
      <c r="E104" s="755">
        <v>0</v>
      </c>
      <c r="F104" s="755"/>
      <c r="G104" s="755">
        <v>400</v>
      </c>
      <c r="H104" s="737"/>
      <c r="I104" s="737"/>
      <c r="J104" s="734">
        <f>147.21279*30%</f>
        <v>44.163837000000001</v>
      </c>
      <c r="K104" s="681">
        <f>147.21279*30%</f>
        <v>44.163837000000001</v>
      </c>
      <c r="L104" s="681">
        <v>27.216999999999999</v>
      </c>
      <c r="M104" s="681">
        <v>27.216999999999999</v>
      </c>
      <c r="N104" s="2172">
        <f t="shared" si="67"/>
        <v>-0.383726554375246</v>
      </c>
      <c r="O104" s="681">
        <v>27.216999999999999</v>
      </c>
      <c r="P104" s="681">
        <v>27.216999999999999</v>
      </c>
      <c r="Q104" s="681">
        <v>23.329000000000001</v>
      </c>
      <c r="R104" s="681">
        <v>23.329000000000001</v>
      </c>
      <c r="S104" s="3089"/>
      <c r="T104" s="2704"/>
      <c r="U104" s="2693"/>
      <c r="V104" s="2693"/>
      <c r="W104" s="2693"/>
      <c r="X104" s="2693"/>
      <c r="Y104" s="2693"/>
      <c r="Z104" s="2693"/>
      <c r="AA104" s="1779"/>
      <c r="AB104" s="2943"/>
    </row>
    <row r="105" spans="1:90" ht="18" hidden="1" customHeight="1">
      <c r="A105" s="3104"/>
      <c r="B105" s="2876"/>
      <c r="C105" s="2922"/>
      <c r="D105" s="913" t="s">
        <v>412</v>
      </c>
      <c r="E105" s="755"/>
      <c r="F105" s="755"/>
      <c r="G105" s="755"/>
      <c r="H105" s="737"/>
      <c r="I105" s="737"/>
      <c r="J105" s="734"/>
      <c r="K105" s="681"/>
      <c r="L105" s="681"/>
      <c r="M105" s="1470"/>
      <c r="N105" s="2172" t="e">
        <f t="shared" si="67"/>
        <v>#DIV/0!</v>
      </c>
      <c r="O105" s="681"/>
      <c r="P105" s="1470"/>
      <c r="Q105" s="681"/>
      <c r="R105" s="1470"/>
      <c r="S105" s="3089"/>
      <c r="T105" s="2704"/>
      <c r="U105" s="2693"/>
      <c r="V105" s="2693"/>
      <c r="W105" s="2693"/>
      <c r="X105" s="2693"/>
      <c r="Y105" s="2693"/>
      <c r="Z105" s="2693"/>
      <c r="AA105" s="1779"/>
      <c r="AB105" s="2943"/>
    </row>
    <row r="106" spans="1:90" ht="18.75" hidden="1" customHeight="1">
      <c r="A106" s="3104"/>
      <c r="B106" s="2876"/>
      <c r="C106" s="2922"/>
      <c r="D106" s="1023" t="s">
        <v>1067</v>
      </c>
      <c r="E106" s="1018">
        <f>SUM(E103:E103)</f>
        <v>0</v>
      </c>
      <c r="F106" s="1018">
        <f t="shared" ref="F106" si="88">SUM(F103:F103)</f>
        <v>0</v>
      </c>
      <c r="G106" s="1018">
        <f>SUM(G103:G104)</f>
        <v>400</v>
      </c>
      <c r="H106" s="1021"/>
      <c r="I106" s="1021"/>
      <c r="J106" s="1876">
        <f>147.21279*30%</f>
        <v>44.163837000000001</v>
      </c>
      <c r="K106" s="1019">
        <f>147.21279*30%</f>
        <v>44.163837000000001</v>
      </c>
      <c r="L106" s="1019"/>
      <c r="M106" s="1877"/>
      <c r="N106" s="1452">
        <f t="shared" si="67"/>
        <v>-1</v>
      </c>
      <c r="O106" s="1019"/>
      <c r="P106" s="1877"/>
      <c r="Q106" s="1019"/>
      <c r="R106" s="1877"/>
      <c r="S106" s="3089"/>
      <c r="T106" s="2704"/>
      <c r="U106" s="2693"/>
      <c r="V106" s="2693"/>
      <c r="W106" s="2693"/>
      <c r="X106" s="2693"/>
      <c r="Y106" s="2693"/>
      <c r="Z106" s="2693"/>
      <c r="AA106" s="1779"/>
      <c r="AB106" s="2943"/>
    </row>
    <row r="107" spans="1:90" ht="16.5" hidden="1" customHeight="1">
      <c r="A107" s="3097"/>
      <c r="B107" s="3097" t="s">
        <v>3170</v>
      </c>
      <c r="C107" s="3098"/>
      <c r="D107" s="1378" t="s">
        <v>470</v>
      </c>
      <c r="E107" s="1069"/>
      <c r="F107" s="1069"/>
      <c r="G107" s="1069"/>
      <c r="H107" s="1064"/>
      <c r="I107" s="1064"/>
      <c r="J107" s="1065"/>
      <c r="K107" s="1066"/>
      <c r="L107" s="1065"/>
      <c r="M107" s="1620"/>
      <c r="N107" s="2172" t="e">
        <f t="shared" si="67"/>
        <v>#DIV/0!</v>
      </c>
      <c r="O107" s="1066"/>
      <c r="P107" s="1620"/>
      <c r="Q107" s="1066"/>
      <c r="R107" s="1620"/>
      <c r="S107" s="3099" t="s">
        <v>2240</v>
      </c>
      <c r="T107" s="3100" t="s">
        <v>3177</v>
      </c>
      <c r="U107" s="2693"/>
      <c r="V107" s="2693"/>
      <c r="W107" s="2693"/>
      <c r="X107" s="2693"/>
      <c r="Y107" s="2693"/>
      <c r="Z107" s="2693"/>
      <c r="AA107" s="1779"/>
      <c r="AB107" s="2943"/>
    </row>
    <row r="108" spans="1:90" ht="19.5" hidden="1" customHeight="1">
      <c r="A108" s="3097"/>
      <c r="B108" s="3097"/>
      <c r="C108" s="3098"/>
      <c r="D108" s="1378" t="s">
        <v>246</v>
      </c>
      <c r="E108" s="1069">
        <v>0</v>
      </c>
      <c r="F108" s="1069"/>
      <c r="G108" s="1069">
        <v>400</v>
      </c>
      <c r="H108" s="1064"/>
      <c r="I108" s="1064"/>
      <c r="J108" s="1065">
        <f>125.07323*30%</f>
        <v>37.521968999999999</v>
      </c>
      <c r="K108" s="1066">
        <f>125.07323*30%</f>
        <v>37.521968999999999</v>
      </c>
      <c r="L108" s="1066">
        <v>19.468</v>
      </c>
      <c r="M108" s="1066">
        <v>19.468</v>
      </c>
      <c r="N108" s="2172">
        <f t="shared" si="67"/>
        <v>-0.4811572921453029</v>
      </c>
      <c r="O108" s="1066">
        <v>19.468</v>
      </c>
      <c r="P108" s="1066">
        <v>19.468</v>
      </c>
      <c r="Q108" s="1620">
        <v>16.687000000000001</v>
      </c>
      <c r="R108" s="1620">
        <v>16.687000000000001</v>
      </c>
      <c r="S108" s="3099"/>
      <c r="T108" s="3100"/>
      <c r="U108" s="2693"/>
      <c r="V108" s="2693"/>
      <c r="W108" s="2693"/>
      <c r="X108" s="2693"/>
      <c r="Y108" s="2693"/>
      <c r="Z108" s="2693"/>
      <c r="AA108" s="1779"/>
      <c r="AB108" s="2943"/>
    </row>
    <row r="109" spans="1:90" ht="18" hidden="1" customHeight="1">
      <c r="A109" s="3097"/>
      <c r="B109" s="3097"/>
      <c r="C109" s="3098"/>
      <c r="D109" s="1378" t="s">
        <v>412</v>
      </c>
      <c r="E109" s="1069"/>
      <c r="F109" s="1069"/>
      <c r="G109" s="1069"/>
      <c r="H109" s="1064"/>
      <c r="I109" s="1064"/>
      <c r="J109" s="1065"/>
      <c r="K109" s="1066"/>
      <c r="L109" s="1066"/>
      <c r="M109" s="1620"/>
      <c r="N109" s="2172" t="e">
        <f t="shared" si="67"/>
        <v>#DIV/0!</v>
      </c>
      <c r="O109" s="1066"/>
      <c r="P109" s="1620"/>
      <c r="Q109" s="1066"/>
      <c r="R109" s="1620"/>
      <c r="S109" s="3099"/>
      <c r="T109" s="3100"/>
      <c r="U109" s="2693"/>
      <c r="V109" s="2693"/>
      <c r="W109" s="2693"/>
      <c r="X109" s="2693"/>
      <c r="Y109" s="2693"/>
      <c r="Z109" s="2693"/>
      <c r="AA109" s="1779"/>
      <c r="AB109" s="2943"/>
    </row>
    <row r="110" spans="1:90" ht="20.25" hidden="1" customHeight="1">
      <c r="A110" s="3097"/>
      <c r="B110" s="3097"/>
      <c r="C110" s="3098"/>
      <c r="D110" s="1878" t="s">
        <v>1067</v>
      </c>
      <c r="E110" s="1879">
        <f>SUM(E107:E107)</f>
        <v>0</v>
      </c>
      <c r="F110" s="1879">
        <f t="shared" ref="F110" si="89">SUM(F107:F107)</f>
        <v>0</v>
      </c>
      <c r="G110" s="1879">
        <f>SUM(G107:G108)</f>
        <v>400</v>
      </c>
      <c r="H110" s="1880"/>
      <c r="I110" s="1880"/>
      <c r="J110" s="1881">
        <f>125.07323*30%</f>
        <v>37.521968999999999</v>
      </c>
      <c r="K110" s="1882">
        <f>125.07323*30%</f>
        <v>37.521968999999999</v>
      </c>
      <c r="L110" s="1882"/>
      <c r="M110" s="1883"/>
      <c r="N110" s="2174">
        <f t="shared" si="67"/>
        <v>-1</v>
      </c>
      <c r="O110" s="1882"/>
      <c r="P110" s="1883"/>
      <c r="Q110" s="1882"/>
      <c r="R110" s="1883"/>
      <c r="S110" s="3099"/>
      <c r="T110" s="3100"/>
      <c r="U110" s="2693"/>
      <c r="V110" s="2693"/>
      <c r="W110" s="2693"/>
      <c r="X110" s="2693"/>
      <c r="Y110" s="2693"/>
      <c r="Z110" s="2693"/>
      <c r="AA110" s="1779"/>
      <c r="AB110" s="2943"/>
    </row>
    <row r="111" spans="1:90" s="524" customFormat="1" ht="15.75" hidden="1" customHeight="1">
      <c r="A111" s="3090"/>
      <c r="B111" s="3092" t="s">
        <v>3174</v>
      </c>
      <c r="C111" s="3093"/>
      <c r="D111" s="1380" t="s">
        <v>470</v>
      </c>
      <c r="E111" s="1082"/>
      <c r="F111" s="1082"/>
      <c r="G111" s="1082"/>
      <c r="H111" s="1079"/>
      <c r="I111" s="1079"/>
      <c r="J111" s="1080"/>
      <c r="K111" s="1081"/>
      <c r="L111" s="1081"/>
      <c r="M111" s="1621"/>
      <c r="N111" s="2172" t="e">
        <f t="shared" si="67"/>
        <v>#DIV/0!</v>
      </c>
      <c r="O111" s="1081"/>
      <c r="P111" s="1621"/>
      <c r="Q111" s="1081"/>
      <c r="R111" s="1621"/>
      <c r="S111" s="3094" t="s">
        <v>2240</v>
      </c>
      <c r="T111" s="3095" t="s">
        <v>3178</v>
      </c>
      <c r="U111" s="2693"/>
      <c r="V111" s="2693"/>
      <c r="W111" s="2693"/>
      <c r="X111" s="2693"/>
      <c r="Y111" s="2693"/>
      <c r="Z111" s="2693"/>
      <c r="AA111" s="1779"/>
      <c r="AB111" s="2943"/>
      <c r="AD111" s="221"/>
      <c r="AE111" s="221"/>
      <c r="AF111" s="221"/>
      <c r="AG111" s="221"/>
      <c r="AH111" s="221"/>
      <c r="AI111" s="221"/>
      <c r="AJ111" s="221"/>
      <c r="AK111" s="221"/>
      <c r="AL111" s="221"/>
      <c r="AM111" s="221"/>
      <c r="AN111" s="221"/>
      <c r="AO111" s="221"/>
      <c r="AP111" s="221"/>
      <c r="AQ111" s="221"/>
      <c r="AR111" s="221"/>
      <c r="AS111" s="221"/>
      <c r="AT111" s="221"/>
      <c r="AU111" s="221"/>
      <c r="AV111" s="221"/>
      <c r="AW111" s="221"/>
      <c r="AX111" s="221"/>
      <c r="AY111" s="221"/>
      <c r="AZ111" s="221"/>
      <c r="BA111" s="221"/>
      <c r="BB111" s="221"/>
      <c r="BC111" s="221"/>
      <c r="BD111" s="221"/>
      <c r="BE111" s="221"/>
      <c r="BF111" s="221"/>
      <c r="BG111" s="221"/>
      <c r="BH111" s="221"/>
      <c r="BI111" s="221"/>
      <c r="BJ111" s="221"/>
      <c r="BK111" s="221"/>
      <c r="BL111" s="221"/>
      <c r="BM111" s="221"/>
      <c r="BN111" s="221"/>
      <c r="BO111" s="221"/>
      <c r="BP111" s="221"/>
      <c r="BQ111" s="221"/>
      <c r="BR111" s="221"/>
      <c r="BS111" s="221"/>
      <c r="BT111" s="221"/>
      <c r="BU111" s="221"/>
      <c r="BV111" s="221"/>
      <c r="BW111" s="221"/>
      <c r="BX111" s="221"/>
      <c r="BY111" s="221"/>
      <c r="BZ111" s="221"/>
      <c r="CA111" s="221"/>
      <c r="CB111" s="221"/>
      <c r="CC111" s="221"/>
      <c r="CD111" s="221"/>
      <c r="CE111" s="221"/>
      <c r="CF111" s="221"/>
      <c r="CG111" s="221"/>
      <c r="CH111" s="221"/>
      <c r="CI111" s="221"/>
      <c r="CJ111" s="221"/>
      <c r="CK111" s="221"/>
      <c r="CL111" s="221"/>
    </row>
    <row r="112" spans="1:90" s="524" customFormat="1" ht="18.75" hidden="1" customHeight="1">
      <c r="A112" s="3090"/>
      <c r="B112" s="3092"/>
      <c r="C112" s="3093"/>
      <c r="D112" s="1380" t="s">
        <v>246</v>
      </c>
      <c r="E112" s="1082">
        <v>0</v>
      </c>
      <c r="F112" s="1082"/>
      <c r="G112" s="1082">
        <v>400</v>
      </c>
      <c r="H112" s="1079"/>
      <c r="I112" s="1079"/>
      <c r="J112" s="1080">
        <f>72.58532*30%</f>
        <v>21.775595999999997</v>
      </c>
      <c r="K112" s="1081">
        <f>72.58532*30%</f>
        <v>21.775595999999997</v>
      </c>
      <c r="L112" s="1081">
        <v>1.0980000000000001</v>
      </c>
      <c r="M112" s="1081">
        <v>1.0980000000000001</v>
      </c>
      <c r="N112" s="2172">
        <f t="shared" si="67"/>
        <v>-0.94957658104972198</v>
      </c>
      <c r="O112" s="1081">
        <v>1.097</v>
      </c>
      <c r="P112" s="1081">
        <v>1.097</v>
      </c>
      <c r="Q112" s="1081">
        <v>0.94099999999999995</v>
      </c>
      <c r="R112" s="1081">
        <v>0.94099999999999995</v>
      </c>
      <c r="S112" s="3094"/>
      <c r="T112" s="3095"/>
      <c r="U112" s="2693"/>
      <c r="V112" s="2693"/>
      <c r="W112" s="2693"/>
      <c r="X112" s="2693"/>
      <c r="Y112" s="2693"/>
      <c r="Z112" s="2693"/>
      <c r="AA112" s="1779"/>
      <c r="AB112" s="2943"/>
      <c r="AD112" s="221"/>
      <c r="AE112" s="221"/>
      <c r="AF112" s="221"/>
      <c r="AG112" s="221"/>
      <c r="AH112" s="221"/>
      <c r="AI112" s="221"/>
      <c r="AJ112" s="221"/>
      <c r="AK112" s="221"/>
      <c r="AL112" s="221"/>
      <c r="AM112" s="221"/>
      <c r="AN112" s="221"/>
      <c r="AO112" s="221"/>
      <c r="AP112" s="221"/>
      <c r="AQ112" s="221"/>
      <c r="AR112" s="221"/>
      <c r="AS112" s="221"/>
      <c r="AT112" s="221"/>
      <c r="AU112" s="221"/>
      <c r="AV112" s="221"/>
      <c r="AW112" s="221"/>
      <c r="AX112" s="221"/>
      <c r="AY112" s="221"/>
      <c r="AZ112" s="221"/>
      <c r="BA112" s="221"/>
      <c r="BB112" s="221"/>
      <c r="BC112" s="221"/>
      <c r="BD112" s="221"/>
      <c r="BE112" s="221"/>
      <c r="BF112" s="221"/>
      <c r="BG112" s="221"/>
      <c r="BH112" s="221"/>
      <c r="BI112" s="221"/>
      <c r="BJ112" s="221"/>
      <c r="BK112" s="221"/>
      <c r="BL112" s="221"/>
      <c r="BM112" s="221"/>
      <c r="BN112" s="221"/>
      <c r="BO112" s="221"/>
      <c r="BP112" s="221"/>
      <c r="BQ112" s="221"/>
      <c r="BR112" s="221"/>
      <c r="BS112" s="221"/>
      <c r="BT112" s="221"/>
      <c r="BU112" s="221"/>
      <c r="BV112" s="221"/>
      <c r="BW112" s="221"/>
      <c r="BX112" s="221"/>
      <c r="BY112" s="221"/>
      <c r="BZ112" s="221"/>
      <c r="CA112" s="221"/>
      <c r="CB112" s="221"/>
      <c r="CC112" s="221"/>
      <c r="CD112" s="221"/>
      <c r="CE112" s="221"/>
      <c r="CF112" s="221"/>
      <c r="CG112" s="221"/>
      <c r="CH112" s="221"/>
      <c r="CI112" s="221"/>
      <c r="CJ112" s="221"/>
      <c r="CK112" s="221"/>
      <c r="CL112" s="221"/>
    </row>
    <row r="113" spans="1:90" s="524" customFormat="1" ht="18.75" hidden="1" customHeight="1">
      <c r="A113" s="3090"/>
      <c r="B113" s="3092"/>
      <c r="C113" s="3093"/>
      <c r="D113" s="1380" t="s">
        <v>412</v>
      </c>
      <c r="E113" s="1082"/>
      <c r="F113" s="1082"/>
      <c r="G113" s="1082"/>
      <c r="H113" s="1079"/>
      <c r="I113" s="1079"/>
      <c r="J113" s="1080"/>
      <c r="K113" s="1081"/>
      <c r="L113" s="1081"/>
      <c r="M113" s="1621"/>
      <c r="N113" s="2172" t="e">
        <f t="shared" si="67"/>
        <v>#DIV/0!</v>
      </c>
      <c r="O113" s="1081"/>
      <c r="P113" s="1621"/>
      <c r="Q113" s="1081"/>
      <c r="R113" s="1621"/>
      <c r="S113" s="3094"/>
      <c r="T113" s="3095"/>
      <c r="U113" s="2693"/>
      <c r="V113" s="2693"/>
      <c r="W113" s="2693"/>
      <c r="X113" s="2693"/>
      <c r="Y113" s="2693"/>
      <c r="Z113" s="2693"/>
      <c r="AA113" s="1779"/>
      <c r="AB113" s="2943"/>
      <c r="AD113" s="221"/>
      <c r="AE113" s="221"/>
      <c r="AF113" s="221"/>
      <c r="AG113" s="221"/>
      <c r="AH113" s="221"/>
      <c r="AI113" s="221"/>
      <c r="AJ113" s="221"/>
      <c r="AK113" s="221"/>
      <c r="AL113" s="221"/>
      <c r="AM113" s="221"/>
      <c r="AN113" s="221"/>
      <c r="AO113" s="221"/>
      <c r="AP113" s="221"/>
      <c r="AQ113" s="221"/>
      <c r="AR113" s="221"/>
      <c r="AS113" s="221"/>
      <c r="AT113" s="221"/>
      <c r="AU113" s="221"/>
      <c r="AV113" s="221"/>
      <c r="AW113" s="221"/>
      <c r="AX113" s="221"/>
      <c r="AY113" s="221"/>
      <c r="AZ113" s="221"/>
      <c r="BA113" s="221"/>
      <c r="BB113" s="221"/>
      <c r="BC113" s="221"/>
      <c r="BD113" s="221"/>
      <c r="BE113" s="221"/>
      <c r="BF113" s="221"/>
      <c r="BG113" s="221"/>
      <c r="BH113" s="221"/>
      <c r="BI113" s="221"/>
      <c r="BJ113" s="221"/>
      <c r="BK113" s="221"/>
      <c r="BL113" s="221"/>
      <c r="BM113" s="221"/>
      <c r="BN113" s="221"/>
      <c r="BO113" s="221"/>
      <c r="BP113" s="221"/>
      <c r="BQ113" s="221"/>
      <c r="BR113" s="221"/>
      <c r="BS113" s="221"/>
      <c r="BT113" s="221"/>
      <c r="BU113" s="221"/>
      <c r="BV113" s="221"/>
      <c r="BW113" s="221"/>
      <c r="BX113" s="221"/>
      <c r="BY113" s="221"/>
      <c r="BZ113" s="221"/>
      <c r="CA113" s="221"/>
      <c r="CB113" s="221"/>
      <c r="CC113" s="221"/>
      <c r="CD113" s="221"/>
      <c r="CE113" s="221"/>
      <c r="CF113" s="221"/>
      <c r="CG113" s="221"/>
      <c r="CH113" s="221"/>
      <c r="CI113" s="221"/>
      <c r="CJ113" s="221"/>
      <c r="CK113" s="221"/>
      <c r="CL113" s="221"/>
    </row>
    <row r="114" spans="1:90" s="524" customFormat="1" ht="20.399999999999999" hidden="1" customHeight="1">
      <c r="A114" s="3090"/>
      <c r="B114" s="3092"/>
      <c r="C114" s="3093"/>
      <c r="D114" s="1884" t="s">
        <v>1067</v>
      </c>
      <c r="E114" s="1885">
        <f>SUM(E111:E111)</f>
        <v>0</v>
      </c>
      <c r="F114" s="1885">
        <f t="shared" ref="F114" si="90">SUM(F111:F111)</f>
        <v>0</v>
      </c>
      <c r="G114" s="1885">
        <f>SUM(G111:G112)</f>
        <v>400</v>
      </c>
      <c r="H114" s="1886"/>
      <c r="I114" s="1886"/>
      <c r="J114" s="1887">
        <f>72.58532*30%</f>
        <v>21.775595999999997</v>
      </c>
      <c r="K114" s="1888">
        <f>72.58532*30%</f>
        <v>21.775595999999997</v>
      </c>
      <c r="L114" s="1888"/>
      <c r="M114" s="1889"/>
      <c r="N114" s="2175">
        <f t="shared" si="67"/>
        <v>-1</v>
      </c>
      <c r="O114" s="1888"/>
      <c r="P114" s="1889"/>
      <c r="Q114" s="1888"/>
      <c r="R114" s="1889"/>
      <c r="S114" s="3094"/>
      <c r="T114" s="3096"/>
      <c r="U114" s="2693"/>
      <c r="V114" s="2693"/>
      <c r="W114" s="2693"/>
      <c r="X114" s="2693"/>
      <c r="Y114" s="2693"/>
      <c r="Z114" s="2693"/>
      <c r="AA114" s="1779"/>
      <c r="AB114" s="2943"/>
      <c r="AD114" s="221"/>
      <c r="AE114" s="221"/>
      <c r="AF114" s="221"/>
      <c r="AG114" s="221"/>
      <c r="AH114" s="221"/>
      <c r="AI114" s="221"/>
      <c r="AJ114" s="221"/>
      <c r="AK114" s="221"/>
      <c r="AL114" s="221"/>
      <c r="AM114" s="221"/>
      <c r="AN114" s="221"/>
      <c r="AO114" s="221"/>
      <c r="AP114" s="221"/>
      <c r="AQ114" s="221"/>
      <c r="AR114" s="221"/>
      <c r="AS114" s="221"/>
      <c r="AT114" s="221"/>
      <c r="AU114" s="221"/>
      <c r="AV114" s="221"/>
      <c r="AW114" s="221"/>
      <c r="AX114" s="221"/>
      <c r="AY114" s="221"/>
      <c r="AZ114" s="221"/>
      <c r="BA114" s="221"/>
      <c r="BB114" s="221"/>
      <c r="BC114" s="221"/>
      <c r="BD114" s="221"/>
      <c r="BE114" s="221"/>
      <c r="BF114" s="221"/>
      <c r="BG114" s="221"/>
      <c r="BH114" s="221"/>
      <c r="BI114" s="221"/>
      <c r="BJ114" s="221"/>
      <c r="BK114" s="221"/>
      <c r="BL114" s="221"/>
      <c r="BM114" s="221"/>
      <c r="BN114" s="221"/>
      <c r="BO114" s="221"/>
      <c r="BP114" s="221"/>
      <c r="BQ114" s="221"/>
      <c r="BR114" s="221"/>
      <c r="BS114" s="221"/>
      <c r="BT114" s="221"/>
      <c r="BU114" s="221"/>
      <c r="BV114" s="221"/>
      <c r="BW114" s="221"/>
      <c r="BX114" s="221"/>
      <c r="BY114" s="221"/>
      <c r="BZ114" s="221"/>
      <c r="CA114" s="221"/>
      <c r="CB114" s="221"/>
      <c r="CC114" s="221"/>
      <c r="CD114" s="221"/>
      <c r="CE114" s="221"/>
      <c r="CF114" s="221"/>
      <c r="CG114" s="221"/>
      <c r="CH114" s="221"/>
      <c r="CI114" s="221"/>
      <c r="CJ114" s="221"/>
      <c r="CK114" s="221"/>
      <c r="CL114" s="221"/>
    </row>
    <row r="115" spans="1:90" ht="21" hidden="1" customHeight="1">
      <c r="A115" s="3087"/>
      <c r="B115" s="3088" t="s">
        <v>2540</v>
      </c>
      <c r="C115" s="3107"/>
      <c r="D115" s="1379" t="s">
        <v>470</v>
      </c>
      <c r="E115" s="1074"/>
      <c r="F115" s="1074"/>
      <c r="G115" s="1074"/>
      <c r="H115" s="1070"/>
      <c r="I115" s="1070"/>
      <c r="J115" s="1071"/>
      <c r="K115" s="1072"/>
      <c r="L115" s="1072">
        <v>3.4140000000000001</v>
      </c>
      <c r="M115" s="1072">
        <v>3.4140000000000001</v>
      </c>
      <c r="N115" s="2172" t="e">
        <f t="shared" si="67"/>
        <v>#DIV/0!</v>
      </c>
      <c r="O115" s="1072">
        <v>3.4129999999999998</v>
      </c>
      <c r="P115" s="1072">
        <v>3.4129999999999998</v>
      </c>
      <c r="Q115" s="1072">
        <v>3.4129999999999998</v>
      </c>
      <c r="R115" s="1072">
        <v>3.4129999999999998</v>
      </c>
      <c r="S115" s="3105" t="s">
        <v>2240</v>
      </c>
      <c r="T115" s="3108"/>
      <c r="U115" s="2693"/>
      <c r="V115" s="2693"/>
      <c r="W115" s="2693"/>
      <c r="X115" s="2693"/>
      <c r="Y115" s="2693"/>
      <c r="Z115" s="2693"/>
      <c r="AA115" s="1779"/>
      <c r="AB115" s="2943"/>
    </row>
    <row r="116" spans="1:90" ht="23.25" hidden="1" customHeight="1">
      <c r="A116" s="3087"/>
      <c r="B116" s="3088"/>
      <c r="C116" s="3107"/>
      <c r="D116" s="1379" t="s">
        <v>246</v>
      </c>
      <c r="E116" s="1074">
        <v>0</v>
      </c>
      <c r="F116" s="1074"/>
      <c r="G116" s="1074">
        <v>400</v>
      </c>
      <c r="H116" s="1070"/>
      <c r="I116" s="1070"/>
      <c r="J116" s="1071">
        <v>3.4133300000000002</v>
      </c>
      <c r="K116" s="1072">
        <v>3.4133300000000002</v>
      </c>
      <c r="L116" s="1072">
        <v>3.5840000000000001</v>
      </c>
      <c r="M116" s="1072">
        <v>3.5840000000000001</v>
      </c>
      <c r="N116" s="2172">
        <f t="shared" si="67"/>
        <v>5.0001025391626319E-2</v>
      </c>
      <c r="O116" s="1072">
        <v>3.5840000000000001</v>
      </c>
      <c r="P116" s="1072">
        <v>3.5840000000000001</v>
      </c>
      <c r="Q116" s="1072">
        <v>3.0720000000000001</v>
      </c>
      <c r="R116" s="1072">
        <v>3.0720000000000001</v>
      </c>
      <c r="S116" s="3105"/>
      <c r="T116" s="3108"/>
      <c r="U116" s="2693"/>
      <c r="V116" s="2693"/>
      <c r="W116" s="2693"/>
      <c r="X116" s="2693"/>
      <c r="Y116" s="2693"/>
      <c r="Z116" s="2693"/>
      <c r="AA116" s="1779"/>
      <c r="AB116" s="2943"/>
    </row>
    <row r="117" spans="1:90" ht="20.25" hidden="1" customHeight="1">
      <c r="A117" s="3087"/>
      <c r="B117" s="3088"/>
      <c r="C117" s="3107"/>
      <c r="D117" s="1379" t="s">
        <v>412</v>
      </c>
      <c r="E117" s="1074"/>
      <c r="F117" s="1074"/>
      <c r="G117" s="1074"/>
      <c r="H117" s="1070"/>
      <c r="I117" s="1070"/>
      <c r="J117" s="1071"/>
      <c r="K117" s="1072"/>
      <c r="L117" s="1072"/>
      <c r="M117" s="1622"/>
      <c r="N117" s="2172" t="e">
        <f t="shared" si="67"/>
        <v>#DIV/0!</v>
      </c>
      <c r="O117" s="1072"/>
      <c r="P117" s="1622"/>
      <c r="Q117" s="1072"/>
      <c r="R117" s="1622"/>
      <c r="S117" s="3105"/>
      <c r="T117" s="3108"/>
      <c r="U117" s="2693"/>
      <c r="V117" s="2693"/>
      <c r="W117" s="2693"/>
      <c r="X117" s="2693"/>
      <c r="Y117" s="2693"/>
      <c r="Z117" s="2693"/>
      <c r="AA117" s="1779"/>
      <c r="AB117" s="2943"/>
    </row>
    <row r="118" spans="1:90" ht="18" hidden="1" customHeight="1">
      <c r="A118" s="3087"/>
      <c r="B118" s="3088"/>
      <c r="C118" s="3107"/>
      <c r="D118" s="1890" t="s">
        <v>1067</v>
      </c>
      <c r="E118" s="1891">
        <f>SUM(E115:E115)</f>
        <v>0</v>
      </c>
      <c r="F118" s="1891">
        <f t="shared" ref="F118" si="91">SUM(F115:F115)</f>
        <v>0</v>
      </c>
      <c r="G118" s="1891">
        <f>SUM(G115:G116)</f>
        <v>400</v>
      </c>
      <c r="H118" s="1892"/>
      <c r="I118" s="1892"/>
      <c r="J118" s="1893">
        <v>3.4133300000000002</v>
      </c>
      <c r="K118" s="1893">
        <v>3.4133300000000002</v>
      </c>
      <c r="L118" s="1894"/>
      <c r="M118" s="1895"/>
      <c r="N118" s="2176">
        <f t="shared" si="67"/>
        <v>-1</v>
      </c>
      <c r="O118" s="1894"/>
      <c r="P118" s="1895"/>
      <c r="Q118" s="1894"/>
      <c r="R118" s="1895"/>
      <c r="S118" s="3105"/>
      <c r="T118" s="3109"/>
      <c r="U118" s="2693"/>
      <c r="V118" s="2693"/>
      <c r="W118" s="2693"/>
      <c r="X118" s="2693"/>
      <c r="Y118" s="2693"/>
      <c r="Z118" s="2693"/>
      <c r="AA118" s="1779"/>
      <c r="AB118" s="2943"/>
    </row>
    <row r="119" spans="1:90" ht="21" hidden="1" customHeight="1">
      <c r="A119" s="3087"/>
      <c r="B119" s="3088" t="s">
        <v>4138</v>
      </c>
      <c r="C119" s="3107"/>
      <c r="D119" s="1379" t="s">
        <v>470</v>
      </c>
      <c r="E119" s="1074"/>
      <c r="F119" s="1074"/>
      <c r="G119" s="1074"/>
      <c r="H119" s="1070"/>
      <c r="I119" s="1070"/>
      <c r="J119" s="1071"/>
      <c r="K119" s="1072"/>
      <c r="L119" s="1072"/>
      <c r="M119" s="1622"/>
      <c r="N119" s="2172" t="e">
        <f t="shared" si="67"/>
        <v>#DIV/0!</v>
      </c>
      <c r="O119" s="1072"/>
      <c r="P119" s="1622"/>
      <c r="Q119" s="1072"/>
      <c r="R119" s="1622"/>
      <c r="S119" s="3105" t="s">
        <v>2240</v>
      </c>
      <c r="T119" s="3108"/>
      <c r="U119" s="930"/>
      <c r="V119" s="930"/>
      <c r="W119" s="930"/>
      <c r="X119" s="930"/>
      <c r="Y119" s="930"/>
      <c r="Z119" s="930"/>
      <c r="AA119" s="1779"/>
      <c r="AB119" s="2943"/>
    </row>
    <row r="120" spans="1:90" ht="23.25" hidden="1" customHeight="1">
      <c r="A120" s="3087"/>
      <c r="B120" s="3088"/>
      <c r="C120" s="3107"/>
      <c r="D120" s="1379" t="s">
        <v>246</v>
      </c>
      <c r="E120" s="1074">
        <v>0</v>
      </c>
      <c r="F120" s="1074"/>
      <c r="G120" s="1074">
        <v>400</v>
      </c>
      <c r="H120" s="1070"/>
      <c r="I120" s="1070"/>
      <c r="J120" s="1071">
        <v>3.4133300000000002</v>
      </c>
      <c r="K120" s="1072"/>
      <c r="L120" s="1072">
        <v>72.921999999999997</v>
      </c>
      <c r="M120" s="1072">
        <v>72.921999999999997</v>
      </c>
      <c r="N120" s="2172" t="e">
        <f t="shared" si="67"/>
        <v>#DIV/0!</v>
      </c>
      <c r="O120" s="1072">
        <v>72.921999999999997</v>
      </c>
      <c r="P120" s="1072">
        <v>72.921999999999997</v>
      </c>
      <c r="Q120" s="1072">
        <v>62.503999999999998</v>
      </c>
      <c r="R120" s="1072">
        <v>62.503999999999998</v>
      </c>
      <c r="S120" s="3105"/>
      <c r="T120" s="3108"/>
      <c r="U120" s="930"/>
      <c r="V120" s="930"/>
      <c r="W120" s="930"/>
      <c r="X120" s="930"/>
      <c r="Y120" s="930"/>
      <c r="Z120" s="930"/>
      <c r="AA120" s="1779"/>
      <c r="AB120" s="2943"/>
    </row>
    <row r="121" spans="1:90" ht="20.25" hidden="1" customHeight="1">
      <c r="A121" s="3087"/>
      <c r="B121" s="3088"/>
      <c r="C121" s="3107"/>
      <c r="D121" s="1379" t="s">
        <v>412</v>
      </c>
      <c r="E121" s="1074"/>
      <c r="F121" s="1074"/>
      <c r="G121" s="1074"/>
      <c r="H121" s="1070"/>
      <c r="I121" s="1070"/>
      <c r="J121" s="1071"/>
      <c r="K121" s="1072"/>
      <c r="L121" s="1072"/>
      <c r="M121" s="1622"/>
      <c r="N121" s="2172" t="e">
        <f t="shared" si="67"/>
        <v>#DIV/0!</v>
      </c>
      <c r="O121" s="1072"/>
      <c r="P121" s="1622"/>
      <c r="Q121" s="1072"/>
      <c r="R121" s="1622"/>
      <c r="S121" s="3105"/>
      <c r="T121" s="3108"/>
      <c r="U121" s="930"/>
      <c r="V121" s="930"/>
      <c r="W121" s="930"/>
      <c r="X121" s="930"/>
      <c r="Y121" s="930"/>
      <c r="Z121" s="930"/>
      <c r="AA121" s="1779"/>
      <c r="AB121" s="2943"/>
    </row>
    <row r="122" spans="1:90" ht="24.6" hidden="1" customHeight="1">
      <c r="A122" s="3087"/>
      <c r="B122" s="3088"/>
      <c r="C122" s="3107"/>
      <c r="D122" s="1890" t="s">
        <v>1067</v>
      </c>
      <c r="E122" s="1891">
        <f>SUM(E119:E119)</f>
        <v>0</v>
      </c>
      <c r="F122" s="1891">
        <f t="shared" ref="F122" si="92">SUM(F119:F119)</f>
        <v>0</v>
      </c>
      <c r="G122" s="1891">
        <f>SUM(G119:G120)</f>
        <v>400</v>
      </c>
      <c r="H122" s="1892"/>
      <c r="I122" s="1892"/>
      <c r="J122" s="1893">
        <v>3.4133300000000002</v>
      </c>
      <c r="K122" s="1893"/>
      <c r="L122" s="1894"/>
      <c r="M122" s="1895"/>
      <c r="N122" s="2176" t="e">
        <f t="shared" si="67"/>
        <v>#DIV/0!</v>
      </c>
      <c r="O122" s="1894"/>
      <c r="P122" s="1895"/>
      <c r="Q122" s="1894"/>
      <c r="R122" s="1895"/>
      <c r="S122" s="3105"/>
      <c r="T122" s="3109"/>
      <c r="U122" s="930"/>
      <c r="V122" s="930"/>
      <c r="W122" s="930"/>
      <c r="X122" s="930"/>
      <c r="Y122" s="930"/>
      <c r="Z122" s="930"/>
      <c r="AA122" s="1779"/>
      <c r="AB122" s="2943"/>
    </row>
    <row r="123" spans="1:90" ht="31.2" hidden="1" customHeight="1">
      <c r="A123" s="2879" t="s">
        <v>3236</v>
      </c>
      <c r="B123" s="2699" t="s">
        <v>2597</v>
      </c>
      <c r="C123" s="2719">
        <v>155936576</v>
      </c>
      <c r="D123" s="719" t="s">
        <v>470</v>
      </c>
      <c r="E123" s="720"/>
      <c r="F123" s="720"/>
      <c r="G123" s="720"/>
      <c r="H123" s="1076"/>
      <c r="I123" s="1076"/>
      <c r="J123" s="657"/>
      <c r="K123" s="1062"/>
      <c r="L123" s="1062"/>
      <c r="M123" s="1619"/>
      <c r="N123" s="2130" t="e">
        <f t="shared" si="67"/>
        <v>#DIV/0!</v>
      </c>
      <c r="O123" s="1062"/>
      <c r="P123" s="1619"/>
      <c r="Q123" s="1062"/>
      <c r="R123" s="1619"/>
      <c r="S123" s="2871" t="s">
        <v>2240</v>
      </c>
      <c r="T123" s="2704" t="s">
        <v>3746</v>
      </c>
      <c r="U123" s="2694" t="s">
        <v>1500</v>
      </c>
      <c r="V123" s="2694" t="s">
        <v>3384</v>
      </c>
      <c r="W123" s="656"/>
      <c r="X123" s="2694" t="s">
        <v>1725</v>
      </c>
      <c r="Y123" s="2694" t="s">
        <v>433</v>
      </c>
      <c r="Z123" s="2694"/>
      <c r="AA123" s="2694"/>
      <c r="AB123" s="2943"/>
      <c r="AC123" s="357" t="s">
        <v>2591</v>
      </c>
    </row>
    <row r="124" spans="1:90" ht="32.4" hidden="1" customHeight="1">
      <c r="A124" s="2879"/>
      <c r="B124" s="2699"/>
      <c r="C124" s="2719"/>
      <c r="D124" s="719" t="s">
        <v>2747</v>
      </c>
      <c r="E124" s="720"/>
      <c r="F124" s="720"/>
      <c r="G124" s="720"/>
      <c r="H124" s="1076"/>
      <c r="I124" s="1076"/>
      <c r="J124" s="657"/>
      <c r="K124" s="1062"/>
      <c r="L124" s="1062"/>
      <c r="M124" s="1619"/>
      <c r="N124" s="2130" t="e">
        <f t="shared" si="67"/>
        <v>#DIV/0!</v>
      </c>
      <c r="O124" s="1062"/>
      <c r="P124" s="1619"/>
      <c r="Q124" s="1062"/>
      <c r="R124" s="1619"/>
      <c r="S124" s="2871"/>
      <c r="T124" s="2704"/>
      <c r="U124" s="2694"/>
      <c r="V124" s="2694"/>
      <c r="W124" s="656"/>
      <c r="X124" s="2694"/>
      <c r="Y124" s="2694"/>
      <c r="Z124" s="2694"/>
      <c r="AA124" s="2694"/>
      <c r="AB124" s="2943"/>
      <c r="AC124" s="357"/>
    </row>
    <row r="125" spans="1:90" ht="46.2" hidden="1" customHeight="1">
      <c r="A125" s="2879"/>
      <c r="B125" s="2699"/>
      <c r="C125" s="2719"/>
      <c r="D125" s="706" t="s">
        <v>246</v>
      </c>
      <c r="E125" s="720"/>
      <c r="F125" s="720"/>
      <c r="G125" s="720"/>
      <c r="H125" s="1062">
        <v>129.036</v>
      </c>
      <c r="I125" s="1062"/>
      <c r="J125" s="1083"/>
      <c r="K125" s="722"/>
      <c r="L125" s="722"/>
      <c r="M125" s="1496"/>
      <c r="N125" s="2130" t="e">
        <f t="shared" si="67"/>
        <v>#DIV/0!</v>
      </c>
      <c r="O125" s="722"/>
      <c r="P125" s="1496"/>
      <c r="Q125" s="722"/>
      <c r="R125" s="1496"/>
      <c r="S125" s="2871"/>
      <c r="T125" s="2704"/>
      <c r="U125" s="2694"/>
      <c r="V125" s="2694"/>
      <c r="W125" s="2694" t="s">
        <v>324</v>
      </c>
      <c r="X125" s="2694"/>
      <c r="Y125" s="2694"/>
      <c r="Z125" s="2694"/>
      <c r="AA125" s="2694"/>
      <c r="AB125" s="2943"/>
    </row>
    <row r="126" spans="1:90" ht="49.95" hidden="1" customHeight="1">
      <c r="A126" s="2879"/>
      <c r="B126" s="2699"/>
      <c r="C126" s="2719"/>
      <c r="D126" s="725" t="s">
        <v>1067</v>
      </c>
      <c r="E126" s="726">
        <f>E125</f>
        <v>0</v>
      </c>
      <c r="F126" s="726">
        <f t="shared" ref="F126:H126" si="93">F125</f>
        <v>0</v>
      </c>
      <c r="G126" s="726">
        <f t="shared" si="93"/>
        <v>0</v>
      </c>
      <c r="H126" s="728">
        <f t="shared" si="93"/>
        <v>129.036</v>
      </c>
      <c r="I126" s="728"/>
      <c r="J126" s="1056"/>
      <c r="K126" s="728"/>
      <c r="L126" s="728"/>
      <c r="M126" s="1464"/>
      <c r="N126" s="1243" t="e">
        <f t="shared" si="67"/>
        <v>#DIV/0!</v>
      </c>
      <c r="O126" s="728"/>
      <c r="P126" s="1464"/>
      <c r="Q126" s="728"/>
      <c r="R126" s="1464"/>
      <c r="S126" s="2871"/>
      <c r="T126" s="2704"/>
      <c r="U126" s="2694"/>
      <c r="V126" s="2694"/>
      <c r="W126" s="2694"/>
      <c r="X126" s="2694"/>
      <c r="Y126" s="2694"/>
      <c r="Z126" s="2694"/>
      <c r="AA126" s="2694"/>
      <c r="AB126" s="2943"/>
    </row>
    <row r="127" spans="1:90" ht="25.2" hidden="1" customHeight="1">
      <c r="A127" s="2983" t="s">
        <v>2037</v>
      </c>
      <c r="B127" s="2988" t="s">
        <v>1241</v>
      </c>
      <c r="C127" s="3165">
        <v>188711925</v>
      </c>
      <c r="D127" s="1114" t="s">
        <v>470</v>
      </c>
      <c r="E127" s="949">
        <v>14.951000000000001</v>
      </c>
      <c r="F127" s="949"/>
      <c r="G127" s="949"/>
      <c r="H127" s="951"/>
      <c r="I127" s="951"/>
      <c r="J127" s="1058"/>
      <c r="K127" s="951"/>
      <c r="L127" s="951"/>
      <c r="M127" s="1623"/>
      <c r="N127" s="2141" t="e">
        <f t="shared" si="67"/>
        <v>#DIV/0!</v>
      </c>
      <c r="O127" s="951"/>
      <c r="P127" s="1623"/>
      <c r="Q127" s="951"/>
      <c r="R127" s="1623"/>
      <c r="S127" s="2963"/>
      <c r="T127" s="2969" t="s">
        <v>2438</v>
      </c>
      <c r="U127" s="2965" t="s">
        <v>1501</v>
      </c>
      <c r="V127" s="2965" t="s">
        <v>1511</v>
      </c>
      <c r="W127" s="2965" t="s">
        <v>392</v>
      </c>
      <c r="X127" s="2965" t="s">
        <v>433</v>
      </c>
      <c r="Y127" s="2965" t="s">
        <v>433</v>
      </c>
      <c r="Z127" s="952"/>
      <c r="AA127" s="952"/>
      <c r="AB127" s="2943"/>
    </row>
    <row r="128" spans="1:90" ht="23.4" hidden="1" customHeight="1">
      <c r="A128" s="2983"/>
      <c r="B128" s="2988"/>
      <c r="C128" s="3165"/>
      <c r="D128" s="1114" t="s">
        <v>246</v>
      </c>
      <c r="E128" s="949"/>
      <c r="F128" s="949"/>
      <c r="G128" s="949"/>
      <c r="H128" s="951"/>
      <c r="I128" s="951"/>
      <c r="J128" s="1058"/>
      <c r="K128" s="951"/>
      <c r="L128" s="951"/>
      <c r="M128" s="1623"/>
      <c r="N128" s="2141" t="e">
        <f t="shared" si="67"/>
        <v>#DIV/0!</v>
      </c>
      <c r="O128" s="951"/>
      <c r="P128" s="1623"/>
      <c r="Q128" s="951"/>
      <c r="R128" s="1623"/>
      <c r="S128" s="2963"/>
      <c r="T128" s="3161"/>
      <c r="U128" s="2965"/>
      <c r="V128" s="2965"/>
      <c r="W128" s="2965"/>
      <c r="X128" s="2965"/>
      <c r="Y128" s="2965"/>
      <c r="Z128" s="952"/>
      <c r="AA128" s="952"/>
      <c r="AB128" s="2943"/>
    </row>
    <row r="129" spans="1:29" ht="25.2" hidden="1" customHeight="1">
      <c r="A129" s="2983"/>
      <c r="B129" s="2988"/>
      <c r="C129" s="3165"/>
      <c r="D129" s="1060" t="s">
        <v>1067</v>
      </c>
      <c r="E129" s="949">
        <f>E127</f>
        <v>14.951000000000001</v>
      </c>
      <c r="F129" s="949">
        <f t="shared" ref="F129:L129" si="94">F127</f>
        <v>0</v>
      </c>
      <c r="G129" s="949">
        <f t="shared" si="94"/>
        <v>0</v>
      </c>
      <c r="H129" s="951">
        <f t="shared" si="94"/>
        <v>0</v>
      </c>
      <c r="I129" s="951"/>
      <c r="J129" s="1058"/>
      <c r="K129" s="951">
        <f t="shared" si="94"/>
        <v>0</v>
      </c>
      <c r="L129" s="951">
        <f t="shared" si="94"/>
        <v>0</v>
      </c>
      <c r="M129" s="1623">
        <f t="shared" ref="M129" si="95">M127</f>
        <v>0</v>
      </c>
      <c r="N129" s="2141" t="e">
        <f t="shared" si="67"/>
        <v>#DIV/0!</v>
      </c>
      <c r="O129" s="951"/>
      <c r="P129" s="1623"/>
      <c r="Q129" s="951"/>
      <c r="R129" s="1623"/>
      <c r="S129" s="2963"/>
      <c r="T129" s="3161"/>
      <c r="U129" s="2965"/>
      <c r="V129" s="2965"/>
      <c r="W129" s="2965"/>
      <c r="X129" s="2965"/>
      <c r="Y129" s="2965"/>
      <c r="Z129" s="952"/>
      <c r="AA129" s="952"/>
      <c r="AB129" s="2943"/>
    </row>
    <row r="130" spans="1:29" ht="27" hidden="1" customHeight="1">
      <c r="A130" s="947" t="s">
        <v>2041</v>
      </c>
      <c r="B130" s="1087" t="s">
        <v>1242</v>
      </c>
      <c r="C130" s="948"/>
      <c r="D130" s="1060"/>
      <c r="E130" s="949">
        <f>SUM(E132)</f>
        <v>1.18</v>
      </c>
      <c r="F130" s="949">
        <f t="shared" ref="F130:L130" si="96">SUM(F132)</f>
        <v>0</v>
      </c>
      <c r="G130" s="949">
        <f t="shared" si="96"/>
        <v>0</v>
      </c>
      <c r="H130" s="951">
        <f t="shared" si="96"/>
        <v>0</v>
      </c>
      <c r="I130" s="951"/>
      <c r="J130" s="1058"/>
      <c r="K130" s="951">
        <f t="shared" si="96"/>
        <v>0</v>
      </c>
      <c r="L130" s="951">
        <f t="shared" si="96"/>
        <v>0</v>
      </c>
      <c r="M130" s="1623">
        <f t="shared" ref="M130" si="97">SUM(M132)</f>
        <v>0</v>
      </c>
      <c r="N130" s="2141" t="e">
        <f t="shared" si="67"/>
        <v>#DIV/0!</v>
      </c>
      <c r="O130" s="951"/>
      <c r="P130" s="1623"/>
      <c r="Q130" s="951"/>
      <c r="R130" s="1623"/>
      <c r="S130" s="951"/>
      <c r="T130" s="1058" t="s">
        <v>2269</v>
      </c>
      <c r="U130" s="952" t="s">
        <v>1502</v>
      </c>
      <c r="V130" s="952"/>
      <c r="W130" s="952"/>
      <c r="X130" s="952"/>
      <c r="Y130" s="952"/>
      <c r="Z130" s="952"/>
      <c r="AA130" s="952"/>
      <c r="AB130" s="2943"/>
    </row>
    <row r="131" spans="1:29" ht="20.100000000000001" hidden="1" customHeight="1">
      <c r="A131" s="2983" t="s">
        <v>2038</v>
      </c>
      <c r="B131" s="3166" t="s">
        <v>1243</v>
      </c>
      <c r="C131" s="2989" t="s">
        <v>1071</v>
      </c>
      <c r="D131" s="1114" t="s">
        <v>470</v>
      </c>
      <c r="E131" s="949">
        <v>1.18</v>
      </c>
      <c r="F131" s="949"/>
      <c r="G131" s="949"/>
      <c r="H131" s="951"/>
      <c r="I131" s="951"/>
      <c r="J131" s="1058"/>
      <c r="K131" s="951"/>
      <c r="L131" s="951"/>
      <c r="M131" s="1623"/>
      <c r="N131" s="2141" t="e">
        <f t="shared" si="67"/>
        <v>#DIV/0!</v>
      </c>
      <c r="O131" s="951"/>
      <c r="P131" s="1623"/>
      <c r="Q131" s="951"/>
      <c r="R131" s="1623"/>
      <c r="S131" s="2963"/>
      <c r="T131" s="2969" t="s">
        <v>1515</v>
      </c>
      <c r="U131" s="2965" t="s">
        <v>1503</v>
      </c>
      <c r="V131" s="2965" t="s">
        <v>1512</v>
      </c>
      <c r="W131" s="2965" t="s">
        <v>9</v>
      </c>
      <c r="X131" s="2965" t="s">
        <v>1306</v>
      </c>
      <c r="Y131" s="2965" t="s">
        <v>1427</v>
      </c>
      <c r="Z131" s="952"/>
      <c r="AA131" s="952"/>
      <c r="AB131" s="2943"/>
    </row>
    <row r="132" spans="1:29" ht="20.100000000000001" hidden="1" customHeight="1">
      <c r="A132" s="2983"/>
      <c r="B132" s="3166"/>
      <c r="C132" s="2989"/>
      <c r="D132" s="1060" t="s">
        <v>1067</v>
      </c>
      <c r="E132" s="949">
        <f>E131</f>
        <v>1.18</v>
      </c>
      <c r="F132" s="949"/>
      <c r="G132" s="949">
        <f t="shared" ref="G132:L132" si="98">G131</f>
        <v>0</v>
      </c>
      <c r="H132" s="951">
        <f t="shared" si="98"/>
        <v>0</v>
      </c>
      <c r="I132" s="951"/>
      <c r="J132" s="1058"/>
      <c r="K132" s="951">
        <f t="shared" si="98"/>
        <v>0</v>
      </c>
      <c r="L132" s="951">
        <f t="shared" si="98"/>
        <v>0</v>
      </c>
      <c r="M132" s="1623">
        <f t="shared" ref="M132" si="99">M131</f>
        <v>0</v>
      </c>
      <c r="N132" s="2141" t="e">
        <f t="shared" si="67"/>
        <v>#DIV/0!</v>
      </c>
      <c r="O132" s="951"/>
      <c r="P132" s="1623"/>
      <c r="Q132" s="951"/>
      <c r="R132" s="1623"/>
      <c r="S132" s="2963"/>
      <c r="T132" s="3161"/>
      <c r="U132" s="2965"/>
      <c r="V132" s="2965"/>
      <c r="W132" s="2965"/>
      <c r="X132" s="2965"/>
      <c r="Y132" s="2965"/>
      <c r="Z132" s="952"/>
      <c r="AA132" s="952"/>
      <c r="AB132" s="2943"/>
    </row>
    <row r="133" spans="1:29" ht="20.100000000000001" hidden="1" customHeight="1">
      <c r="A133" s="947"/>
      <c r="B133" s="1381" t="s">
        <v>339</v>
      </c>
      <c r="C133" s="948"/>
      <c r="D133" s="1114"/>
      <c r="E133" s="1058"/>
      <c r="F133" s="1058"/>
      <c r="G133" s="1058"/>
      <c r="H133" s="1059"/>
      <c r="I133" s="1059"/>
      <c r="J133" s="1058"/>
      <c r="K133" s="1059"/>
      <c r="L133" s="1059"/>
      <c r="M133" s="1624"/>
      <c r="N133" s="2141" t="e">
        <f t="shared" si="67"/>
        <v>#DIV/0!</v>
      </c>
      <c r="O133" s="1059"/>
      <c r="P133" s="1624"/>
      <c r="Q133" s="1059"/>
      <c r="R133" s="1624"/>
      <c r="S133" s="1059"/>
      <c r="T133" s="1059"/>
      <c r="U133" s="952"/>
      <c r="V133" s="952"/>
      <c r="W133" s="952"/>
      <c r="X133" s="952"/>
      <c r="Y133" s="952"/>
      <c r="Z133" s="952"/>
      <c r="AA133" s="952"/>
      <c r="AB133" s="2943"/>
    </row>
    <row r="134" spans="1:29" ht="32.4" customHeight="1">
      <c r="A134" s="2879" t="s">
        <v>3237</v>
      </c>
      <c r="B134" s="2703" t="s">
        <v>2610</v>
      </c>
      <c r="C134" s="2700">
        <v>191342858</v>
      </c>
      <c r="D134" s="706" t="s">
        <v>470</v>
      </c>
      <c r="E134" s="720"/>
      <c r="F134" s="720"/>
      <c r="G134" s="720"/>
      <c r="H134" s="1062"/>
      <c r="I134" s="1062"/>
      <c r="J134" s="1083"/>
      <c r="K134" s="722"/>
      <c r="L134" s="722"/>
      <c r="M134" s="1496"/>
      <c r="N134" s="2130"/>
      <c r="O134" s="722"/>
      <c r="P134" s="1496"/>
      <c r="Q134" s="722"/>
      <c r="R134" s="1496"/>
      <c r="S134" s="2871" t="s">
        <v>2624</v>
      </c>
      <c r="T134" s="2704" t="s">
        <v>3747</v>
      </c>
      <c r="U134" s="2694" t="s">
        <v>2621</v>
      </c>
      <c r="V134" s="2694" t="s">
        <v>3390</v>
      </c>
      <c r="W134" s="2694" t="s">
        <v>433</v>
      </c>
      <c r="X134" s="2694" t="s">
        <v>433</v>
      </c>
      <c r="Y134" s="2694" t="s">
        <v>433</v>
      </c>
      <c r="Z134" s="2694" t="s">
        <v>3391</v>
      </c>
      <c r="AA134" s="2694" t="s">
        <v>433</v>
      </c>
      <c r="AB134" s="2943"/>
      <c r="AC134" s="358" t="s">
        <v>2609</v>
      </c>
    </row>
    <row r="135" spans="1:29" ht="32.4" customHeight="1">
      <c r="A135" s="2879"/>
      <c r="B135" s="2703"/>
      <c r="C135" s="2700"/>
      <c r="D135" s="719" t="s">
        <v>2747</v>
      </c>
      <c r="E135" s="720"/>
      <c r="F135" s="720"/>
      <c r="G135" s="720"/>
      <c r="H135" s="1062"/>
      <c r="I135" s="1062"/>
      <c r="J135" s="1083"/>
      <c r="K135" s="722"/>
      <c r="L135" s="722"/>
      <c r="M135" s="1496"/>
      <c r="N135" s="2130"/>
      <c r="O135" s="722"/>
      <c r="P135" s="1496"/>
      <c r="Q135" s="722"/>
      <c r="R135" s="1496"/>
      <c r="S135" s="2871"/>
      <c r="T135" s="2704"/>
      <c r="U135" s="2694"/>
      <c r="V135" s="2694"/>
      <c r="W135" s="2694"/>
      <c r="X135" s="2694"/>
      <c r="Y135" s="2694"/>
      <c r="Z135" s="2694"/>
      <c r="AA135" s="2694"/>
      <c r="AB135" s="2943"/>
      <c r="AC135" s="358"/>
    </row>
    <row r="136" spans="1:29" ht="29.4" customHeight="1">
      <c r="A136" s="2879"/>
      <c r="B136" s="2703"/>
      <c r="C136" s="2700"/>
      <c r="D136" s="706" t="s">
        <v>246</v>
      </c>
      <c r="E136" s="720"/>
      <c r="F136" s="720"/>
      <c r="G136" s="720"/>
      <c r="H136" s="1062"/>
      <c r="I136" s="1062"/>
      <c r="J136" s="1083"/>
      <c r="K136" s="722"/>
      <c r="L136" s="722"/>
      <c r="M136" s="1496"/>
      <c r="N136" s="2130"/>
      <c r="O136" s="722"/>
      <c r="P136" s="1496"/>
      <c r="Q136" s="722"/>
      <c r="R136" s="1496"/>
      <c r="S136" s="2871"/>
      <c r="T136" s="2734"/>
      <c r="U136" s="2694"/>
      <c r="V136" s="2694"/>
      <c r="W136" s="2694"/>
      <c r="X136" s="2694"/>
      <c r="Y136" s="2694"/>
      <c r="Z136" s="2694"/>
      <c r="AA136" s="2694"/>
      <c r="AB136" s="2943"/>
    </row>
    <row r="137" spans="1:29" ht="40.5" customHeight="1">
      <c r="A137" s="2879"/>
      <c r="B137" s="2703"/>
      <c r="C137" s="2700"/>
      <c r="D137" s="725" t="s">
        <v>1067</v>
      </c>
      <c r="E137" s="726">
        <f>E134</f>
        <v>0</v>
      </c>
      <c r="F137" s="726">
        <f t="shared" ref="F137:H137" si="100">F134</f>
        <v>0</v>
      </c>
      <c r="G137" s="726">
        <f t="shared" si="100"/>
        <v>0</v>
      </c>
      <c r="H137" s="728">
        <f t="shared" si="100"/>
        <v>0</v>
      </c>
      <c r="I137" s="728"/>
      <c r="J137" s="1056"/>
      <c r="K137" s="728"/>
      <c r="L137" s="728"/>
      <c r="M137" s="1464"/>
      <c r="N137" s="1243"/>
      <c r="O137" s="728"/>
      <c r="P137" s="1464"/>
      <c r="Q137" s="728"/>
      <c r="R137" s="1464"/>
      <c r="S137" s="2871"/>
      <c r="T137" s="2734"/>
      <c r="U137" s="2694"/>
      <c r="V137" s="2694"/>
      <c r="W137" s="2694"/>
      <c r="X137" s="2694"/>
      <c r="Y137" s="2694"/>
      <c r="Z137" s="2694"/>
      <c r="AA137" s="2694"/>
      <c r="AB137" s="2943"/>
    </row>
    <row r="138" spans="1:29" ht="28.5" hidden="1" customHeight="1">
      <c r="A138" s="2879" t="s">
        <v>3238</v>
      </c>
      <c r="B138" s="2703" t="s">
        <v>3738</v>
      </c>
      <c r="C138" s="2700" t="s">
        <v>1071</v>
      </c>
      <c r="D138" s="706" t="s">
        <v>470</v>
      </c>
      <c r="E138" s="720"/>
      <c r="F138" s="720"/>
      <c r="G138" s="720"/>
      <c r="H138" s="1062"/>
      <c r="I138" s="1038"/>
      <c r="J138" s="1083"/>
      <c r="K138" s="1062"/>
      <c r="L138" s="1062"/>
      <c r="M138" s="1619"/>
      <c r="N138" s="2130" t="e">
        <f t="shared" si="67"/>
        <v>#DIV/0!</v>
      </c>
      <c r="O138" s="1062"/>
      <c r="P138" s="1619"/>
      <c r="Q138" s="1062"/>
      <c r="R138" s="1619"/>
      <c r="S138" s="2871" t="s">
        <v>2623</v>
      </c>
      <c r="T138" s="2704" t="s">
        <v>4272</v>
      </c>
      <c r="U138" s="2694" t="s">
        <v>2622</v>
      </c>
      <c r="V138" s="2694" t="s">
        <v>3393</v>
      </c>
      <c r="W138" s="2694" t="s">
        <v>324</v>
      </c>
      <c r="X138" s="2694" t="s">
        <v>433</v>
      </c>
      <c r="Y138" s="2694" t="s">
        <v>324</v>
      </c>
      <c r="Z138" s="2694" t="s">
        <v>433</v>
      </c>
      <c r="AA138" s="2694" t="s">
        <v>433</v>
      </c>
      <c r="AB138" s="2943"/>
      <c r="AC138" s="358" t="s">
        <v>2609</v>
      </c>
    </row>
    <row r="139" spans="1:29" ht="36.6" hidden="1" customHeight="1">
      <c r="A139" s="2879"/>
      <c r="B139" s="2703"/>
      <c r="C139" s="2700"/>
      <c r="D139" s="719" t="s">
        <v>2747</v>
      </c>
      <c r="E139" s="720"/>
      <c r="F139" s="720"/>
      <c r="G139" s="720"/>
      <c r="H139" s="1062"/>
      <c r="I139" s="1038"/>
      <c r="J139" s="1083"/>
      <c r="K139" s="1062"/>
      <c r="L139" s="1062"/>
      <c r="M139" s="1619"/>
      <c r="N139" s="2130" t="e">
        <f t="shared" si="67"/>
        <v>#DIV/0!</v>
      </c>
      <c r="O139" s="1062"/>
      <c r="P139" s="1619"/>
      <c r="Q139" s="1062"/>
      <c r="R139" s="1619"/>
      <c r="S139" s="2871"/>
      <c r="T139" s="2704"/>
      <c r="U139" s="2694"/>
      <c r="V139" s="2694"/>
      <c r="W139" s="2694"/>
      <c r="X139" s="2694"/>
      <c r="Y139" s="2694"/>
      <c r="Z139" s="2694"/>
      <c r="AA139" s="2694"/>
      <c r="AB139" s="2943"/>
      <c r="AC139" s="358"/>
    </row>
    <row r="140" spans="1:29" ht="37.950000000000003" customHeight="1">
      <c r="A140" s="2879"/>
      <c r="B140" s="2703"/>
      <c r="C140" s="2700"/>
      <c r="D140" s="706" t="s">
        <v>246</v>
      </c>
      <c r="E140" s="720"/>
      <c r="F140" s="720"/>
      <c r="G140" s="720"/>
      <c r="H140" s="1062">
        <v>73.212000000000003</v>
      </c>
      <c r="I140" s="1038">
        <f t="shared" ref="I140:I141" si="101">K140/H140-1</f>
        <v>-2.9093591214554015E-3</v>
      </c>
      <c r="J140" s="1083">
        <f>SUM(J143,J147)</f>
        <v>70.612000000000009</v>
      </c>
      <c r="K140" s="1062">
        <f t="shared" ref="K140" si="102">SUM(K143,K147)</f>
        <v>72.999000000000009</v>
      </c>
      <c r="L140" s="722">
        <f>M140</f>
        <v>1.677</v>
      </c>
      <c r="M140" s="1619">
        <f>M149</f>
        <v>1.677</v>
      </c>
      <c r="N140" s="2130">
        <f t="shared" si="67"/>
        <v>-0.97702708256277471</v>
      </c>
      <c r="O140" s="1062"/>
      <c r="P140" s="1619"/>
      <c r="Q140" s="1062"/>
      <c r="R140" s="1619"/>
      <c r="S140" s="2871"/>
      <c r="T140" s="2734"/>
      <c r="U140" s="2694"/>
      <c r="V140" s="2694"/>
      <c r="W140" s="2694"/>
      <c r="X140" s="2694"/>
      <c r="Y140" s="2694"/>
      <c r="Z140" s="2694"/>
      <c r="AA140" s="2694"/>
      <c r="AB140" s="2943"/>
    </row>
    <row r="141" spans="1:29" ht="72.599999999999994" customHeight="1">
      <c r="A141" s="2879"/>
      <c r="B141" s="2703"/>
      <c r="C141" s="2700"/>
      <c r="D141" s="725" t="s">
        <v>1067</v>
      </c>
      <c r="E141" s="726">
        <f>E138</f>
        <v>0</v>
      </c>
      <c r="F141" s="726">
        <f t="shared" ref="F141:G141" si="103">F138</f>
        <v>0</v>
      </c>
      <c r="G141" s="726">
        <f t="shared" si="103"/>
        <v>0</v>
      </c>
      <c r="H141" s="728">
        <f>H140</f>
        <v>73.212000000000003</v>
      </c>
      <c r="I141" s="729">
        <f t="shared" si="101"/>
        <v>-2.9093591214554015E-3</v>
      </c>
      <c r="J141" s="1056">
        <f t="shared" ref="J141:O141" si="104">J140</f>
        <v>70.612000000000009</v>
      </c>
      <c r="K141" s="728">
        <f t="shared" si="104"/>
        <v>72.999000000000009</v>
      </c>
      <c r="L141" s="728">
        <f t="shared" si="104"/>
        <v>1.677</v>
      </c>
      <c r="M141" s="1464">
        <f t="shared" ref="M141" si="105">M140</f>
        <v>1.677</v>
      </c>
      <c r="N141" s="1243">
        <f t="shared" si="67"/>
        <v>-0.97702708256277471</v>
      </c>
      <c r="O141" s="728">
        <f t="shared" si="104"/>
        <v>0</v>
      </c>
      <c r="P141" s="1464">
        <f t="shared" ref="P141:Q141" si="106">P140</f>
        <v>0</v>
      </c>
      <c r="Q141" s="728">
        <f t="shared" si="106"/>
        <v>0</v>
      </c>
      <c r="R141" s="1464">
        <f t="shared" ref="R141" si="107">R140</f>
        <v>0</v>
      </c>
      <c r="S141" s="2871"/>
      <c r="T141" s="2734"/>
      <c r="U141" s="2694"/>
      <c r="V141" s="2694"/>
      <c r="W141" s="2694"/>
      <c r="X141" s="2694"/>
      <c r="Y141" s="2694"/>
      <c r="Z141" s="2694"/>
      <c r="AA141" s="2694"/>
      <c r="AB141" s="2943"/>
    </row>
    <row r="142" spans="1:29" ht="25.95" hidden="1" customHeight="1">
      <c r="A142" s="3104"/>
      <c r="B142" s="2876" t="s">
        <v>3174</v>
      </c>
      <c r="C142" s="2922"/>
      <c r="D142" s="913" t="s">
        <v>470</v>
      </c>
      <c r="E142" s="755"/>
      <c r="F142" s="755"/>
      <c r="G142" s="755"/>
      <c r="H142" s="681"/>
      <c r="I142" s="681"/>
      <c r="J142" s="734"/>
      <c r="K142" s="681"/>
      <c r="L142" s="681"/>
      <c r="M142" s="1470"/>
      <c r="N142" s="2172" t="e">
        <f t="shared" si="67"/>
        <v>#DIV/0!</v>
      </c>
      <c r="O142" s="681"/>
      <c r="P142" s="1470"/>
      <c r="Q142" s="681"/>
      <c r="R142" s="1470"/>
      <c r="S142" s="3089"/>
      <c r="T142" s="2936"/>
      <c r="U142" s="2876"/>
      <c r="V142" s="2876"/>
      <c r="W142" s="2876"/>
      <c r="X142" s="2876"/>
      <c r="Y142" s="2876"/>
      <c r="Z142" s="693"/>
      <c r="AA142" s="693"/>
      <c r="AB142" s="2943"/>
    </row>
    <row r="143" spans="1:29" ht="25.5" hidden="1" customHeight="1">
      <c r="A143" s="3104"/>
      <c r="B143" s="2876"/>
      <c r="C143" s="2922"/>
      <c r="D143" s="913" t="s">
        <v>246</v>
      </c>
      <c r="E143" s="755">
        <v>0</v>
      </c>
      <c r="F143" s="755"/>
      <c r="G143" s="755">
        <v>400</v>
      </c>
      <c r="H143" s="681"/>
      <c r="I143" s="681"/>
      <c r="J143" s="734">
        <v>68.224000000000004</v>
      </c>
      <c r="K143" s="681">
        <v>68.224000000000004</v>
      </c>
      <c r="L143" s="681"/>
      <c r="M143" s="1470"/>
      <c r="N143" s="2172">
        <f t="shared" ref="N143:N177" si="108">(L143-K143)/K143</f>
        <v>-1</v>
      </c>
      <c r="O143" s="681"/>
      <c r="P143" s="1470"/>
      <c r="Q143" s="681"/>
      <c r="R143" s="1470"/>
      <c r="S143" s="3089"/>
      <c r="T143" s="2936"/>
      <c r="U143" s="2876"/>
      <c r="V143" s="2876"/>
      <c r="W143" s="2876"/>
      <c r="X143" s="2876"/>
      <c r="Y143" s="2876"/>
      <c r="Z143" s="2876"/>
      <c r="AA143" s="2876"/>
      <c r="AB143" s="2943"/>
    </row>
    <row r="144" spans="1:29" ht="32.4" hidden="1" customHeight="1">
      <c r="A144" s="3104"/>
      <c r="B144" s="2876"/>
      <c r="C144" s="2922"/>
      <c r="D144" s="913" t="s">
        <v>412</v>
      </c>
      <c r="E144" s="755"/>
      <c r="F144" s="755"/>
      <c r="G144" s="755"/>
      <c r="H144" s="681"/>
      <c r="I144" s="681"/>
      <c r="J144" s="734"/>
      <c r="K144" s="681"/>
      <c r="L144" s="681"/>
      <c r="M144" s="1470"/>
      <c r="N144" s="2172" t="e">
        <f t="shared" si="108"/>
        <v>#DIV/0!</v>
      </c>
      <c r="O144" s="681"/>
      <c r="P144" s="1470"/>
      <c r="Q144" s="681"/>
      <c r="R144" s="1470"/>
      <c r="S144" s="3089"/>
      <c r="T144" s="2936"/>
      <c r="U144" s="2876"/>
      <c r="V144" s="2876"/>
      <c r="W144" s="2876"/>
      <c r="X144" s="2876"/>
      <c r="Y144" s="2876"/>
      <c r="Z144" s="2876"/>
      <c r="AA144" s="2876"/>
      <c r="AB144" s="2943"/>
    </row>
    <row r="145" spans="1:90" ht="26.25" hidden="1" customHeight="1">
      <c r="A145" s="3104"/>
      <c r="B145" s="2876"/>
      <c r="C145" s="2922"/>
      <c r="D145" s="700" t="s">
        <v>1067</v>
      </c>
      <c r="E145" s="755">
        <f>SUM(E142:E142)</f>
        <v>0</v>
      </c>
      <c r="F145" s="755">
        <f t="shared" ref="F145" si="109">SUM(F142:F142)</f>
        <v>0</v>
      </c>
      <c r="G145" s="755">
        <f>SUM(G142:G143)</f>
        <v>400</v>
      </c>
      <c r="H145" s="681"/>
      <c r="I145" s="681"/>
      <c r="J145" s="734">
        <f>SUM(J142,J143,J144)</f>
        <v>68.224000000000004</v>
      </c>
      <c r="K145" s="681">
        <f>SUM(K142,K143,K144)</f>
        <v>68.224000000000004</v>
      </c>
      <c r="L145" s="681">
        <f t="shared" ref="L145:M145" si="110">SUM(L142,L143,L144)</f>
        <v>0</v>
      </c>
      <c r="M145" s="1470">
        <f t="shared" si="110"/>
        <v>0</v>
      </c>
      <c r="N145" s="2172">
        <f t="shared" si="108"/>
        <v>-1</v>
      </c>
      <c r="O145" s="681">
        <f t="shared" ref="O145:P145" si="111">SUM(O142,O143,O144)</f>
        <v>0</v>
      </c>
      <c r="P145" s="1470">
        <f t="shared" si="111"/>
        <v>0</v>
      </c>
      <c r="Q145" s="681">
        <f t="shared" ref="Q145:R145" si="112">SUM(Q142,Q143,Q144)</f>
        <v>0</v>
      </c>
      <c r="R145" s="1470">
        <f t="shared" si="112"/>
        <v>0</v>
      </c>
      <c r="S145" s="3089"/>
      <c r="T145" s="3113"/>
      <c r="U145" s="2876"/>
      <c r="V145" s="2876"/>
      <c r="W145" s="2876"/>
      <c r="X145" s="2876"/>
      <c r="Y145" s="2876"/>
      <c r="Z145" s="2876"/>
      <c r="AA145" s="2876"/>
      <c r="AB145" s="2943"/>
    </row>
    <row r="146" spans="1:90" ht="25.95" hidden="1" customHeight="1">
      <c r="A146" s="3097"/>
      <c r="B146" s="3076" t="s">
        <v>2540</v>
      </c>
      <c r="C146" s="3098"/>
      <c r="D146" s="1378" t="s">
        <v>470</v>
      </c>
      <c r="E146" s="1069"/>
      <c r="F146" s="1069"/>
      <c r="G146" s="1069"/>
      <c r="H146" s="1066"/>
      <c r="I146" s="1066"/>
      <c r="J146" s="1065"/>
      <c r="K146" s="1066"/>
      <c r="L146" s="1066"/>
      <c r="M146" s="1620"/>
      <c r="N146" s="2172" t="e">
        <f t="shared" si="108"/>
        <v>#DIV/0!</v>
      </c>
      <c r="O146" s="1066"/>
      <c r="P146" s="1620"/>
      <c r="Q146" s="1066"/>
      <c r="R146" s="1620"/>
      <c r="S146" s="3099"/>
      <c r="T146" s="3100"/>
      <c r="U146" s="3076"/>
      <c r="V146" s="3076"/>
      <c r="W146" s="3076"/>
      <c r="X146" s="3076"/>
      <c r="Y146" s="3076"/>
      <c r="Z146" s="1067"/>
      <c r="AA146" s="1067"/>
      <c r="AB146" s="2943"/>
    </row>
    <row r="147" spans="1:90" ht="24.75" hidden="1" customHeight="1">
      <c r="A147" s="3097"/>
      <c r="B147" s="3076"/>
      <c r="C147" s="3098"/>
      <c r="D147" s="1378" t="s">
        <v>246</v>
      </c>
      <c r="E147" s="1069">
        <v>0</v>
      </c>
      <c r="F147" s="1069"/>
      <c r="G147" s="1069">
        <v>400</v>
      </c>
      <c r="H147" s="1066"/>
      <c r="I147" s="1066"/>
      <c r="J147" s="1065">
        <v>2.3879999999999999</v>
      </c>
      <c r="K147" s="1066">
        <v>4.7750000000000004</v>
      </c>
      <c r="L147" s="1066"/>
      <c r="M147" s="1620"/>
      <c r="N147" s="2172">
        <f t="shared" si="108"/>
        <v>-1</v>
      </c>
      <c r="O147" s="1066"/>
      <c r="P147" s="1620"/>
      <c r="Q147" s="1066"/>
      <c r="R147" s="1620"/>
      <c r="S147" s="3099"/>
      <c r="T147" s="3100"/>
      <c r="U147" s="3076"/>
      <c r="V147" s="3076"/>
      <c r="W147" s="3076"/>
      <c r="X147" s="3076"/>
      <c r="Y147" s="3076"/>
      <c r="Z147" s="3076"/>
      <c r="AA147" s="3076"/>
      <c r="AB147" s="2943"/>
    </row>
    <row r="148" spans="1:90" ht="32.4" hidden="1" customHeight="1">
      <c r="A148" s="3097"/>
      <c r="B148" s="3076"/>
      <c r="C148" s="3098"/>
      <c r="D148" s="1378" t="s">
        <v>412</v>
      </c>
      <c r="E148" s="1069"/>
      <c r="F148" s="1069"/>
      <c r="G148" s="1069"/>
      <c r="H148" s="1066"/>
      <c r="I148" s="1066"/>
      <c r="J148" s="1065"/>
      <c r="K148" s="1066"/>
      <c r="L148" s="1066"/>
      <c r="M148" s="1620"/>
      <c r="N148" s="2172" t="e">
        <f t="shared" si="108"/>
        <v>#DIV/0!</v>
      </c>
      <c r="O148" s="1066"/>
      <c r="P148" s="1620"/>
      <c r="Q148" s="1066"/>
      <c r="R148" s="1620"/>
      <c r="S148" s="3099"/>
      <c r="T148" s="3100"/>
      <c r="U148" s="3076"/>
      <c r="V148" s="3076"/>
      <c r="W148" s="3076"/>
      <c r="X148" s="3076"/>
      <c r="Y148" s="3076"/>
      <c r="Z148" s="3076"/>
      <c r="AA148" s="3076"/>
      <c r="AB148" s="2943"/>
    </row>
    <row r="149" spans="1:90" ht="25.5" hidden="1" customHeight="1">
      <c r="A149" s="3097"/>
      <c r="B149" s="3076"/>
      <c r="C149" s="3098"/>
      <c r="D149" s="1068" t="s">
        <v>1067</v>
      </c>
      <c r="E149" s="1069">
        <f>SUM(E146:E146)</f>
        <v>0</v>
      </c>
      <c r="F149" s="1069">
        <f t="shared" ref="F149" si="113">SUM(F146:F146)</f>
        <v>0</v>
      </c>
      <c r="G149" s="1069">
        <f>SUM(G146:G147)</f>
        <v>400</v>
      </c>
      <c r="H149" s="1066"/>
      <c r="I149" s="1066"/>
      <c r="J149" s="1065">
        <f>SUM(J146,J147,J148)</f>
        <v>2.3879999999999999</v>
      </c>
      <c r="K149" s="1066">
        <f>SUM(K146,K147,K148)</f>
        <v>4.7750000000000004</v>
      </c>
      <c r="L149" s="1066">
        <f>M149</f>
        <v>1.677</v>
      </c>
      <c r="M149" s="1620">
        <v>1.677</v>
      </c>
      <c r="N149" s="2172">
        <f t="shared" si="108"/>
        <v>-0.64879581151832466</v>
      </c>
      <c r="O149" s="1066"/>
      <c r="P149" s="1620"/>
      <c r="Q149" s="1066"/>
      <c r="R149" s="1620"/>
      <c r="S149" s="3099"/>
      <c r="T149" s="3106"/>
      <c r="U149" s="3076"/>
      <c r="V149" s="3076"/>
      <c r="W149" s="3076"/>
      <c r="X149" s="3076"/>
      <c r="Y149" s="3076"/>
      <c r="Z149" s="3076"/>
      <c r="AA149" s="3076"/>
      <c r="AB149" s="2943"/>
    </row>
    <row r="150" spans="1:90" ht="49.8" customHeight="1">
      <c r="A150" s="2879" t="s">
        <v>3239</v>
      </c>
      <c r="B150" s="2699" t="s">
        <v>3739</v>
      </c>
      <c r="C150" s="2719" t="s">
        <v>1071</v>
      </c>
      <c r="D150" s="706" t="s">
        <v>470</v>
      </c>
      <c r="E150" s="720"/>
      <c r="F150" s="720"/>
      <c r="G150" s="720"/>
      <c r="H150" s="722"/>
      <c r="I150" s="723"/>
      <c r="J150" s="657"/>
      <c r="K150" s="722"/>
      <c r="L150" s="722"/>
      <c r="M150" s="1496">
        <f>SUM(M154,M162)</f>
        <v>2.6</v>
      </c>
      <c r="N150" s="2130"/>
      <c r="O150" s="722">
        <f>SUM(O154,O162)</f>
        <v>5.2</v>
      </c>
      <c r="P150" s="1496">
        <f>SUM(P154,P162)</f>
        <v>5.2</v>
      </c>
      <c r="Q150" s="722"/>
      <c r="R150" s="1496"/>
      <c r="S150" s="2871" t="s">
        <v>2233</v>
      </c>
      <c r="T150" s="2704" t="s">
        <v>4115</v>
      </c>
      <c r="U150" s="2694" t="s">
        <v>2875</v>
      </c>
      <c r="V150" s="656" t="s">
        <v>3748</v>
      </c>
      <c r="W150" s="930"/>
      <c r="X150" s="656" t="s">
        <v>432</v>
      </c>
      <c r="Y150" s="656" t="s">
        <v>433</v>
      </c>
      <c r="Z150" s="656" t="s">
        <v>1304</v>
      </c>
      <c r="AA150" s="656" t="s">
        <v>1304</v>
      </c>
      <c r="AB150" s="2943"/>
    </row>
    <row r="151" spans="1:90" ht="42.75" customHeight="1">
      <c r="A151" s="2879"/>
      <c r="B151" s="2699"/>
      <c r="C151" s="2719"/>
      <c r="D151" s="706" t="s">
        <v>2747</v>
      </c>
      <c r="E151" s="720"/>
      <c r="F151" s="720"/>
      <c r="G151" s="720"/>
      <c r="H151" s="722"/>
      <c r="I151" s="723"/>
      <c r="J151" s="657"/>
      <c r="K151" s="722"/>
      <c r="L151" s="722">
        <v>2.6</v>
      </c>
      <c r="M151" s="1496"/>
      <c r="N151" s="2130"/>
      <c r="O151" s="722"/>
      <c r="P151" s="1496"/>
      <c r="Q151" s="722"/>
      <c r="R151" s="1496"/>
      <c r="S151" s="2871"/>
      <c r="T151" s="2704"/>
      <c r="U151" s="2694"/>
      <c r="V151" s="656" t="s">
        <v>3179</v>
      </c>
      <c r="W151" s="930"/>
      <c r="X151" s="656" t="s">
        <v>433</v>
      </c>
      <c r="Y151" s="656" t="s">
        <v>433</v>
      </c>
      <c r="Z151" s="656" t="s">
        <v>1427</v>
      </c>
      <c r="AA151" s="656" t="s">
        <v>1427</v>
      </c>
      <c r="AB151" s="2943"/>
    </row>
    <row r="152" spans="1:90" ht="45" customHeight="1">
      <c r="A152" s="2879"/>
      <c r="B152" s="2699"/>
      <c r="C152" s="2719"/>
      <c r="D152" s="706" t="s">
        <v>246</v>
      </c>
      <c r="E152" s="720"/>
      <c r="F152" s="720"/>
      <c r="G152" s="720"/>
      <c r="H152" s="722">
        <v>0</v>
      </c>
      <c r="I152" s="723"/>
      <c r="J152" s="657">
        <f>SUM(J155,J159,J163)</f>
        <v>83.182999999999993</v>
      </c>
      <c r="K152" s="722">
        <f>SUM(K155,K159,K163)</f>
        <v>83.182999999999993</v>
      </c>
      <c r="L152" s="722">
        <f>SUM(L155,L163)</f>
        <v>122.938</v>
      </c>
      <c r="M152" s="722">
        <f>SUM(M155,M163)</f>
        <v>122.938</v>
      </c>
      <c r="N152" s="2130">
        <f t="shared" si="108"/>
        <v>0.47792217159756217</v>
      </c>
      <c r="O152" s="722">
        <f t="shared" ref="O152:P152" si="114">SUM(O155,O163)</f>
        <v>122.93700000000001</v>
      </c>
      <c r="P152" s="1496">
        <f t="shared" si="114"/>
        <v>122.93700000000001</v>
      </c>
      <c r="Q152" s="722"/>
      <c r="R152" s="1496"/>
      <c r="S152" s="2871"/>
      <c r="T152" s="2704"/>
      <c r="U152" s="2694"/>
      <c r="V152" s="2694" t="s">
        <v>2876</v>
      </c>
      <c r="W152" s="2694" t="s">
        <v>433</v>
      </c>
      <c r="X152" s="2694" t="s">
        <v>433</v>
      </c>
      <c r="Y152" s="2694" t="s">
        <v>433</v>
      </c>
      <c r="Z152" s="2694" t="s">
        <v>3180</v>
      </c>
      <c r="AA152" s="2694" t="s">
        <v>3180</v>
      </c>
      <c r="AB152" s="2943"/>
    </row>
    <row r="153" spans="1:90" ht="58.5" customHeight="1">
      <c r="A153" s="2879"/>
      <c r="B153" s="2699"/>
      <c r="C153" s="2719"/>
      <c r="D153" s="725" t="s">
        <v>1067</v>
      </c>
      <c r="E153" s="726"/>
      <c r="F153" s="726"/>
      <c r="G153" s="726"/>
      <c r="H153" s="728">
        <f>H152</f>
        <v>0</v>
      </c>
      <c r="I153" s="729"/>
      <c r="J153" s="1056">
        <f t="shared" ref="J153:K153" si="115">J152</f>
        <v>83.182999999999993</v>
      </c>
      <c r="K153" s="728">
        <f t="shared" si="115"/>
        <v>83.182999999999993</v>
      </c>
      <c r="L153" s="728">
        <f>SUM(L152,L150,L151,)</f>
        <v>125.538</v>
      </c>
      <c r="M153" s="1464">
        <f t="shared" ref="M153" si="116">SUM(M152,M150,M151,)</f>
        <v>125.538</v>
      </c>
      <c r="N153" s="1243">
        <f t="shared" si="108"/>
        <v>0.50917855811884649</v>
      </c>
      <c r="O153" s="728">
        <f>SUM(O152,O150,O151,)</f>
        <v>128.137</v>
      </c>
      <c r="P153" s="728">
        <f t="shared" ref="P153:R153" si="117">SUM(P152,P150,P151,)</f>
        <v>128.137</v>
      </c>
      <c r="Q153" s="728">
        <f t="shared" si="117"/>
        <v>0</v>
      </c>
      <c r="R153" s="728">
        <f t="shared" si="117"/>
        <v>0</v>
      </c>
      <c r="S153" s="2871"/>
      <c r="T153" s="2704"/>
      <c r="U153" s="2694"/>
      <c r="V153" s="2694"/>
      <c r="W153" s="2694"/>
      <c r="X153" s="2694"/>
      <c r="Y153" s="2694"/>
      <c r="Z153" s="2694"/>
      <c r="AA153" s="2694"/>
      <c r="AB153" s="2944"/>
    </row>
    <row r="154" spans="1:90" ht="30" hidden="1" customHeight="1">
      <c r="A154" s="3134"/>
      <c r="B154" s="2900" t="s">
        <v>3170</v>
      </c>
      <c r="C154" s="3136"/>
      <c r="D154" s="514" t="s">
        <v>470</v>
      </c>
      <c r="E154" s="515"/>
      <c r="F154" s="515"/>
      <c r="G154" s="515"/>
      <c r="H154" s="530"/>
      <c r="I154" s="530"/>
      <c r="J154" s="1377"/>
      <c r="K154" s="530"/>
      <c r="L154" s="530"/>
      <c r="M154" s="1625"/>
      <c r="N154" s="2076" t="e">
        <f t="shared" si="108"/>
        <v>#DIV/0!</v>
      </c>
      <c r="O154" s="530"/>
      <c r="P154" s="1625"/>
      <c r="Q154" s="530"/>
      <c r="R154" s="1625"/>
      <c r="S154" s="3138" t="s">
        <v>2240</v>
      </c>
      <c r="T154" s="2940" t="s">
        <v>3175</v>
      </c>
      <c r="U154" s="3077"/>
      <c r="V154" s="3078"/>
      <c r="W154" s="3078"/>
      <c r="X154" s="3078"/>
      <c r="Y154" s="3078"/>
      <c r="Z154" s="3078"/>
      <c r="AA154" s="3078"/>
      <c r="AB154" s="3079"/>
    </row>
    <row r="155" spans="1:90" ht="32.4" hidden="1" customHeight="1">
      <c r="A155" s="3134"/>
      <c r="B155" s="2900"/>
      <c r="C155" s="3136"/>
      <c r="D155" s="514" t="s">
        <v>246</v>
      </c>
      <c r="E155" s="515">
        <v>0</v>
      </c>
      <c r="F155" s="515"/>
      <c r="G155" s="515">
        <v>400</v>
      </c>
      <c r="H155" s="446"/>
      <c r="I155" s="446"/>
      <c r="J155" s="447">
        <v>60.334000000000003</v>
      </c>
      <c r="K155" s="445">
        <v>60.334000000000003</v>
      </c>
      <c r="L155" s="445">
        <v>119.038</v>
      </c>
      <c r="M155" s="1529">
        <v>119.038</v>
      </c>
      <c r="N155" s="557">
        <f t="shared" si="108"/>
        <v>0.97298372393675192</v>
      </c>
      <c r="O155" s="445">
        <v>119.03700000000001</v>
      </c>
      <c r="P155" s="1529">
        <v>119.03700000000001</v>
      </c>
      <c r="Q155" s="445"/>
      <c r="R155" s="1529"/>
      <c r="S155" s="3138"/>
      <c r="T155" s="3140"/>
      <c r="U155" s="3077"/>
      <c r="V155" s="3078"/>
      <c r="W155" s="3078"/>
      <c r="X155" s="3078"/>
      <c r="Y155" s="3078"/>
      <c r="Z155" s="3078"/>
      <c r="AA155" s="3078"/>
      <c r="AB155" s="3080"/>
    </row>
    <row r="156" spans="1:90" ht="32.4" hidden="1" customHeight="1">
      <c r="A156" s="3134"/>
      <c r="B156" s="2900"/>
      <c r="C156" s="3136"/>
      <c r="D156" s="514" t="s">
        <v>412</v>
      </c>
      <c r="E156" s="515"/>
      <c r="F156" s="515"/>
      <c r="G156" s="515"/>
      <c r="H156" s="446"/>
      <c r="I156" s="446"/>
      <c r="J156" s="447"/>
      <c r="K156" s="445"/>
      <c r="L156" s="445"/>
      <c r="M156" s="1529"/>
      <c r="N156" s="557" t="e">
        <f t="shared" si="108"/>
        <v>#DIV/0!</v>
      </c>
      <c r="O156" s="445"/>
      <c r="P156" s="1529"/>
      <c r="Q156" s="445"/>
      <c r="R156" s="1529"/>
      <c r="S156" s="3138"/>
      <c r="T156" s="3140"/>
      <c r="U156" s="3077"/>
      <c r="V156" s="3078"/>
      <c r="W156" s="3078"/>
      <c r="X156" s="3078"/>
      <c r="Y156" s="3078"/>
      <c r="Z156" s="3078"/>
      <c r="AA156" s="3078"/>
      <c r="AB156" s="3080"/>
    </row>
    <row r="157" spans="1:90" ht="48" hidden="1" customHeight="1">
      <c r="A157" s="3135"/>
      <c r="B157" s="2846"/>
      <c r="C157" s="3137"/>
      <c r="D157" s="516" t="s">
        <v>1067</v>
      </c>
      <c r="E157" s="459">
        <f>SUM(E154:E154)</f>
        <v>0</v>
      </c>
      <c r="F157" s="459">
        <f t="shared" ref="F157" si="118">SUM(F154:F154)</f>
        <v>0</v>
      </c>
      <c r="G157" s="459">
        <f>SUM(G154:G155)</f>
        <v>400</v>
      </c>
      <c r="H157" s="446"/>
      <c r="I157" s="446"/>
      <c r="J157" s="447">
        <f>201.66333*30%</f>
        <v>60.498998999999998</v>
      </c>
      <c r="K157" s="445">
        <f>K155</f>
        <v>60.334000000000003</v>
      </c>
      <c r="L157" s="445">
        <f>L155</f>
        <v>119.038</v>
      </c>
      <c r="M157" s="1529">
        <f>M155</f>
        <v>119.038</v>
      </c>
      <c r="N157" s="557">
        <f t="shared" si="108"/>
        <v>0.97298372393675192</v>
      </c>
      <c r="O157" s="445">
        <f>O155</f>
        <v>119.03700000000001</v>
      </c>
      <c r="P157" s="1529">
        <f>P155</f>
        <v>119.03700000000001</v>
      </c>
      <c r="Q157" s="445"/>
      <c r="R157" s="1529"/>
      <c r="S157" s="3139"/>
      <c r="T157" s="3141"/>
      <c r="U157" s="3077"/>
      <c r="V157" s="3078"/>
      <c r="W157" s="3078"/>
      <c r="X157" s="3078"/>
      <c r="Y157" s="3078"/>
      <c r="Z157" s="3078"/>
      <c r="AA157" s="3078"/>
      <c r="AB157" s="3080"/>
    </row>
    <row r="158" spans="1:90" s="524" customFormat="1" ht="32.25" hidden="1" customHeight="1">
      <c r="A158" s="3125"/>
      <c r="B158" s="3142" t="s">
        <v>3174</v>
      </c>
      <c r="C158" s="521"/>
      <c r="D158" s="525" t="s">
        <v>470</v>
      </c>
      <c r="E158" s="522"/>
      <c r="F158" s="522"/>
      <c r="G158" s="522"/>
      <c r="H158" s="523"/>
      <c r="I158" s="523"/>
      <c r="J158" s="590"/>
      <c r="K158" s="561"/>
      <c r="L158" s="561"/>
      <c r="M158" s="1626"/>
      <c r="N158" s="2074" t="e">
        <f t="shared" si="108"/>
        <v>#DIV/0!</v>
      </c>
      <c r="O158" s="561"/>
      <c r="P158" s="1626"/>
      <c r="Q158" s="561"/>
      <c r="R158" s="1626"/>
      <c r="S158" s="3128"/>
      <c r="T158" s="3131"/>
      <c r="U158" s="3077"/>
      <c r="V158" s="3078"/>
      <c r="W158" s="3078"/>
      <c r="X158" s="3078"/>
      <c r="Y158" s="3078"/>
      <c r="Z158" s="3078"/>
      <c r="AA158" s="3078"/>
      <c r="AB158" s="3080"/>
      <c r="AD158" s="221"/>
      <c r="AE158" s="221"/>
      <c r="AF158" s="221"/>
      <c r="AG158" s="221"/>
      <c r="AH158" s="221"/>
      <c r="AI158" s="221"/>
      <c r="AJ158" s="221"/>
      <c r="AK158" s="221"/>
      <c r="AL158" s="221"/>
      <c r="AM158" s="221"/>
      <c r="AN158" s="221"/>
      <c r="AO158" s="221"/>
      <c r="AP158" s="221"/>
      <c r="AQ158" s="221"/>
      <c r="AR158" s="221"/>
      <c r="AS158" s="221"/>
      <c r="AT158" s="221"/>
      <c r="AU158" s="221"/>
      <c r="AV158" s="221"/>
      <c r="AW158" s="221"/>
      <c r="AX158" s="221"/>
      <c r="AY158" s="221"/>
      <c r="AZ158" s="221"/>
      <c r="BA158" s="221"/>
      <c r="BB158" s="221"/>
      <c r="BC158" s="221"/>
      <c r="BD158" s="221"/>
      <c r="BE158" s="221"/>
      <c r="BF158" s="221"/>
      <c r="BG158" s="221"/>
      <c r="BH158" s="221"/>
      <c r="BI158" s="221"/>
      <c r="BJ158" s="221"/>
      <c r="BK158" s="221"/>
      <c r="BL158" s="221"/>
      <c r="BM158" s="221"/>
      <c r="BN158" s="221"/>
      <c r="BO158" s="221"/>
      <c r="BP158" s="221"/>
      <c r="BQ158" s="221"/>
      <c r="BR158" s="221"/>
      <c r="BS158" s="221"/>
      <c r="BT158" s="221"/>
      <c r="BU158" s="221"/>
      <c r="BV158" s="221"/>
      <c r="BW158" s="221"/>
      <c r="BX158" s="221"/>
      <c r="BY158" s="221"/>
      <c r="BZ158" s="221"/>
      <c r="CA158" s="221"/>
      <c r="CB158" s="221"/>
      <c r="CC158" s="221"/>
      <c r="CD158" s="221"/>
      <c r="CE158" s="221"/>
      <c r="CF158" s="221"/>
      <c r="CG158" s="221"/>
      <c r="CH158" s="221"/>
      <c r="CI158" s="221"/>
      <c r="CJ158" s="221"/>
      <c r="CK158" s="221"/>
      <c r="CL158" s="221"/>
    </row>
    <row r="159" spans="1:90" s="524" customFormat="1" ht="32.25" hidden="1" customHeight="1">
      <c r="A159" s="3126"/>
      <c r="B159" s="3143"/>
      <c r="C159" s="521"/>
      <c r="D159" s="525" t="s">
        <v>246</v>
      </c>
      <c r="E159" s="522"/>
      <c r="F159" s="522"/>
      <c r="G159" s="522"/>
      <c r="H159" s="523"/>
      <c r="I159" s="523"/>
      <c r="J159" s="590">
        <v>20.248999999999999</v>
      </c>
      <c r="K159" s="561">
        <v>20.248999999999999</v>
      </c>
      <c r="L159" s="561">
        <v>33.749000000000002</v>
      </c>
      <c r="M159" s="1626"/>
      <c r="N159" s="2074">
        <f t="shared" si="108"/>
        <v>0.66669959010321522</v>
      </c>
      <c r="O159" s="561"/>
      <c r="P159" s="1626"/>
      <c r="Q159" s="561"/>
      <c r="R159" s="1626"/>
      <c r="S159" s="3129"/>
      <c r="T159" s="3132"/>
      <c r="U159" s="3077"/>
      <c r="V159" s="3078"/>
      <c r="W159" s="3078"/>
      <c r="X159" s="3078"/>
      <c r="Y159" s="3078"/>
      <c r="Z159" s="3078"/>
      <c r="AA159" s="3078"/>
      <c r="AB159" s="3080"/>
      <c r="AD159" s="221"/>
      <c r="AE159" s="221"/>
      <c r="AF159" s="221"/>
      <c r="AG159" s="221"/>
      <c r="AH159" s="221"/>
      <c r="AI159" s="221"/>
      <c r="AJ159" s="221"/>
      <c r="AK159" s="221"/>
      <c r="AL159" s="221"/>
      <c r="AM159" s="221"/>
      <c r="AN159" s="221"/>
      <c r="AO159" s="221"/>
      <c r="AP159" s="221"/>
      <c r="AQ159" s="221"/>
      <c r="AR159" s="221"/>
      <c r="AS159" s="221"/>
      <c r="AT159" s="221"/>
      <c r="AU159" s="221"/>
      <c r="AV159" s="221"/>
      <c r="AW159" s="221"/>
      <c r="AX159" s="221"/>
      <c r="AY159" s="221"/>
      <c r="AZ159" s="221"/>
      <c r="BA159" s="221"/>
      <c r="BB159" s="221"/>
      <c r="BC159" s="221"/>
      <c r="BD159" s="221"/>
      <c r="BE159" s="221"/>
      <c r="BF159" s="221"/>
      <c r="BG159" s="221"/>
      <c r="BH159" s="221"/>
      <c r="BI159" s="221"/>
      <c r="BJ159" s="221"/>
      <c r="BK159" s="221"/>
      <c r="BL159" s="221"/>
      <c r="BM159" s="221"/>
      <c r="BN159" s="221"/>
      <c r="BO159" s="221"/>
      <c r="BP159" s="221"/>
      <c r="BQ159" s="221"/>
      <c r="BR159" s="221"/>
      <c r="BS159" s="221"/>
      <c r="BT159" s="221"/>
      <c r="BU159" s="221"/>
      <c r="BV159" s="221"/>
      <c r="BW159" s="221"/>
      <c r="BX159" s="221"/>
      <c r="BY159" s="221"/>
      <c r="BZ159" s="221"/>
      <c r="CA159" s="221"/>
      <c r="CB159" s="221"/>
      <c r="CC159" s="221"/>
      <c r="CD159" s="221"/>
      <c r="CE159" s="221"/>
      <c r="CF159" s="221"/>
      <c r="CG159" s="221"/>
      <c r="CH159" s="221"/>
      <c r="CI159" s="221"/>
      <c r="CJ159" s="221"/>
      <c r="CK159" s="221"/>
      <c r="CL159" s="221"/>
    </row>
    <row r="160" spans="1:90" s="524" customFormat="1" ht="32.25" hidden="1" customHeight="1">
      <c r="A160" s="3126"/>
      <c r="B160" s="3143"/>
      <c r="C160" s="521"/>
      <c r="D160" s="525" t="s">
        <v>412</v>
      </c>
      <c r="E160" s="522"/>
      <c r="F160" s="522"/>
      <c r="G160" s="522"/>
      <c r="H160" s="523"/>
      <c r="I160" s="523"/>
      <c r="J160" s="590"/>
      <c r="K160" s="561"/>
      <c r="L160" s="561"/>
      <c r="M160" s="1626"/>
      <c r="N160" s="2074" t="e">
        <f t="shared" si="108"/>
        <v>#DIV/0!</v>
      </c>
      <c r="O160" s="561"/>
      <c r="P160" s="1626"/>
      <c r="Q160" s="561"/>
      <c r="R160" s="1626"/>
      <c r="S160" s="3129"/>
      <c r="T160" s="3132"/>
      <c r="U160" s="3077"/>
      <c r="V160" s="3078"/>
      <c r="W160" s="3078"/>
      <c r="X160" s="3078"/>
      <c r="Y160" s="3078"/>
      <c r="Z160" s="3078"/>
      <c r="AA160" s="3078"/>
      <c r="AB160" s="3080"/>
      <c r="AD160" s="221"/>
      <c r="AE160" s="221"/>
      <c r="AF160" s="221"/>
      <c r="AG160" s="221"/>
      <c r="AH160" s="221"/>
      <c r="AI160" s="221"/>
      <c r="AJ160" s="221"/>
      <c r="AK160" s="221"/>
      <c r="AL160" s="221"/>
      <c r="AM160" s="221"/>
      <c r="AN160" s="221"/>
      <c r="AO160" s="221"/>
      <c r="AP160" s="221"/>
      <c r="AQ160" s="221"/>
      <c r="AR160" s="221"/>
      <c r="AS160" s="221"/>
      <c r="AT160" s="221"/>
      <c r="AU160" s="221"/>
      <c r="AV160" s="221"/>
      <c r="AW160" s="221"/>
      <c r="AX160" s="221"/>
      <c r="AY160" s="221"/>
      <c r="AZ160" s="221"/>
      <c r="BA160" s="221"/>
      <c r="BB160" s="221"/>
      <c r="BC160" s="221"/>
      <c r="BD160" s="221"/>
      <c r="BE160" s="221"/>
      <c r="BF160" s="221"/>
      <c r="BG160" s="221"/>
      <c r="BH160" s="221"/>
      <c r="BI160" s="221"/>
      <c r="BJ160" s="221"/>
      <c r="BK160" s="221"/>
      <c r="BL160" s="221"/>
      <c r="BM160" s="221"/>
      <c r="BN160" s="221"/>
      <c r="BO160" s="221"/>
      <c r="BP160" s="221"/>
      <c r="BQ160" s="221"/>
      <c r="BR160" s="221"/>
      <c r="BS160" s="221"/>
      <c r="BT160" s="221"/>
      <c r="BU160" s="221"/>
      <c r="BV160" s="221"/>
      <c r="BW160" s="221"/>
      <c r="BX160" s="221"/>
      <c r="BY160" s="221"/>
      <c r="BZ160" s="221"/>
      <c r="CA160" s="221"/>
      <c r="CB160" s="221"/>
      <c r="CC160" s="221"/>
      <c r="CD160" s="221"/>
      <c r="CE160" s="221"/>
      <c r="CF160" s="221"/>
      <c r="CG160" s="221"/>
      <c r="CH160" s="221"/>
      <c r="CI160" s="221"/>
      <c r="CJ160" s="221"/>
      <c r="CK160" s="221"/>
      <c r="CL160" s="221"/>
    </row>
    <row r="161" spans="1:90" s="524" customFormat="1" ht="32.25" hidden="1" customHeight="1">
      <c r="A161" s="3127"/>
      <c r="B161" s="3144"/>
      <c r="C161" s="521"/>
      <c r="D161" s="525" t="s">
        <v>1067</v>
      </c>
      <c r="E161" s="522"/>
      <c r="F161" s="522"/>
      <c r="G161" s="522"/>
      <c r="H161" s="523"/>
      <c r="I161" s="523"/>
      <c r="J161" s="590">
        <f>66.94825*30%</f>
        <v>20.084475000000001</v>
      </c>
      <c r="K161" s="561">
        <f t="shared" ref="K161:L161" si="119">66.94825*30%</f>
        <v>20.084475000000001</v>
      </c>
      <c r="L161" s="561">
        <f t="shared" si="119"/>
        <v>20.084475000000001</v>
      </c>
      <c r="M161" s="1626"/>
      <c r="N161" s="2074">
        <f t="shared" si="108"/>
        <v>0</v>
      </c>
      <c r="O161" s="561"/>
      <c r="P161" s="1626"/>
      <c r="Q161" s="561"/>
      <c r="R161" s="1626"/>
      <c r="S161" s="3130"/>
      <c r="T161" s="3133"/>
      <c r="U161" s="3077"/>
      <c r="V161" s="3078"/>
      <c r="W161" s="3078"/>
      <c r="X161" s="3078"/>
      <c r="Y161" s="3078"/>
      <c r="Z161" s="3078"/>
      <c r="AA161" s="3078"/>
      <c r="AB161" s="3080"/>
      <c r="AD161" s="221"/>
      <c r="AE161" s="221"/>
      <c r="AF161" s="221"/>
      <c r="AG161" s="221"/>
      <c r="AH161" s="221"/>
      <c r="AI161" s="221"/>
      <c r="AJ161" s="221"/>
      <c r="AK161" s="221"/>
      <c r="AL161" s="221"/>
      <c r="AM161" s="221"/>
      <c r="AN161" s="221"/>
      <c r="AO161" s="221"/>
      <c r="AP161" s="221"/>
      <c r="AQ161" s="221"/>
      <c r="AR161" s="221"/>
      <c r="AS161" s="221"/>
      <c r="AT161" s="221"/>
      <c r="AU161" s="221"/>
      <c r="AV161" s="221"/>
      <c r="AW161" s="221"/>
      <c r="AX161" s="221"/>
      <c r="AY161" s="221"/>
      <c r="AZ161" s="221"/>
      <c r="BA161" s="221"/>
      <c r="BB161" s="221"/>
      <c r="BC161" s="221"/>
      <c r="BD161" s="221"/>
      <c r="BE161" s="221"/>
      <c r="BF161" s="221"/>
      <c r="BG161" s="221"/>
      <c r="BH161" s="221"/>
      <c r="BI161" s="221"/>
      <c r="BJ161" s="221"/>
      <c r="BK161" s="221"/>
      <c r="BL161" s="221"/>
      <c r="BM161" s="221"/>
      <c r="BN161" s="221"/>
      <c r="BO161" s="221"/>
      <c r="BP161" s="221"/>
      <c r="BQ161" s="221"/>
      <c r="BR161" s="221"/>
      <c r="BS161" s="221"/>
      <c r="BT161" s="221"/>
      <c r="BU161" s="221"/>
      <c r="BV161" s="221"/>
      <c r="BW161" s="221"/>
      <c r="BX161" s="221"/>
      <c r="BY161" s="221"/>
      <c r="BZ161" s="221"/>
      <c r="CA161" s="221"/>
      <c r="CB161" s="221"/>
      <c r="CC161" s="221"/>
      <c r="CD161" s="221"/>
      <c r="CE161" s="221"/>
      <c r="CF161" s="221"/>
      <c r="CG161" s="221"/>
      <c r="CH161" s="221"/>
      <c r="CI161" s="221"/>
      <c r="CJ161" s="221"/>
      <c r="CK161" s="221"/>
      <c r="CL161" s="221"/>
    </row>
    <row r="162" spans="1:90" ht="27" hidden="1" customHeight="1">
      <c r="A162" s="3114"/>
      <c r="B162" s="3116" t="s">
        <v>2540</v>
      </c>
      <c r="C162" s="3118"/>
      <c r="D162" s="517" t="s">
        <v>470</v>
      </c>
      <c r="E162" s="518"/>
      <c r="F162" s="518"/>
      <c r="G162" s="518"/>
      <c r="H162" s="519"/>
      <c r="I162" s="519"/>
      <c r="J162" s="591"/>
      <c r="K162" s="560"/>
      <c r="L162" s="560">
        <v>2.6</v>
      </c>
      <c r="M162" s="1627">
        <v>2.6</v>
      </c>
      <c r="N162" s="2177" t="e">
        <f t="shared" si="108"/>
        <v>#DIV/0!</v>
      </c>
      <c r="O162" s="560">
        <v>5.2</v>
      </c>
      <c r="P162" s="1627">
        <v>5.2</v>
      </c>
      <c r="Q162" s="560"/>
      <c r="R162" s="1627"/>
      <c r="S162" s="3120" t="s">
        <v>2240</v>
      </c>
      <c r="T162" s="3123"/>
      <c r="U162" s="3077"/>
      <c r="V162" s="3078"/>
      <c r="W162" s="3078"/>
      <c r="X162" s="3078"/>
      <c r="Y162" s="3078"/>
      <c r="Z162" s="3078"/>
      <c r="AA162" s="3078"/>
      <c r="AB162" s="3080"/>
    </row>
    <row r="163" spans="1:90" ht="30.6" hidden="1" customHeight="1">
      <c r="A163" s="3114"/>
      <c r="B163" s="3116"/>
      <c r="C163" s="3118"/>
      <c r="D163" s="517" t="s">
        <v>246</v>
      </c>
      <c r="E163" s="518">
        <v>0</v>
      </c>
      <c r="F163" s="518"/>
      <c r="G163" s="518">
        <v>400</v>
      </c>
      <c r="H163" s="519"/>
      <c r="I163" s="519"/>
      <c r="J163" s="591">
        <v>2.6</v>
      </c>
      <c r="K163" s="560">
        <v>2.6</v>
      </c>
      <c r="L163" s="560">
        <v>3.9</v>
      </c>
      <c r="M163" s="1627">
        <v>3.9</v>
      </c>
      <c r="N163" s="2177">
        <f t="shared" si="108"/>
        <v>0.49999999999999989</v>
      </c>
      <c r="O163" s="560">
        <v>3.9</v>
      </c>
      <c r="P163" s="1627">
        <v>3.9</v>
      </c>
      <c r="Q163" s="560"/>
      <c r="R163" s="1627"/>
      <c r="S163" s="3121"/>
      <c r="T163" s="3123"/>
      <c r="U163" s="3077"/>
      <c r="V163" s="3078"/>
      <c r="W163" s="3078"/>
      <c r="X163" s="3078"/>
      <c r="Y163" s="3078"/>
      <c r="Z163" s="3078"/>
      <c r="AA163" s="3078"/>
      <c r="AB163" s="3080"/>
    </row>
    <row r="164" spans="1:90" ht="24.6" hidden="1" customHeight="1">
      <c r="A164" s="3114"/>
      <c r="B164" s="3116"/>
      <c r="C164" s="3118"/>
      <c r="D164" s="517" t="s">
        <v>412</v>
      </c>
      <c r="E164" s="518"/>
      <c r="F164" s="518"/>
      <c r="G164" s="518"/>
      <c r="H164" s="519"/>
      <c r="I164" s="519"/>
      <c r="J164" s="591"/>
      <c r="K164" s="560"/>
      <c r="L164" s="560"/>
      <c r="M164" s="1627"/>
      <c r="N164" s="2177" t="e">
        <f t="shared" si="108"/>
        <v>#DIV/0!</v>
      </c>
      <c r="O164" s="560"/>
      <c r="P164" s="1627"/>
      <c r="Q164" s="560"/>
      <c r="R164" s="1627"/>
      <c r="S164" s="3121"/>
      <c r="T164" s="3123"/>
      <c r="U164" s="3077"/>
      <c r="V164" s="3078"/>
      <c r="W164" s="3078"/>
      <c r="X164" s="3078"/>
      <c r="Y164" s="3078"/>
      <c r="Z164" s="3078"/>
      <c r="AA164" s="3078"/>
      <c r="AB164" s="3080"/>
    </row>
    <row r="165" spans="1:90" ht="30.6" hidden="1" customHeight="1">
      <c r="A165" s="3115"/>
      <c r="B165" s="3117"/>
      <c r="C165" s="3119"/>
      <c r="D165" s="1053" t="s">
        <v>1067</v>
      </c>
      <c r="E165" s="520">
        <f>SUM(E162:E162)</f>
        <v>0</v>
      </c>
      <c r="F165" s="520">
        <f t="shared" ref="F165" si="120">SUM(F162:F162)</f>
        <v>0</v>
      </c>
      <c r="G165" s="520">
        <f>SUM(G162:G163)</f>
        <v>400</v>
      </c>
      <c r="H165" s="519"/>
      <c r="I165" s="519"/>
      <c r="J165" s="591">
        <v>2.6</v>
      </c>
      <c r="K165" s="560">
        <f>K163</f>
        <v>2.6</v>
      </c>
      <c r="L165" s="560">
        <f>SUM(L162,L163)</f>
        <v>6.5</v>
      </c>
      <c r="M165" s="560">
        <f t="shared" ref="M165:R165" si="121">SUM(M162,M163)</f>
        <v>6.5</v>
      </c>
      <c r="N165" s="560">
        <f t="shared" si="108"/>
        <v>1.5</v>
      </c>
      <c r="O165" s="560">
        <f t="shared" si="121"/>
        <v>9.1</v>
      </c>
      <c r="P165" s="560">
        <f t="shared" si="121"/>
        <v>9.1</v>
      </c>
      <c r="Q165" s="560">
        <f t="shared" si="121"/>
        <v>0</v>
      </c>
      <c r="R165" s="560">
        <f t="shared" si="121"/>
        <v>0</v>
      </c>
      <c r="S165" s="3122"/>
      <c r="T165" s="3124"/>
      <c r="U165" s="3081"/>
      <c r="V165" s="3082"/>
      <c r="W165" s="3082"/>
      <c r="X165" s="3082"/>
      <c r="Y165" s="3082"/>
      <c r="Z165" s="3082"/>
      <c r="AA165" s="3082"/>
      <c r="AB165" s="3083"/>
    </row>
    <row r="166" spans="1:90" ht="58.5" customHeight="1">
      <c r="A166" s="2825"/>
      <c r="B166" s="2825"/>
      <c r="C166" s="2825"/>
      <c r="D166" s="2825"/>
      <c r="E166" s="258" t="s">
        <v>1081</v>
      </c>
      <c r="F166" s="258"/>
      <c r="G166" s="258" t="str">
        <f>G10</f>
        <v>2024  m. išlaidų projektas (lėšų poreikis), tūkst. Eur</v>
      </c>
      <c r="H166" s="184" t="str">
        <f>H10</f>
        <v>2024  m.asignavimai ir kitos lėšos, tūkst. Eur</v>
      </c>
      <c r="I166" s="184"/>
      <c r="J166" s="594"/>
      <c r="K166" s="1089" t="str">
        <f>K10</f>
        <v>2025 m. asignavimai ir kitos lėšos, tūkst. Eur</v>
      </c>
      <c r="L166" s="182" t="str">
        <f>L10</f>
        <v>2026 m. asignavimai ir kitos lėšos, tūkst. Eur</v>
      </c>
      <c r="M166" s="1505" t="str">
        <f>M10</f>
        <v>2026 m.asignavimai ir kitos lėšos, tūkst. Eur
(poreikis)</v>
      </c>
      <c r="N166" s="2178"/>
      <c r="O166" s="182" t="str">
        <f>O10</f>
        <v>2027 m.asignavimai ir kitos lėšos, tūkst. Eur</v>
      </c>
      <c r="P166" s="1505" t="str">
        <f>P10</f>
        <v>2027 m.asignavimai ir kitos lėšos, tūkst. Eur
(poreikis)</v>
      </c>
      <c r="Q166" s="182" t="str">
        <f>Q10</f>
        <v>2028 m.asignavimai ir kitos lėšos, tūkst. Eur</v>
      </c>
      <c r="R166" s="1505" t="str">
        <f>R10</f>
        <v>2028 m.asignavimai ir kitos lėšos, tūkst. Eur
(poreikis)</v>
      </c>
      <c r="S166" s="476"/>
      <c r="T166" s="219"/>
      <c r="U166" s="220"/>
      <c r="V166" s="220"/>
      <c r="W166" s="220"/>
      <c r="X166" s="220"/>
      <c r="Y166" s="220"/>
    </row>
    <row r="167" spans="1:90" ht="39" customHeight="1">
      <c r="A167" s="222"/>
      <c r="B167" s="2848" t="s">
        <v>720</v>
      </c>
      <c r="C167" s="2848"/>
      <c r="D167" s="2848"/>
      <c r="E167" s="262" t="e">
        <f>SUM(E168:E175)</f>
        <v>#REF!</v>
      </c>
      <c r="F167" s="260" t="e">
        <f>H167/E167-1</f>
        <v>#REF!</v>
      </c>
      <c r="G167" s="262">
        <f t="shared" ref="G167" si="122">SUM(G168:G175)</f>
        <v>226.7</v>
      </c>
      <c r="H167" s="225" t="e">
        <f>H168+H171+H172+H173+H174+H175</f>
        <v>#REF!</v>
      </c>
      <c r="I167" s="291" t="e">
        <f t="shared" ref="I167:I177" si="123">K167/H167-1</f>
        <v>#REF!</v>
      </c>
      <c r="J167" s="1054">
        <f>J168+J171+J172+J173+J174+J175+J169+J170</f>
        <v>1621.9134640000002</v>
      </c>
      <c r="K167" s="225">
        <f t="shared" ref="K167:R167" si="124">K168+K171+K172+K173+K174+K175</f>
        <v>1808.8367319999998</v>
      </c>
      <c r="L167" s="225">
        <f t="shared" si="124"/>
        <v>2141.5120000000002</v>
      </c>
      <c r="M167" s="1539">
        <f t="shared" si="124"/>
        <v>2028.989</v>
      </c>
      <c r="N167" s="2179">
        <f t="shared" si="108"/>
        <v>0.1839166919350245</v>
      </c>
      <c r="O167" s="225">
        <f t="shared" si="124"/>
        <v>925.15300000000002</v>
      </c>
      <c r="P167" s="1539">
        <f t="shared" si="124"/>
        <v>916.86</v>
      </c>
      <c r="Q167" s="225">
        <f t="shared" si="124"/>
        <v>719.26100000000008</v>
      </c>
      <c r="R167" s="1539">
        <f t="shared" si="124"/>
        <v>710.96799999999996</v>
      </c>
      <c r="S167" s="223"/>
      <c r="T167" s="207"/>
      <c r="U167" s="207"/>
      <c r="V167" s="207"/>
      <c r="W167" s="207"/>
      <c r="X167" s="207"/>
      <c r="Y167" s="207"/>
      <c r="Z167" s="207"/>
      <c r="AA167" s="223"/>
      <c r="AB167" s="207"/>
    </row>
    <row r="168" spans="1:90" ht="40.200000000000003" customHeight="1">
      <c r="B168" s="2828" t="s">
        <v>1913</v>
      </c>
      <c r="C168" s="2828"/>
      <c r="D168" s="2828"/>
      <c r="E168" s="216">
        <f>SUM(E18,E24,E30,E33,E40,E45,E47,E64,E101,E125,E127,E131,E13)</f>
        <v>59.535000000000004</v>
      </c>
      <c r="F168" s="259">
        <f>H168/E168-1</f>
        <v>0.10691190056269395</v>
      </c>
      <c r="G168" s="216">
        <f>SUM(G18,G24,G30,G33,G40,G45,G47,G64,G101,G125,G127,G131,G13)</f>
        <v>20.7</v>
      </c>
      <c r="H168" s="213">
        <f>SUM(H18,H24,H33,H40,H45,H47,H64,H80,H96,H101,H127,H169)</f>
        <v>65.899999999999991</v>
      </c>
      <c r="I168" s="291">
        <f t="shared" si="123"/>
        <v>0.21755690440060715</v>
      </c>
      <c r="J168" s="526">
        <f>SUM(J18,J24,J33,J40,J45,J47,J64,J80,J96,J101,J127,J169,J21,J170)</f>
        <v>192.22473199999999</v>
      </c>
      <c r="K168" s="213">
        <f>SUM(K18,K24,K33,K40,K45,K47,K64,K80,K96,K127,K169,K21,K170)</f>
        <v>80.236999999999995</v>
      </c>
      <c r="L168" s="213">
        <f>SUM(L18,L24,L33,L40,L45,L47,L64,L80,L96,L127,L169,L21,L170,L150,L99,L81,L30,)</f>
        <v>53.06</v>
      </c>
      <c r="M168" s="1527">
        <f>SUM(M18,M24,M33,M40,M45,M47,M64,M80,M96,M127,M169,M21,M170,M150,M99,M81,M65,M30,)</f>
        <v>453.07900000000006</v>
      </c>
      <c r="N168" s="2082">
        <f t="shared" si="108"/>
        <v>-0.33870907436718711</v>
      </c>
      <c r="O168" s="213">
        <f>SUM(O18,O24,O33,O40,O45,O47,O64,O80,O96,O127,O169,O21,O170,O150,O99,O81,O65,O30,)</f>
        <v>401.57800000000003</v>
      </c>
      <c r="P168" s="1527">
        <f>SUM(P18,P24,P33,P40,P45,P47,P64,P80,P96,P127,P169,P21,P170,P150,P99,P81,P65,P30,)</f>
        <v>394.57799999999997</v>
      </c>
      <c r="Q168" s="213">
        <f>SUM(Q18,Q24,Q33,Q40,Q45,Q47,Q64,Q80,Q96,Q127,Q169,Q21,Q170,Q150,Q99,Q81,Q65,Q30,)</f>
        <v>387.37800000000004</v>
      </c>
      <c r="R168" s="1527">
        <f>SUM(R18,R24,R33,R40,R45,R47,R64,R80,R96,R127,R169,R21,R170,R150,R99,R81,R65,R30,)</f>
        <v>380.37799999999999</v>
      </c>
      <c r="S168" s="217"/>
      <c r="T168" s="207"/>
      <c r="U168" s="207"/>
      <c r="V168" s="207"/>
      <c r="W168" s="207"/>
      <c r="X168" s="207"/>
      <c r="Y168" s="207"/>
      <c r="Z168" s="207"/>
      <c r="AA168" s="223"/>
      <c r="AB168" s="207"/>
    </row>
    <row r="169" spans="1:90" ht="32.4" hidden="1" customHeight="1">
      <c r="B169" s="2737" t="s">
        <v>4117</v>
      </c>
      <c r="C169" s="2738"/>
      <c r="D169" s="2739"/>
      <c r="E169" s="459"/>
      <c r="F169" s="643"/>
      <c r="G169" s="459"/>
      <c r="H169" s="445">
        <f>19.54-8.44</f>
        <v>11.1</v>
      </c>
      <c r="I169" s="295">
        <f t="shared" si="123"/>
        <v>7.2072072072072224E-2</v>
      </c>
      <c r="J169" s="447">
        <f t="shared" ref="J169:M170" si="125">SUM(J13)</f>
        <v>20</v>
      </c>
      <c r="K169" s="445">
        <f t="shared" si="125"/>
        <v>11.9</v>
      </c>
      <c r="L169" s="445">
        <f t="shared" si="125"/>
        <v>12</v>
      </c>
      <c r="M169" s="1529">
        <f t="shared" si="125"/>
        <v>12</v>
      </c>
      <c r="N169" s="557">
        <f t="shared" si="108"/>
        <v>8.4033613445377853E-3</v>
      </c>
      <c r="O169" s="445">
        <f t="shared" ref="O169:R170" si="126">SUM(O13)</f>
        <v>12</v>
      </c>
      <c r="P169" s="1529">
        <f t="shared" si="126"/>
        <v>12</v>
      </c>
      <c r="Q169" s="445">
        <f t="shared" si="126"/>
        <v>12</v>
      </c>
      <c r="R169" s="1529">
        <f t="shared" si="126"/>
        <v>12</v>
      </c>
      <c r="S169" s="217"/>
      <c r="U169" s="207"/>
      <c r="V169" s="207"/>
      <c r="W169" s="207"/>
      <c r="X169" s="207"/>
      <c r="Y169" s="207"/>
      <c r="Z169" s="207"/>
      <c r="AA169" s="223"/>
      <c r="AB169" s="207"/>
    </row>
    <row r="170" spans="1:90" ht="43.5" hidden="1" customHeight="1">
      <c r="B170" s="2737" t="s">
        <v>4305</v>
      </c>
      <c r="C170" s="2738"/>
      <c r="D170" s="2739"/>
      <c r="E170" s="459"/>
      <c r="F170" s="643"/>
      <c r="G170" s="459"/>
      <c r="H170" s="445"/>
      <c r="I170" s="295"/>
      <c r="J170" s="447">
        <f t="shared" si="125"/>
        <v>0</v>
      </c>
      <c r="K170" s="445">
        <f t="shared" si="125"/>
        <v>13.407</v>
      </c>
      <c r="L170" s="445">
        <f t="shared" si="125"/>
        <v>0</v>
      </c>
      <c r="M170" s="1529">
        <f t="shared" si="125"/>
        <v>0</v>
      </c>
      <c r="N170" s="557">
        <f t="shared" si="108"/>
        <v>-1</v>
      </c>
      <c r="O170" s="445">
        <f t="shared" si="126"/>
        <v>0</v>
      </c>
      <c r="P170" s="1529">
        <f t="shared" si="126"/>
        <v>0</v>
      </c>
      <c r="Q170" s="445">
        <f t="shared" si="126"/>
        <v>0</v>
      </c>
      <c r="R170" s="1529">
        <f t="shared" si="126"/>
        <v>0</v>
      </c>
      <c r="S170" s="217"/>
      <c r="T170" s="207"/>
      <c r="U170" s="207"/>
      <c r="V170" s="207"/>
      <c r="W170" s="207"/>
      <c r="X170" s="207"/>
      <c r="Y170" s="207"/>
      <c r="Z170" s="207"/>
      <c r="AA170" s="223"/>
      <c r="AB170" s="207"/>
    </row>
    <row r="171" spans="1:90" ht="31.95" customHeight="1">
      <c r="B171" s="2828" t="s">
        <v>722</v>
      </c>
      <c r="C171" s="2828"/>
      <c r="D171" s="2828"/>
      <c r="E171" s="216">
        <f>SUM(E34,E20,E43,)</f>
        <v>181</v>
      </c>
      <c r="F171" s="259">
        <f>H171/E171-1</f>
        <v>0.17038674033149181</v>
      </c>
      <c r="G171" s="216">
        <f>SUM(G34,G20,G43,)</f>
        <v>206</v>
      </c>
      <c r="H171" s="213">
        <f>SUM(H34,H20,H43,)</f>
        <v>211.84</v>
      </c>
      <c r="I171" s="291">
        <f t="shared" si="123"/>
        <v>5.211480362537757E-2</v>
      </c>
      <c r="J171" s="526">
        <f>SUM(J20,J34,J43,)</f>
        <v>210.35</v>
      </c>
      <c r="K171" s="213">
        <f>SUM(K20,K34,K43,)</f>
        <v>222.88</v>
      </c>
      <c r="L171" s="213">
        <f>SUM(L20,L34,L43,)</f>
        <v>225.34999999999997</v>
      </c>
      <c r="M171" s="1527">
        <f>SUM(M20,M34,M43,)</f>
        <v>222.82299999999998</v>
      </c>
      <c r="N171" s="2082">
        <f t="shared" si="108"/>
        <v>1.1082196697774455E-2</v>
      </c>
      <c r="O171" s="213">
        <f>SUM(O20,O34,O43,)</f>
        <v>225.34999999999997</v>
      </c>
      <c r="P171" s="1527">
        <f>SUM(P20,P34,P43,)</f>
        <v>224.05699999999999</v>
      </c>
      <c r="Q171" s="213">
        <f>SUM(Q20,Q34,Q43,)</f>
        <v>225.34999999999997</v>
      </c>
      <c r="R171" s="1527">
        <f>SUM(R20,R34,R43,)</f>
        <v>224.05699999999999</v>
      </c>
      <c r="S171" s="217"/>
      <c r="T171" s="207"/>
      <c r="U171" s="207"/>
      <c r="V171" s="207"/>
      <c r="W171" s="207"/>
      <c r="X171" s="207"/>
      <c r="Y171" s="207"/>
      <c r="Z171" s="207"/>
      <c r="AA171" s="223"/>
      <c r="AB171" s="207"/>
    </row>
    <row r="172" spans="1:90" ht="27.6" customHeight="1">
      <c r="B172" s="2828" t="s">
        <v>723</v>
      </c>
      <c r="C172" s="2828"/>
      <c r="D172" s="2828"/>
      <c r="E172" s="216">
        <v>0</v>
      </c>
      <c r="F172" s="259"/>
      <c r="G172" s="216">
        <v>0</v>
      </c>
      <c r="H172" s="213">
        <v>0</v>
      </c>
      <c r="I172" s="291"/>
      <c r="J172" s="526"/>
      <c r="K172" s="213">
        <v>0</v>
      </c>
      <c r="L172" s="213">
        <v>0</v>
      </c>
      <c r="M172" s="1527">
        <v>0</v>
      </c>
      <c r="N172" s="2082"/>
      <c r="O172" s="213">
        <v>0</v>
      </c>
      <c r="P172" s="1527">
        <v>0</v>
      </c>
      <c r="Q172" s="213">
        <v>0</v>
      </c>
      <c r="R172" s="1527">
        <v>0</v>
      </c>
      <c r="S172" s="217"/>
      <c r="T172" s="207"/>
      <c r="U172" s="207"/>
      <c r="V172" s="207"/>
      <c r="W172" s="207"/>
      <c r="X172" s="207"/>
      <c r="Y172" s="207"/>
      <c r="Z172" s="207"/>
      <c r="AA172" s="223"/>
      <c r="AB172" s="207"/>
    </row>
    <row r="173" spans="1:90" ht="29.4" customHeight="1">
      <c r="B173" s="2828" t="s">
        <v>2687</v>
      </c>
      <c r="C173" s="2828"/>
      <c r="D173" s="2828"/>
      <c r="E173" s="213" t="e">
        <f>SUM(#REF!,E49,E66,E82,E97,#REF!,E128,E140,E136,E125,)</f>
        <v>#REF!</v>
      </c>
      <c r="F173" s="259"/>
      <c r="G173" s="216">
        <v>0</v>
      </c>
      <c r="H173" s="213" t="e">
        <f>SUM(H49,H140,#REF!)</f>
        <v>#REF!</v>
      </c>
      <c r="I173" s="291" t="e">
        <f t="shared" si="123"/>
        <v>#REF!</v>
      </c>
      <c r="J173" s="526">
        <f>SUM(J49,J66,J82,J97,J101,J11,J140,J152,)</f>
        <v>1199.3387320000002</v>
      </c>
      <c r="K173" s="213">
        <f>SUM(K49,K66,K82,K97,K101,K11,K140,K152,K50)</f>
        <v>1481.8697319999999</v>
      </c>
      <c r="L173" s="213">
        <f>SUM(L49,L66,L82,L97,L101,L11,L140,L152,L50)</f>
        <v>1353.088</v>
      </c>
      <c r="M173" s="1527">
        <f>SUM(M49,M66,M82,M97,M101,M11,M140,M152,M50)</f>
        <v>1353.087</v>
      </c>
      <c r="N173" s="2082">
        <f t="shared" si="108"/>
        <v>-8.6904894012640468E-2</v>
      </c>
      <c r="O173" s="213">
        <f>SUM(O49,O66,O82,O97,O101,O11,O140,O152,O50)</f>
        <v>298.22500000000002</v>
      </c>
      <c r="P173" s="1527">
        <f>SUM(P49,P66,P82,P97,P101,P11,P140,P152,P50)</f>
        <v>298.22500000000002</v>
      </c>
      <c r="Q173" s="213">
        <f>SUM(Q49,Q66,Q82,Q97,Q101,Q11,Q140,Q152,Q50)</f>
        <v>106.53300000000002</v>
      </c>
      <c r="R173" s="1527">
        <f>SUM(R49,R66,R82,R97,R101,R11,R140,R152,R50)</f>
        <v>106.53300000000002</v>
      </c>
      <c r="S173" s="217"/>
      <c r="T173" s="207"/>
      <c r="U173" s="207"/>
      <c r="V173" s="207"/>
      <c r="W173" s="207"/>
      <c r="X173" s="207"/>
      <c r="Y173" s="207"/>
      <c r="Z173" s="207"/>
      <c r="AA173" s="223"/>
      <c r="AB173" s="207"/>
    </row>
    <row r="174" spans="1:90" ht="27.6" customHeight="1">
      <c r="B174" s="2828" t="s">
        <v>724</v>
      </c>
      <c r="C174" s="2828"/>
      <c r="D174" s="2828"/>
      <c r="E174" s="216">
        <v>0</v>
      </c>
      <c r="F174" s="259"/>
      <c r="G174" s="216">
        <v>0</v>
      </c>
      <c r="H174" s="213">
        <v>0</v>
      </c>
      <c r="I174" s="291"/>
      <c r="J174" s="526"/>
      <c r="K174" s="213">
        <v>0</v>
      </c>
      <c r="L174" s="213">
        <v>0</v>
      </c>
      <c r="M174" s="1527">
        <v>0</v>
      </c>
      <c r="N174" s="2082"/>
      <c r="O174" s="213">
        <v>0</v>
      </c>
      <c r="P174" s="1527">
        <v>0</v>
      </c>
      <c r="Q174" s="213">
        <v>0</v>
      </c>
      <c r="R174" s="1527">
        <v>0</v>
      </c>
      <c r="S174" s="217"/>
      <c r="T174" s="207"/>
      <c r="U174" s="207"/>
      <c r="V174" s="207"/>
      <c r="W174" s="207"/>
      <c r="X174" s="207"/>
      <c r="Y174" s="207"/>
      <c r="Z174" s="207"/>
      <c r="AA174" s="223"/>
      <c r="AB174" s="207"/>
    </row>
    <row r="175" spans="1:90" ht="25.95" customHeight="1">
      <c r="B175" s="2828" t="s">
        <v>725</v>
      </c>
      <c r="C175" s="2828"/>
      <c r="D175" s="2828"/>
      <c r="E175" s="216">
        <v>0</v>
      </c>
      <c r="F175" s="259"/>
      <c r="G175" s="216">
        <v>0</v>
      </c>
      <c r="H175" s="213">
        <f>H14</f>
        <v>8.44</v>
      </c>
      <c r="I175" s="291">
        <f>K175/H175-1</f>
        <v>1.8258293838862563</v>
      </c>
      <c r="J175" s="526">
        <f>SUM(J22,J48,J65,J81,J100,J124,J135,J139,J151,)</f>
        <v>0</v>
      </c>
      <c r="K175" s="213">
        <f>SUM(K22,K48,K65,K81,K100,K124,K135,K139,K151,K25)</f>
        <v>23.85</v>
      </c>
      <c r="L175" s="213">
        <f>SUM(L22,L48,L65,L81,L100,L124,L135,L139,L151,L25,L41,)</f>
        <v>510.01400000000001</v>
      </c>
      <c r="M175" s="1527">
        <f>SUM(M22,M48,M65,M81,M100,M124,M135,M139,M151,M25)</f>
        <v>0</v>
      </c>
      <c r="N175" s="2082">
        <f t="shared" si="108"/>
        <v>20.384234800838573</v>
      </c>
      <c r="O175" s="213">
        <f>SUM(O22,O48,O65,O81,O100,O124,O135,O139,O151,O25)</f>
        <v>0</v>
      </c>
      <c r="P175" s="1527">
        <f>SUM(P22,P48,P65,P81,P100,P124,P135,P139,P151,P25)</f>
        <v>0</v>
      </c>
      <c r="Q175" s="213">
        <f>SUM(Q22,Q48,Q65,Q81,Q100,Q124,Q135,Q139,Q151,Q25)</f>
        <v>0</v>
      </c>
      <c r="R175" s="1527">
        <f>SUM(R22,R48,R65,R81,R100,R124,R135,R139,R151,R25)</f>
        <v>0</v>
      </c>
      <c r="S175" s="217"/>
      <c r="T175" s="207"/>
      <c r="U175" s="207"/>
      <c r="V175" s="207"/>
      <c r="W175" s="207"/>
      <c r="X175" s="207"/>
      <c r="Y175" s="207"/>
      <c r="Z175" s="207"/>
      <c r="AA175" s="223"/>
      <c r="AB175" s="207"/>
    </row>
    <row r="176" spans="1:90" ht="45.6" customHeight="1">
      <c r="A176" s="222"/>
      <c r="B176" s="2829" t="s">
        <v>726</v>
      </c>
      <c r="C176" s="2829"/>
      <c r="D176" s="2829"/>
      <c r="E176" s="216">
        <v>0</v>
      </c>
      <c r="F176" s="260"/>
      <c r="G176" s="216">
        <v>0</v>
      </c>
      <c r="H176" s="213">
        <f>SUM(H125)</f>
        <v>129.036</v>
      </c>
      <c r="I176" s="291">
        <f t="shared" si="123"/>
        <v>-1</v>
      </c>
      <c r="J176" s="526">
        <f>SUM(J126,J137)</f>
        <v>0</v>
      </c>
      <c r="K176" s="213">
        <f>SUM(K126,K137)</f>
        <v>0</v>
      </c>
      <c r="L176" s="213">
        <f>SUM(L85)</f>
        <v>70.623999999999995</v>
      </c>
      <c r="M176" s="1527">
        <f>SUM(M126,M137)</f>
        <v>0</v>
      </c>
      <c r="N176" s="2082"/>
      <c r="O176" s="213">
        <f>SUM(O126,O137)</f>
        <v>0</v>
      </c>
      <c r="P176" s="1527">
        <f>SUM(P126,P137)</f>
        <v>0</v>
      </c>
      <c r="Q176" s="213">
        <f>SUM(Q126,Q137)</f>
        <v>0</v>
      </c>
      <c r="R176" s="1527">
        <f>SUM(R126,R137)</f>
        <v>0</v>
      </c>
      <c r="S176" s="217"/>
      <c r="T176" s="207"/>
      <c r="U176" s="207"/>
      <c r="V176" s="207"/>
      <c r="W176" s="207"/>
      <c r="X176" s="207"/>
      <c r="Y176" s="207"/>
      <c r="Z176" s="207"/>
      <c r="AA176" s="223"/>
      <c r="AB176" s="207"/>
    </row>
    <row r="177" spans="1:28" ht="33" customHeight="1">
      <c r="B177" s="2829" t="s">
        <v>1082</v>
      </c>
      <c r="C177" s="2829"/>
      <c r="D177" s="2829"/>
      <c r="E177" s="261" t="e">
        <f>SUM(E167,E176)</f>
        <v>#REF!</v>
      </c>
      <c r="F177" s="260" t="e">
        <f>H177/E177-1</f>
        <v>#REF!</v>
      </c>
      <c r="G177" s="261">
        <f t="shared" ref="G177" si="127">SUM(G167,G176)</f>
        <v>226.7</v>
      </c>
      <c r="H177" s="225" t="e">
        <f>SUM(H167,H176)</f>
        <v>#REF!</v>
      </c>
      <c r="I177" s="291" t="e">
        <f t="shared" si="123"/>
        <v>#REF!</v>
      </c>
      <c r="J177" s="559">
        <f t="shared" ref="J177:R177" si="128">SUM(J167,J176)</f>
        <v>1621.9134640000002</v>
      </c>
      <c r="K177" s="225">
        <f t="shared" si="128"/>
        <v>1808.8367319999998</v>
      </c>
      <c r="L177" s="225">
        <f t="shared" si="128"/>
        <v>2212.136</v>
      </c>
      <c r="M177" s="1539">
        <f t="shared" si="128"/>
        <v>2028.989</v>
      </c>
      <c r="N177" s="2237">
        <f t="shared" si="108"/>
        <v>0.22296056955570509</v>
      </c>
      <c r="O177" s="225">
        <f t="shared" si="128"/>
        <v>925.15300000000002</v>
      </c>
      <c r="P177" s="1539">
        <f t="shared" si="128"/>
        <v>916.86</v>
      </c>
      <c r="Q177" s="225">
        <f t="shared" si="128"/>
        <v>719.26100000000008</v>
      </c>
      <c r="R177" s="1539">
        <f t="shared" si="128"/>
        <v>710.96799999999996</v>
      </c>
      <c r="S177" s="223"/>
      <c r="T177" s="207"/>
      <c r="U177" s="207"/>
      <c r="V177" s="207"/>
      <c r="W177" s="207"/>
      <c r="X177" s="207"/>
      <c r="Y177" s="207"/>
      <c r="Z177" s="207"/>
      <c r="AA177" s="223"/>
      <c r="AB177" s="207"/>
    </row>
    <row r="178" spans="1:28" ht="27.6" customHeight="1">
      <c r="B178" s="2829" t="s">
        <v>1914</v>
      </c>
      <c r="C178" s="2829"/>
      <c r="D178" s="2829"/>
      <c r="E178" s="262">
        <v>0</v>
      </c>
      <c r="F178" s="259"/>
      <c r="G178" s="262">
        <v>0</v>
      </c>
      <c r="H178" s="225">
        <f>H86+H67</f>
        <v>0</v>
      </c>
      <c r="I178" s="291"/>
      <c r="J178" s="559">
        <f>SUM(J67,J86,)</f>
        <v>356.99400000000003</v>
      </c>
      <c r="K178" s="225">
        <f>SUM(K67,K86,)</f>
        <v>356.99400000000003</v>
      </c>
      <c r="L178" s="225">
        <f>SUM(L67,L86,)</f>
        <v>530.82899999999995</v>
      </c>
      <c r="M178" s="1539">
        <f>SUM(M67,M86,)</f>
        <v>460.20499999999998</v>
      </c>
      <c r="N178" s="2179">
        <f>(L178-K178)/K178</f>
        <v>0.48694095699087353</v>
      </c>
      <c r="O178" s="225">
        <f>SUM(O67,O86,)</f>
        <v>60</v>
      </c>
      <c r="P178" s="1539">
        <f>SUM(P67,P86,)</f>
        <v>60</v>
      </c>
      <c r="Q178" s="225">
        <f>SUM(Q67,Q86,)</f>
        <v>0</v>
      </c>
      <c r="R178" s="1539">
        <f>SUM(R67,R86,)</f>
        <v>0</v>
      </c>
      <c r="S178" s="223"/>
      <c r="T178" s="207"/>
      <c r="U178" s="207"/>
      <c r="V178" s="207"/>
      <c r="W178" s="207"/>
      <c r="X178" s="207"/>
      <c r="Y178" s="207"/>
      <c r="Z178" s="207"/>
      <c r="AA178" s="223"/>
      <c r="AB178" s="207"/>
    </row>
    <row r="179" spans="1:28" ht="35.4" customHeight="1">
      <c r="B179" s="2838" t="s">
        <v>727</v>
      </c>
      <c r="C179" s="2838"/>
      <c r="D179" s="2838"/>
      <c r="E179" s="262">
        <v>0</v>
      </c>
      <c r="F179" s="262"/>
      <c r="G179" s="262">
        <v>0</v>
      </c>
      <c r="H179" s="315">
        <v>2.71</v>
      </c>
      <c r="I179" s="315"/>
      <c r="J179" s="595" t="e">
        <f>J177/H177-1</f>
        <v>#REF!</v>
      </c>
      <c r="K179" s="315">
        <v>1.02</v>
      </c>
      <c r="L179" s="2180">
        <f>(L177-K177)/K177</f>
        <v>0.22296056955570509</v>
      </c>
      <c r="M179" s="1544"/>
      <c r="N179" s="2179"/>
      <c r="O179" s="315">
        <f>(O177-L177)/L177</f>
        <v>-0.58178294643728956</v>
      </c>
      <c r="P179" s="1544"/>
      <c r="Q179" s="315">
        <f>(Q177-O177)/O177</f>
        <v>-0.22254913511602939</v>
      </c>
      <c r="R179" s="1544"/>
      <c r="S179" s="223"/>
      <c r="T179" s="207"/>
      <c r="U179" s="207"/>
      <c r="V179" s="207"/>
      <c r="W179" s="207"/>
      <c r="X179" s="207"/>
      <c r="Y179" s="207"/>
      <c r="Z179" s="207"/>
      <c r="AA179" s="223"/>
      <c r="AB179" s="207"/>
    </row>
    <row r="180" spans="1:28" hidden="1">
      <c r="E180" s="221"/>
      <c r="F180" s="221"/>
    </row>
    <row r="181" spans="1:28" hidden="1">
      <c r="E181" s="221"/>
      <c r="F181" s="221"/>
      <c r="J181" s="356" t="s">
        <v>3558</v>
      </c>
      <c r="K181" s="1414">
        <v>63.78</v>
      </c>
    </row>
    <row r="182" spans="1:28" hidden="1">
      <c r="A182" s="3169"/>
      <c r="B182" s="3169"/>
      <c r="C182" s="3169"/>
      <c r="E182" s="221"/>
      <c r="F182" s="332"/>
      <c r="G182" s="332"/>
      <c r="H182" s="332">
        <v>54.8</v>
      </c>
      <c r="I182" s="332"/>
      <c r="J182" s="513"/>
      <c r="K182" s="1415"/>
    </row>
    <row r="183" spans="1:28" hidden="1">
      <c r="E183" s="221"/>
      <c r="F183" s="221"/>
      <c r="H183" s="333">
        <f>H182-H168-H175</f>
        <v>-19.539999999999992</v>
      </c>
      <c r="I183" s="333"/>
      <c r="J183" s="471"/>
      <c r="K183" s="1415"/>
    </row>
    <row r="184" spans="1:28" hidden="1">
      <c r="E184" s="221"/>
      <c r="F184" s="221"/>
      <c r="K184" s="1415"/>
    </row>
    <row r="185" spans="1:28" hidden="1">
      <c r="E185" s="221"/>
      <c r="F185" s="221"/>
      <c r="K185" s="1414">
        <f>K181-K168-K175</f>
        <v>-40.306999999999995</v>
      </c>
    </row>
    <row r="186" spans="1:28" hidden="1">
      <c r="E186" s="221"/>
      <c r="F186" s="221"/>
    </row>
    <row r="187" spans="1:28" hidden="1">
      <c r="E187" s="221"/>
      <c r="F187" s="221"/>
      <c r="K187" s="221">
        <v>427.26100000000002</v>
      </c>
      <c r="L187" s="802">
        <v>770.04600000000005</v>
      </c>
      <c r="M187" s="1628">
        <v>770.04600000000005</v>
      </c>
      <c r="N187" s="1459"/>
      <c r="O187" s="802">
        <v>405.98899999999998</v>
      </c>
      <c r="P187" s="1628">
        <v>405.98899999999998</v>
      </c>
      <c r="Q187" s="802">
        <v>405.98899999999998</v>
      </c>
      <c r="R187" s="1628">
        <v>405.98899999999998</v>
      </c>
    </row>
    <row r="188" spans="1:28" hidden="1">
      <c r="E188" s="221"/>
      <c r="F188" s="221"/>
      <c r="K188" s="333">
        <f>K177-K187</f>
        <v>1381.5757319999998</v>
      </c>
      <c r="L188" s="333">
        <f>L187-L177</f>
        <v>-1442.09</v>
      </c>
      <c r="M188" s="1629">
        <f>M187-M177</f>
        <v>-1258.943</v>
      </c>
      <c r="O188" s="333">
        <f>O177-O187</f>
        <v>519.16399999999999</v>
      </c>
      <c r="P188" s="1629">
        <f>P177-P187</f>
        <v>510.87100000000004</v>
      </c>
      <c r="Q188" s="333">
        <f>Q177-Q187</f>
        <v>313.27200000000011</v>
      </c>
      <c r="R188" s="1629">
        <f>R177-R187</f>
        <v>304.97899999999998</v>
      </c>
    </row>
    <row r="189" spans="1:28" hidden="1">
      <c r="E189" s="221"/>
      <c r="F189" s="221"/>
    </row>
    <row r="190" spans="1:28" hidden="1">
      <c r="E190" s="221"/>
      <c r="F190" s="221"/>
      <c r="J190" s="814" t="s">
        <v>3585</v>
      </c>
      <c r="K190" s="813">
        <f>K173-K188</f>
        <v>100.2940000000001</v>
      </c>
    </row>
    <row r="191" spans="1:28" hidden="1">
      <c r="E191" s="221"/>
      <c r="F191" s="221"/>
    </row>
    <row r="192" spans="1:28">
      <c r="E192" s="221"/>
      <c r="F192" s="221"/>
    </row>
    <row r="193" spans="5:18" hidden="1">
      <c r="E193" s="221"/>
      <c r="F193" s="221"/>
      <c r="L193" s="333">
        <f>SUM(L12,L95,)</f>
        <v>2212.136</v>
      </c>
      <c r="M193" s="333">
        <f t="shared" ref="M193:Q193" si="129">SUM(M12,M95,)</f>
        <v>2028.989</v>
      </c>
      <c r="N193" s="333" t="e">
        <f t="shared" si="129"/>
        <v>#DIV/0!</v>
      </c>
      <c r="O193" s="333">
        <f t="shared" si="129"/>
        <v>925.15300000000002</v>
      </c>
      <c r="P193" s="333">
        <f t="shared" si="129"/>
        <v>916.86000000000013</v>
      </c>
      <c r="Q193" s="333">
        <f t="shared" si="129"/>
        <v>719.26099999999997</v>
      </c>
    </row>
    <row r="194" spans="5:18" hidden="1">
      <c r="E194" s="221"/>
      <c r="F194" s="221"/>
      <c r="L194" s="333">
        <f>L177-L193</f>
        <v>0</v>
      </c>
      <c r="M194" s="221"/>
      <c r="N194" s="221"/>
      <c r="O194" s="333">
        <f>O177-O193</f>
        <v>0</v>
      </c>
      <c r="P194" s="221"/>
      <c r="Q194" s="333">
        <f>Q177-Q193</f>
        <v>0</v>
      </c>
    </row>
    <row r="195" spans="5:18" hidden="1">
      <c r="E195" s="221"/>
      <c r="F195" s="221"/>
    </row>
    <row r="196" spans="5:18" ht="25.95" hidden="1" customHeight="1">
      <c r="E196" s="221"/>
      <c r="F196" s="221"/>
      <c r="M196" s="669"/>
      <c r="N196" s="710"/>
      <c r="O196" s="1923" t="s">
        <v>4157</v>
      </c>
      <c r="P196" s="1923" t="s">
        <v>4159</v>
      </c>
      <c r="Q196" s="1923" t="s">
        <v>4158</v>
      </c>
      <c r="R196" s="278"/>
    </row>
    <row r="197" spans="5:18" ht="23.4" hidden="1" customHeight="1">
      <c r="E197" s="221"/>
      <c r="F197" s="221"/>
      <c r="M197" s="2748"/>
      <c r="N197" s="1923" t="s">
        <v>3508</v>
      </c>
      <c r="O197" s="1924">
        <f>SUM(K21,K24,K25,K33,K45,K96,)</f>
        <v>69.929999999999993</v>
      </c>
      <c r="P197" s="1924">
        <f>SUM(L21,L24,L25,L33,L45,L96,L40,L30,)</f>
        <v>76.06</v>
      </c>
      <c r="Q197" s="1924">
        <f>SUM(M21,M24,M25,M33,M45,M96,M40,M30,)</f>
        <v>426.065</v>
      </c>
      <c r="R197" s="1927">
        <f>SUM(P197-O197)/O197</f>
        <v>8.7659087659087809E-2</v>
      </c>
    </row>
    <row r="198" spans="5:18" ht="23.4" hidden="1" customHeight="1">
      <c r="E198" s="221"/>
      <c r="F198" s="221"/>
      <c r="M198" s="2748"/>
      <c r="N198" s="1923" t="s">
        <v>1487</v>
      </c>
      <c r="O198" s="1924">
        <f>SUM(K13,K14)</f>
        <v>25.307000000000002</v>
      </c>
      <c r="P198" s="1924">
        <f>SUM(L13,L14)</f>
        <v>12</v>
      </c>
      <c r="Q198" s="1924">
        <f>SUM(M13,M14)</f>
        <v>12</v>
      </c>
      <c r="R198" s="1927">
        <f t="shared" ref="R198:R199" si="130">SUM(P198-O198)/O198</f>
        <v>-0.52582289485122702</v>
      </c>
    </row>
    <row r="199" spans="5:18" ht="21.6" hidden="1" customHeight="1">
      <c r="E199" s="221"/>
      <c r="F199" s="221"/>
      <c r="M199" s="2748"/>
      <c r="N199" s="1923" t="s">
        <v>4155</v>
      </c>
      <c r="O199" s="1935">
        <f>SUM(K65,K64,K47,K48,)</f>
        <v>8.85</v>
      </c>
      <c r="P199" s="1935">
        <f>SUM(L65,L150,L99,L80,L64,L47,L48,)</f>
        <v>9</v>
      </c>
      <c r="Q199" s="1935">
        <f>SUM(M65,M150,M99,M80,M64,M47,M48,)</f>
        <v>15.013999999999999</v>
      </c>
      <c r="R199" s="1927">
        <f t="shared" si="130"/>
        <v>1.6949152542372923E-2</v>
      </c>
    </row>
    <row r="200" spans="5:18" hidden="1">
      <c r="E200" s="221"/>
      <c r="F200" s="221"/>
    </row>
    <row r="201" spans="5:18" hidden="1">
      <c r="E201" s="221"/>
      <c r="F201" s="221"/>
      <c r="O201" s="333">
        <f>SUM(O197,O199,O198)</f>
        <v>104.08699999999999</v>
      </c>
      <c r="P201" s="333">
        <f>P197+P199</f>
        <v>85.06</v>
      </c>
      <c r="Q201" s="333">
        <f>SUM(Q197,Q199,Q198)</f>
        <v>453.07900000000001</v>
      </c>
    </row>
    <row r="202" spans="5:18" hidden="1">
      <c r="E202" s="221"/>
      <c r="F202" s="221"/>
    </row>
    <row r="203" spans="5:18" hidden="1">
      <c r="E203" s="221"/>
      <c r="F203" s="221"/>
      <c r="O203" s="333">
        <f>O201-K168-K175</f>
        <v>0</v>
      </c>
      <c r="P203" s="333">
        <f>P201-L168-L175</f>
        <v>-478.01400000000001</v>
      </c>
      <c r="Q203" s="333">
        <f t="shared" ref="Q203" si="131">Q201-M168-M175</f>
        <v>-5.6843418860808015E-14</v>
      </c>
    </row>
    <row r="204" spans="5:18" hidden="1">
      <c r="E204" s="221"/>
      <c r="F204" s="221"/>
      <c r="O204" s="333"/>
    </row>
    <row r="205" spans="5:18" hidden="1">
      <c r="E205" s="221"/>
      <c r="F205" s="221"/>
    </row>
    <row r="206" spans="5:18" ht="52.8" hidden="1">
      <c r="E206" s="221"/>
      <c r="F206" s="221"/>
      <c r="L206" s="1921" t="s">
        <v>4171</v>
      </c>
      <c r="M206" s="1934">
        <f>P197-O197</f>
        <v>6.1300000000000097</v>
      </c>
      <c r="P206" s="1629">
        <f>SUM(O21,O24,O30,O33,O40,O45,O96,)</f>
        <v>371.96500000000003</v>
      </c>
      <c r="Q206" s="333">
        <f>SUM(Q21,Q24,Q30,Q33,Q40,Q45,Q96,)</f>
        <v>371.96500000000003</v>
      </c>
    </row>
    <row r="207" spans="5:18" ht="52.8" hidden="1">
      <c r="E207" s="221"/>
      <c r="F207" s="221"/>
      <c r="L207" s="1921" t="s">
        <v>4172</v>
      </c>
      <c r="M207" s="1919">
        <f>P199-O199</f>
        <v>0.15000000000000036</v>
      </c>
    </row>
    <row r="208" spans="5:18" hidden="1">
      <c r="E208" s="221"/>
      <c r="F208" s="221"/>
    </row>
    <row r="209" spans="5:13" ht="12" hidden="1">
      <c r="E209" s="221"/>
      <c r="F209" s="221"/>
      <c r="M209" s="1946">
        <f>SUM(M206,M207)</f>
        <v>6.28000000000001</v>
      </c>
    </row>
    <row r="210" spans="5:13" hidden="1">
      <c r="E210" s="221"/>
      <c r="F210" s="221"/>
    </row>
    <row r="211" spans="5:13" hidden="1">
      <c r="E211" s="221"/>
      <c r="F211" s="221"/>
    </row>
    <row r="212" spans="5:13" hidden="1">
      <c r="E212" s="221"/>
      <c r="F212" s="221"/>
    </row>
    <row r="213" spans="5:13" hidden="1">
      <c r="E213" s="221"/>
      <c r="F213" s="221"/>
    </row>
    <row r="214" spans="5:13" hidden="1">
      <c r="E214" s="221"/>
      <c r="F214" s="221"/>
    </row>
    <row r="215" spans="5:13" hidden="1">
      <c r="E215" s="221"/>
      <c r="F215" s="221"/>
    </row>
    <row r="216" spans="5:13" hidden="1">
      <c r="E216" s="221"/>
      <c r="F216" s="221"/>
    </row>
    <row r="217" spans="5:13">
      <c r="E217" s="221"/>
      <c r="F217" s="221"/>
    </row>
    <row r="218" spans="5:13">
      <c r="E218" s="221"/>
      <c r="F218" s="221"/>
    </row>
    <row r="219" spans="5:13">
      <c r="E219" s="221"/>
      <c r="F219" s="221"/>
    </row>
    <row r="220" spans="5:13">
      <c r="E220" s="221"/>
      <c r="F220" s="221"/>
    </row>
    <row r="221" spans="5:13">
      <c r="E221" s="221"/>
      <c r="F221" s="221"/>
    </row>
    <row r="222" spans="5:13">
      <c r="E222" s="221"/>
      <c r="F222" s="221"/>
    </row>
    <row r="223" spans="5:13">
      <c r="E223" s="221"/>
      <c r="F223" s="221"/>
    </row>
    <row r="224" spans="5:13">
      <c r="E224" s="221"/>
      <c r="F224" s="221"/>
    </row>
    <row r="225" spans="5:6">
      <c r="E225" s="221"/>
      <c r="F225" s="221"/>
    </row>
    <row r="226" spans="5:6">
      <c r="E226" s="221"/>
      <c r="F226" s="221"/>
    </row>
    <row r="227" spans="5:6">
      <c r="E227" s="221"/>
      <c r="F227" s="221"/>
    </row>
    <row r="228" spans="5:6">
      <c r="E228" s="221"/>
      <c r="F228" s="221"/>
    </row>
    <row r="229" spans="5:6">
      <c r="E229" s="221"/>
      <c r="F229" s="221"/>
    </row>
    <row r="230" spans="5:6">
      <c r="E230" s="221"/>
      <c r="F230" s="221"/>
    </row>
    <row r="231" spans="5:6">
      <c r="E231" s="221"/>
      <c r="F231" s="221"/>
    </row>
    <row r="232" spans="5:6">
      <c r="E232" s="221"/>
      <c r="F232" s="221"/>
    </row>
    <row r="233" spans="5:6">
      <c r="E233" s="221"/>
      <c r="F233" s="221"/>
    </row>
    <row r="234" spans="5:6">
      <c r="E234" s="221"/>
      <c r="F234" s="221"/>
    </row>
    <row r="235" spans="5:6">
      <c r="E235" s="221"/>
      <c r="F235" s="221"/>
    </row>
    <row r="236" spans="5:6">
      <c r="E236" s="221"/>
      <c r="F236" s="221"/>
    </row>
    <row r="237" spans="5:6">
      <c r="E237" s="221"/>
      <c r="F237" s="221"/>
    </row>
    <row r="238" spans="5:6">
      <c r="E238" s="221"/>
      <c r="F238" s="221"/>
    </row>
    <row r="239" spans="5:6">
      <c r="E239" s="221"/>
      <c r="F239" s="221"/>
    </row>
    <row r="240" spans="5:6">
      <c r="E240" s="221"/>
      <c r="F240" s="221"/>
    </row>
    <row r="241" spans="5:6">
      <c r="E241" s="221"/>
      <c r="F241" s="221"/>
    </row>
    <row r="242" spans="5:6">
      <c r="E242" s="221"/>
      <c r="F242" s="221"/>
    </row>
    <row r="243" spans="5:6">
      <c r="E243" s="221"/>
      <c r="F243" s="221"/>
    </row>
    <row r="244" spans="5:6">
      <c r="E244" s="221"/>
      <c r="F244" s="221"/>
    </row>
    <row r="245" spans="5:6">
      <c r="E245" s="221"/>
      <c r="F245" s="221"/>
    </row>
    <row r="246" spans="5:6">
      <c r="E246" s="221"/>
      <c r="F246" s="221"/>
    </row>
    <row r="247" spans="5:6">
      <c r="E247" s="221"/>
      <c r="F247" s="221"/>
    </row>
    <row r="248" spans="5:6">
      <c r="E248" s="221"/>
      <c r="F248" s="221"/>
    </row>
    <row r="249" spans="5:6">
      <c r="E249" s="221"/>
      <c r="F249" s="221"/>
    </row>
    <row r="250" spans="5:6">
      <c r="E250" s="221"/>
      <c r="F250" s="221"/>
    </row>
    <row r="251" spans="5:6">
      <c r="E251" s="221"/>
      <c r="F251" s="221"/>
    </row>
    <row r="252" spans="5:6">
      <c r="E252" s="221"/>
      <c r="F252" s="221"/>
    </row>
    <row r="253" spans="5:6">
      <c r="E253" s="221"/>
      <c r="F253" s="221"/>
    </row>
    <row r="254" spans="5:6">
      <c r="E254" s="221"/>
      <c r="F254" s="221"/>
    </row>
    <row r="255" spans="5:6">
      <c r="E255" s="221"/>
      <c r="F255" s="221"/>
    </row>
    <row r="256" spans="5:6">
      <c r="E256" s="221"/>
      <c r="F256" s="221"/>
    </row>
    <row r="257" spans="5:6">
      <c r="E257" s="221"/>
      <c r="F257" s="221"/>
    </row>
    <row r="258" spans="5:6">
      <c r="E258" s="221"/>
      <c r="F258" s="221"/>
    </row>
    <row r="259" spans="5:6">
      <c r="E259" s="221"/>
      <c r="F259" s="221"/>
    </row>
    <row r="260" spans="5:6">
      <c r="E260" s="221"/>
      <c r="F260" s="221"/>
    </row>
    <row r="261" spans="5:6">
      <c r="E261" s="221"/>
      <c r="F261" s="221"/>
    </row>
    <row r="262" spans="5:6">
      <c r="E262" s="221"/>
      <c r="F262" s="221"/>
    </row>
    <row r="263" spans="5:6">
      <c r="E263" s="221"/>
      <c r="F263" s="221"/>
    </row>
    <row r="264" spans="5:6">
      <c r="E264" s="221"/>
      <c r="F264" s="221"/>
    </row>
    <row r="265" spans="5:6">
      <c r="E265" s="221"/>
      <c r="F265" s="221"/>
    </row>
    <row r="266" spans="5:6">
      <c r="E266" s="221"/>
      <c r="F266" s="221"/>
    </row>
    <row r="267" spans="5:6">
      <c r="E267" s="221"/>
      <c r="F267" s="221"/>
    </row>
    <row r="268" spans="5:6">
      <c r="E268" s="221"/>
      <c r="F268" s="221"/>
    </row>
    <row r="269" spans="5:6">
      <c r="E269" s="221"/>
      <c r="F269" s="221"/>
    </row>
    <row r="270" spans="5:6">
      <c r="E270" s="221"/>
      <c r="F270" s="221"/>
    </row>
    <row r="271" spans="5:6">
      <c r="E271" s="221"/>
      <c r="F271" s="221"/>
    </row>
    <row r="272" spans="5:6">
      <c r="E272" s="221"/>
      <c r="F272" s="221"/>
    </row>
    <row r="273" spans="5:6">
      <c r="E273" s="221"/>
      <c r="F273" s="221"/>
    </row>
    <row r="274" spans="5:6">
      <c r="E274" s="221"/>
      <c r="F274" s="221"/>
    </row>
    <row r="275" spans="5:6">
      <c r="E275" s="221"/>
      <c r="F275" s="221"/>
    </row>
    <row r="276" spans="5:6">
      <c r="E276" s="221"/>
      <c r="F276" s="221"/>
    </row>
    <row r="277" spans="5:6">
      <c r="E277" s="221"/>
      <c r="F277" s="221"/>
    </row>
    <row r="278" spans="5:6">
      <c r="E278" s="221"/>
      <c r="F278" s="221"/>
    </row>
    <row r="279" spans="5:6">
      <c r="E279" s="221"/>
      <c r="F279" s="221"/>
    </row>
    <row r="280" spans="5:6">
      <c r="E280" s="221"/>
      <c r="F280" s="221"/>
    </row>
    <row r="281" spans="5:6">
      <c r="E281" s="221"/>
      <c r="F281" s="221"/>
    </row>
    <row r="282" spans="5:6">
      <c r="E282" s="221"/>
      <c r="F282" s="221"/>
    </row>
    <row r="283" spans="5:6">
      <c r="E283" s="221"/>
      <c r="F283" s="221"/>
    </row>
    <row r="284" spans="5:6">
      <c r="E284" s="221"/>
      <c r="F284" s="221"/>
    </row>
    <row r="285" spans="5:6">
      <c r="E285" s="221"/>
      <c r="F285" s="221"/>
    </row>
    <row r="286" spans="5:6">
      <c r="E286" s="221"/>
      <c r="F286" s="221"/>
    </row>
    <row r="287" spans="5:6">
      <c r="E287" s="221"/>
      <c r="F287" s="221"/>
    </row>
    <row r="288" spans="5:6">
      <c r="E288" s="221"/>
      <c r="F288" s="221"/>
    </row>
    <row r="289" spans="5:6">
      <c r="E289" s="221"/>
      <c r="F289" s="221"/>
    </row>
    <row r="290" spans="5:6">
      <c r="E290" s="221"/>
      <c r="F290" s="221"/>
    </row>
    <row r="291" spans="5:6">
      <c r="E291" s="221"/>
      <c r="F291" s="221"/>
    </row>
    <row r="292" spans="5:6">
      <c r="E292" s="221"/>
      <c r="F292" s="221"/>
    </row>
    <row r="293" spans="5:6">
      <c r="E293" s="221"/>
      <c r="F293" s="221"/>
    </row>
    <row r="294" spans="5:6">
      <c r="E294" s="221"/>
      <c r="F294" s="221"/>
    </row>
    <row r="295" spans="5:6">
      <c r="E295" s="221"/>
      <c r="F295" s="221"/>
    </row>
    <row r="296" spans="5:6">
      <c r="E296" s="221"/>
      <c r="F296" s="221"/>
    </row>
    <row r="297" spans="5:6">
      <c r="E297" s="221"/>
      <c r="F297" s="221"/>
    </row>
    <row r="298" spans="5:6">
      <c r="E298" s="221"/>
      <c r="F298" s="221"/>
    </row>
    <row r="299" spans="5:6">
      <c r="E299" s="221"/>
      <c r="F299" s="221"/>
    </row>
    <row r="300" spans="5:6">
      <c r="E300" s="221"/>
      <c r="F300" s="221"/>
    </row>
    <row r="301" spans="5:6">
      <c r="E301" s="221"/>
      <c r="F301" s="221"/>
    </row>
    <row r="302" spans="5:6">
      <c r="E302" s="221"/>
      <c r="F302" s="221"/>
    </row>
    <row r="303" spans="5:6">
      <c r="E303" s="221"/>
      <c r="F303" s="221"/>
    </row>
    <row r="304" spans="5:6">
      <c r="E304" s="221"/>
      <c r="F304" s="221"/>
    </row>
    <row r="305" spans="5:6">
      <c r="E305" s="221"/>
      <c r="F305" s="221"/>
    </row>
    <row r="306" spans="5:6">
      <c r="E306" s="221"/>
      <c r="F306" s="221"/>
    </row>
    <row r="307" spans="5:6">
      <c r="E307" s="221"/>
      <c r="F307" s="221"/>
    </row>
    <row r="308" spans="5:6">
      <c r="E308" s="221"/>
      <c r="F308" s="221"/>
    </row>
    <row r="309" spans="5:6">
      <c r="E309" s="221"/>
      <c r="F309" s="221"/>
    </row>
    <row r="310" spans="5:6">
      <c r="E310" s="221"/>
      <c r="F310" s="221"/>
    </row>
    <row r="311" spans="5:6">
      <c r="E311" s="221"/>
      <c r="F311" s="221"/>
    </row>
    <row r="312" spans="5:6">
      <c r="E312" s="221"/>
      <c r="F312" s="221"/>
    </row>
    <row r="313" spans="5:6">
      <c r="E313" s="221"/>
      <c r="F313" s="221"/>
    </row>
    <row r="314" spans="5:6">
      <c r="E314" s="221"/>
      <c r="F314" s="221"/>
    </row>
    <row r="315" spans="5:6">
      <c r="E315" s="221"/>
      <c r="F315" s="221"/>
    </row>
    <row r="316" spans="5:6">
      <c r="E316" s="221"/>
      <c r="F316" s="221"/>
    </row>
    <row r="317" spans="5:6">
      <c r="E317" s="221"/>
      <c r="F317" s="221"/>
    </row>
    <row r="318" spans="5:6">
      <c r="E318" s="221"/>
      <c r="F318" s="221"/>
    </row>
    <row r="319" spans="5:6">
      <c r="E319" s="221"/>
      <c r="F319" s="221"/>
    </row>
    <row r="320" spans="5:6">
      <c r="E320" s="221"/>
      <c r="F320" s="221"/>
    </row>
    <row r="321" spans="5:6">
      <c r="E321" s="221"/>
      <c r="F321" s="221"/>
    </row>
    <row r="322" spans="5:6">
      <c r="E322" s="221"/>
      <c r="F322" s="221"/>
    </row>
    <row r="323" spans="5:6">
      <c r="E323" s="221"/>
      <c r="F323" s="221"/>
    </row>
    <row r="324" spans="5:6">
      <c r="E324" s="221"/>
      <c r="F324" s="221"/>
    </row>
    <row r="325" spans="5:6">
      <c r="E325" s="221"/>
      <c r="F325" s="221"/>
    </row>
    <row r="326" spans="5:6">
      <c r="E326" s="221"/>
      <c r="F326" s="221"/>
    </row>
    <row r="327" spans="5:6">
      <c r="E327" s="221"/>
      <c r="F327" s="221"/>
    </row>
    <row r="328" spans="5:6">
      <c r="E328" s="221"/>
      <c r="F328" s="221"/>
    </row>
    <row r="329" spans="5:6">
      <c r="E329" s="221"/>
      <c r="F329" s="221"/>
    </row>
    <row r="330" spans="5:6">
      <c r="E330" s="221"/>
      <c r="F330" s="221"/>
    </row>
    <row r="331" spans="5:6">
      <c r="E331" s="221"/>
      <c r="F331" s="221"/>
    </row>
    <row r="332" spans="5:6">
      <c r="E332" s="221"/>
      <c r="F332" s="221"/>
    </row>
    <row r="333" spans="5:6">
      <c r="E333" s="221"/>
      <c r="F333" s="221"/>
    </row>
    <row r="334" spans="5:6">
      <c r="E334" s="221"/>
      <c r="F334" s="221"/>
    </row>
    <row r="335" spans="5:6">
      <c r="E335" s="221"/>
      <c r="F335" s="221"/>
    </row>
    <row r="336" spans="5:6">
      <c r="E336" s="221"/>
      <c r="F336" s="221"/>
    </row>
    <row r="337" spans="5:6">
      <c r="E337" s="221"/>
      <c r="F337" s="221"/>
    </row>
    <row r="338" spans="5:6">
      <c r="E338" s="221"/>
      <c r="F338" s="221"/>
    </row>
    <row r="339" spans="5:6">
      <c r="E339" s="221"/>
      <c r="F339" s="221"/>
    </row>
    <row r="340" spans="5:6">
      <c r="E340" s="221"/>
      <c r="F340" s="221"/>
    </row>
    <row r="341" spans="5:6">
      <c r="E341" s="221"/>
      <c r="F341" s="221"/>
    </row>
    <row r="342" spans="5:6">
      <c r="E342" s="221"/>
      <c r="F342" s="221"/>
    </row>
    <row r="343" spans="5:6">
      <c r="E343" s="221"/>
      <c r="F343" s="221"/>
    </row>
    <row r="344" spans="5:6">
      <c r="E344" s="221"/>
      <c r="F344" s="221"/>
    </row>
    <row r="345" spans="5:6">
      <c r="E345" s="221"/>
      <c r="F345" s="221"/>
    </row>
    <row r="346" spans="5:6">
      <c r="E346" s="221"/>
      <c r="F346" s="221"/>
    </row>
    <row r="347" spans="5:6">
      <c r="E347" s="221"/>
      <c r="F347" s="221"/>
    </row>
    <row r="348" spans="5:6">
      <c r="E348" s="221"/>
      <c r="F348" s="221"/>
    </row>
    <row r="349" spans="5:6">
      <c r="E349" s="221"/>
      <c r="F349" s="221"/>
    </row>
    <row r="350" spans="5:6">
      <c r="E350" s="221"/>
      <c r="F350" s="221"/>
    </row>
    <row r="351" spans="5:6">
      <c r="E351" s="221"/>
      <c r="F351" s="221"/>
    </row>
    <row r="352" spans="5:6">
      <c r="E352" s="221"/>
      <c r="F352" s="221"/>
    </row>
    <row r="353" spans="5:6">
      <c r="E353" s="221"/>
      <c r="F353" s="221"/>
    </row>
    <row r="354" spans="5:6">
      <c r="E354" s="221"/>
      <c r="F354" s="221"/>
    </row>
    <row r="355" spans="5:6">
      <c r="E355" s="221"/>
      <c r="F355" s="221"/>
    </row>
    <row r="356" spans="5:6">
      <c r="E356" s="221"/>
      <c r="F356" s="221"/>
    </row>
    <row r="357" spans="5:6">
      <c r="E357" s="221"/>
      <c r="F357" s="221"/>
    </row>
    <row r="358" spans="5:6">
      <c r="E358" s="221"/>
      <c r="F358" s="221"/>
    </row>
    <row r="359" spans="5:6">
      <c r="E359" s="221"/>
      <c r="F359" s="221"/>
    </row>
    <row r="360" spans="5:6">
      <c r="E360" s="221"/>
      <c r="F360" s="221"/>
    </row>
    <row r="361" spans="5:6">
      <c r="E361" s="221"/>
      <c r="F361" s="221"/>
    </row>
    <row r="362" spans="5:6">
      <c r="E362" s="221"/>
      <c r="F362" s="221"/>
    </row>
    <row r="363" spans="5:6">
      <c r="E363" s="221"/>
      <c r="F363" s="221"/>
    </row>
    <row r="364" spans="5:6">
      <c r="E364" s="221"/>
      <c r="F364" s="221"/>
    </row>
    <row r="365" spans="5:6">
      <c r="E365" s="221"/>
      <c r="F365" s="221"/>
    </row>
    <row r="366" spans="5:6">
      <c r="E366" s="221"/>
      <c r="F366" s="221"/>
    </row>
    <row r="367" spans="5:6">
      <c r="E367" s="221"/>
      <c r="F367" s="221"/>
    </row>
    <row r="368" spans="5:6">
      <c r="E368" s="221"/>
      <c r="F368" s="221"/>
    </row>
    <row r="369" spans="5:6">
      <c r="E369" s="221"/>
      <c r="F369" s="221"/>
    </row>
    <row r="370" spans="5:6">
      <c r="E370" s="221"/>
      <c r="F370" s="221"/>
    </row>
    <row r="371" spans="5:6">
      <c r="E371" s="221"/>
      <c r="F371" s="221"/>
    </row>
    <row r="372" spans="5:6">
      <c r="E372" s="221"/>
      <c r="F372" s="221"/>
    </row>
    <row r="373" spans="5:6">
      <c r="E373" s="221"/>
      <c r="F373" s="221"/>
    </row>
    <row r="374" spans="5:6">
      <c r="E374" s="221"/>
      <c r="F374" s="221"/>
    </row>
    <row r="375" spans="5:6">
      <c r="E375" s="221"/>
      <c r="F375" s="221"/>
    </row>
    <row r="376" spans="5:6">
      <c r="E376" s="221"/>
      <c r="F376" s="221"/>
    </row>
    <row r="377" spans="5:6">
      <c r="E377" s="221"/>
      <c r="F377" s="221"/>
    </row>
    <row r="378" spans="5:6">
      <c r="E378" s="221"/>
      <c r="F378" s="221"/>
    </row>
    <row r="379" spans="5:6">
      <c r="E379" s="221"/>
      <c r="F379" s="221"/>
    </row>
    <row r="380" spans="5:6">
      <c r="E380" s="221"/>
      <c r="F380" s="221"/>
    </row>
    <row r="381" spans="5:6">
      <c r="E381" s="221"/>
      <c r="F381" s="221"/>
    </row>
    <row r="382" spans="5:6">
      <c r="E382" s="221"/>
      <c r="F382" s="221"/>
    </row>
    <row r="383" spans="5:6">
      <c r="E383" s="221"/>
      <c r="F383" s="221"/>
    </row>
    <row r="384" spans="5:6">
      <c r="E384" s="221"/>
      <c r="F384" s="221"/>
    </row>
    <row r="385" spans="5:6">
      <c r="E385" s="221"/>
      <c r="F385" s="221"/>
    </row>
    <row r="386" spans="5:6">
      <c r="E386" s="221"/>
      <c r="F386" s="221"/>
    </row>
    <row r="387" spans="5:6">
      <c r="E387" s="221"/>
      <c r="F387" s="221"/>
    </row>
    <row r="388" spans="5:6">
      <c r="E388" s="221"/>
      <c r="F388" s="221"/>
    </row>
    <row r="389" spans="5:6">
      <c r="E389" s="221"/>
      <c r="F389" s="221"/>
    </row>
    <row r="390" spans="5:6">
      <c r="E390" s="221"/>
      <c r="F390" s="221"/>
    </row>
    <row r="391" spans="5:6">
      <c r="E391" s="221"/>
      <c r="F391" s="221"/>
    </row>
    <row r="392" spans="5:6">
      <c r="E392" s="221"/>
      <c r="F392" s="221"/>
    </row>
    <row r="393" spans="5:6">
      <c r="E393" s="221"/>
      <c r="F393" s="221"/>
    </row>
    <row r="394" spans="5:6">
      <c r="E394" s="221"/>
      <c r="F394" s="221"/>
    </row>
    <row r="395" spans="5:6">
      <c r="E395" s="221"/>
      <c r="F395" s="221"/>
    </row>
    <row r="396" spans="5:6">
      <c r="E396" s="221"/>
      <c r="F396" s="221"/>
    </row>
    <row r="397" spans="5:6">
      <c r="E397" s="221"/>
      <c r="F397" s="221"/>
    </row>
    <row r="398" spans="5:6">
      <c r="E398" s="221"/>
      <c r="F398" s="221"/>
    </row>
    <row r="399" spans="5:6">
      <c r="E399" s="221"/>
      <c r="F399" s="221"/>
    </row>
    <row r="400" spans="5:6">
      <c r="E400" s="221"/>
      <c r="F400" s="221"/>
    </row>
    <row r="401" spans="5:6">
      <c r="E401" s="221"/>
      <c r="F401" s="221"/>
    </row>
    <row r="402" spans="5:6">
      <c r="E402" s="221"/>
      <c r="F402" s="221"/>
    </row>
    <row r="403" spans="5:6">
      <c r="E403" s="221"/>
      <c r="F403" s="221"/>
    </row>
    <row r="404" spans="5:6">
      <c r="E404" s="221"/>
      <c r="F404" s="221"/>
    </row>
    <row r="405" spans="5:6">
      <c r="E405" s="221"/>
      <c r="F405" s="221"/>
    </row>
    <row r="406" spans="5:6">
      <c r="E406" s="221"/>
      <c r="F406" s="221"/>
    </row>
    <row r="407" spans="5:6">
      <c r="E407" s="221"/>
      <c r="F407" s="221"/>
    </row>
    <row r="408" spans="5:6">
      <c r="E408" s="221"/>
      <c r="F408" s="221"/>
    </row>
    <row r="409" spans="5:6">
      <c r="E409" s="221"/>
      <c r="F409" s="221"/>
    </row>
    <row r="410" spans="5:6">
      <c r="E410" s="221"/>
      <c r="F410" s="221"/>
    </row>
    <row r="411" spans="5:6">
      <c r="E411" s="221"/>
      <c r="F411" s="221"/>
    </row>
    <row r="412" spans="5:6">
      <c r="E412" s="221"/>
      <c r="F412" s="221"/>
    </row>
    <row r="413" spans="5:6">
      <c r="E413" s="221"/>
      <c r="F413" s="221"/>
    </row>
    <row r="414" spans="5:6">
      <c r="E414" s="221"/>
      <c r="F414" s="221"/>
    </row>
    <row r="415" spans="5:6">
      <c r="E415" s="221"/>
      <c r="F415" s="221"/>
    </row>
    <row r="416" spans="5:6">
      <c r="E416" s="221"/>
      <c r="F416" s="221"/>
    </row>
    <row r="417" spans="5:6">
      <c r="E417" s="221"/>
      <c r="F417" s="221"/>
    </row>
    <row r="418" spans="5:6">
      <c r="E418" s="221"/>
      <c r="F418" s="221"/>
    </row>
    <row r="419" spans="5:6">
      <c r="E419" s="221"/>
      <c r="F419" s="221"/>
    </row>
    <row r="420" spans="5:6">
      <c r="E420" s="221"/>
      <c r="F420" s="221"/>
    </row>
    <row r="421" spans="5:6">
      <c r="E421" s="221"/>
      <c r="F421" s="221"/>
    </row>
    <row r="422" spans="5:6">
      <c r="E422" s="221"/>
      <c r="F422" s="221"/>
    </row>
    <row r="423" spans="5:6">
      <c r="E423" s="221"/>
      <c r="F423" s="221"/>
    </row>
    <row r="424" spans="5:6">
      <c r="E424" s="221"/>
      <c r="F424" s="221"/>
    </row>
    <row r="425" spans="5:6">
      <c r="E425" s="221"/>
      <c r="F425" s="221"/>
    </row>
    <row r="426" spans="5:6">
      <c r="E426" s="221"/>
      <c r="F426" s="221"/>
    </row>
    <row r="427" spans="5:6">
      <c r="E427" s="221"/>
      <c r="F427" s="221"/>
    </row>
    <row r="428" spans="5:6">
      <c r="E428" s="221"/>
      <c r="F428" s="221"/>
    </row>
    <row r="429" spans="5:6">
      <c r="E429" s="221"/>
      <c r="F429" s="221"/>
    </row>
    <row r="430" spans="5:6">
      <c r="E430" s="221"/>
      <c r="F430" s="221"/>
    </row>
    <row r="431" spans="5:6">
      <c r="E431" s="221"/>
      <c r="F431" s="221"/>
    </row>
    <row r="432" spans="5:6">
      <c r="E432" s="221"/>
      <c r="F432" s="221"/>
    </row>
    <row r="433" spans="5:6">
      <c r="E433" s="221"/>
      <c r="F433" s="221"/>
    </row>
    <row r="434" spans="5:6">
      <c r="E434" s="221"/>
      <c r="F434" s="221"/>
    </row>
    <row r="435" spans="5:6">
      <c r="E435" s="221"/>
      <c r="F435" s="221"/>
    </row>
    <row r="436" spans="5:6">
      <c r="E436" s="221"/>
      <c r="F436" s="221"/>
    </row>
    <row r="437" spans="5:6">
      <c r="E437" s="221"/>
      <c r="F437" s="221"/>
    </row>
    <row r="438" spans="5:6">
      <c r="E438" s="221"/>
      <c r="F438" s="221"/>
    </row>
    <row r="439" spans="5:6">
      <c r="E439" s="221"/>
      <c r="F439" s="221"/>
    </row>
    <row r="440" spans="5:6">
      <c r="E440" s="221"/>
      <c r="F440" s="221"/>
    </row>
    <row r="441" spans="5:6">
      <c r="E441" s="221"/>
      <c r="F441" s="221"/>
    </row>
    <row r="442" spans="5:6">
      <c r="E442" s="221"/>
      <c r="F442" s="221"/>
    </row>
    <row r="443" spans="5:6">
      <c r="E443" s="221"/>
      <c r="F443" s="221"/>
    </row>
    <row r="444" spans="5:6">
      <c r="E444" s="221"/>
      <c r="F444" s="221"/>
    </row>
    <row r="445" spans="5:6">
      <c r="E445" s="221"/>
      <c r="F445" s="221"/>
    </row>
    <row r="446" spans="5:6">
      <c r="E446" s="221"/>
      <c r="F446" s="221"/>
    </row>
    <row r="447" spans="5:6">
      <c r="E447" s="221"/>
      <c r="F447" s="221"/>
    </row>
    <row r="448" spans="5:6">
      <c r="E448" s="221"/>
      <c r="F448" s="221"/>
    </row>
    <row r="449" spans="5:6">
      <c r="E449" s="221"/>
      <c r="F449" s="221"/>
    </row>
    <row r="450" spans="5:6">
      <c r="E450" s="221"/>
      <c r="F450" s="221"/>
    </row>
    <row r="451" spans="5:6">
      <c r="E451" s="221"/>
      <c r="F451" s="221"/>
    </row>
    <row r="452" spans="5:6">
      <c r="E452" s="221"/>
      <c r="F452" s="221"/>
    </row>
    <row r="453" spans="5:6">
      <c r="E453" s="221"/>
      <c r="F453" s="221"/>
    </row>
    <row r="454" spans="5:6">
      <c r="E454" s="221"/>
      <c r="F454" s="221"/>
    </row>
    <row r="455" spans="5:6">
      <c r="E455" s="221"/>
      <c r="F455" s="221"/>
    </row>
    <row r="456" spans="5:6">
      <c r="E456" s="221"/>
      <c r="F456" s="221"/>
    </row>
    <row r="457" spans="5:6">
      <c r="E457" s="221"/>
      <c r="F457" s="221"/>
    </row>
    <row r="458" spans="5:6">
      <c r="E458" s="221"/>
      <c r="F458" s="221"/>
    </row>
    <row r="459" spans="5:6">
      <c r="E459" s="221"/>
      <c r="F459" s="221"/>
    </row>
    <row r="460" spans="5:6">
      <c r="E460" s="221"/>
      <c r="F460" s="221"/>
    </row>
    <row r="461" spans="5:6">
      <c r="E461" s="221"/>
      <c r="F461" s="221"/>
    </row>
    <row r="462" spans="5:6">
      <c r="E462" s="221"/>
      <c r="F462" s="221"/>
    </row>
    <row r="463" spans="5:6">
      <c r="E463" s="221"/>
      <c r="F463" s="221"/>
    </row>
    <row r="464" spans="5:6">
      <c r="E464" s="221"/>
      <c r="F464" s="221"/>
    </row>
    <row r="465" spans="5:6">
      <c r="E465" s="221"/>
      <c r="F465" s="221"/>
    </row>
    <row r="466" spans="5:6">
      <c r="E466" s="221"/>
      <c r="F466" s="221"/>
    </row>
    <row r="467" spans="5:6">
      <c r="E467" s="221"/>
      <c r="F467" s="221"/>
    </row>
    <row r="468" spans="5:6">
      <c r="E468" s="221"/>
      <c r="F468" s="221"/>
    </row>
    <row r="469" spans="5:6">
      <c r="E469" s="221"/>
      <c r="F469" s="221"/>
    </row>
    <row r="470" spans="5:6">
      <c r="E470" s="221"/>
      <c r="F470" s="221"/>
    </row>
    <row r="471" spans="5:6">
      <c r="E471" s="221"/>
      <c r="F471" s="221"/>
    </row>
    <row r="472" spans="5:6">
      <c r="E472" s="221"/>
      <c r="F472" s="221"/>
    </row>
    <row r="473" spans="5:6">
      <c r="E473" s="221"/>
      <c r="F473" s="221"/>
    </row>
    <row r="474" spans="5:6">
      <c r="E474" s="221"/>
      <c r="F474" s="221"/>
    </row>
    <row r="475" spans="5:6">
      <c r="E475" s="221"/>
      <c r="F475" s="221"/>
    </row>
    <row r="476" spans="5:6">
      <c r="E476" s="221"/>
      <c r="F476" s="221"/>
    </row>
    <row r="477" spans="5:6">
      <c r="E477" s="221"/>
      <c r="F477" s="221"/>
    </row>
    <row r="478" spans="5:6">
      <c r="E478" s="221"/>
      <c r="F478" s="221"/>
    </row>
    <row r="479" spans="5:6">
      <c r="E479" s="221"/>
      <c r="F479" s="221"/>
    </row>
    <row r="480" spans="5:6">
      <c r="E480" s="221"/>
      <c r="F480" s="221"/>
    </row>
    <row r="481" spans="5:6">
      <c r="E481" s="221"/>
      <c r="F481" s="221"/>
    </row>
    <row r="482" spans="5:6">
      <c r="E482" s="221"/>
      <c r="F482" s="221"/>
    </row>
    <row r="483" spans="5:6">
      <c r="E483" s="221"/>
      <c r="F483" s="221"/>
    </row>
    <row r="484" spans="5:6">
      <c r="E484" s="221"/>
      <c r="F484" s="221"/>
    </row>
    <row r="485" spans="5:6">
      <c r="E485" s="221"/>
      <c r="F485" s="221"/>
    </row>
    <row r="486" spans="5:6">
      <c r="E486" s="221"/>
      <c r="F486" s="221"/>
    </row>
    <row r="487" spans="5:6">
      <c r="E487" s="221"/>
      <c r="F487" s="221"/>
    </row>
    <row r="488" spans="5:6">
      <c r="E488" s="221"/>
      <c r="F488" s="221"/>
    </row>
    <row r="489" spans="5:6">
      <c r="E489" s="221"/>
      <c r="F489" s="221"/>
    </row>
    <row r="490" spans="5:6">
      <c r="E490" s="221"/>
      <c r="F490" s="221"/>
    </row>
    <row r="491" spans="5:6">
      <c r="E491" s="221"/>
      <c r="F491" s="221"/>
    </row>
    <row r="492" spans="5:6">
      <c r="E492" s="221"/>
      <c r="F492" s="221"/>
    </row>
    <row r="493" spans="5:6">
      <c r="E493" s="221"/>
      <c r="F493" s="221"/>
    </row>
    <row r="494" spans="5:6">
      <c r="E494" s="221"/>
      <c r="F494" s="221"/>
    </row>
    <row r="495" spans="5:6">
      <c r="E495" s="221"/>
      <c r="F495" s="221"/>
    </row>
    <row r="496" spans="5:6">
      <c r="E496" s="221"/>
      <c r="F496" s="221"/>
    </row>
    <row r="497" spans="5:6">
      <c r="E497" s="221"/>
      <c r="F497" s="221"/>
    </row>
    <row r="498" spans="5:6">
      <c r="E498" s="221"/>
      <c r="F498" s="221"/>
    </row>
    <row r="499" spans="5:6">
      <c r="E499" s="221"/>
      <c r="F499" s="221"/>
    </row>
    <row r="500" spans="5:6">
      <c r="E500" s="221"/>
      <c r="F500" s="221"/>
    </row>
    <row r="501" spans="5:6">
      <c r="E501" s="221"/>
      <c r="F501" s="221"/>
    </row>
    <row r="502" spans="5:6">
      <c r="E502" s="221"/>
      <c r="F502" s="221"/>
    </row>
    <row r="503" spans="5:6">
      <c r="E503" s="221"/>
      <c r="F503" s="221"/>
    </row>
    <row r="504" spans="5:6">
      <c r="E504" s="221"/>
      <c r="F504" s="221"/>
    </row>
    <row r="505" spans="5:6">
      <c r="E505" s="221"/>
      <c r="F505" s="221"/>
    </row>
    <row r="506" spans="5:6">
      <c r="E506" s="221"/>
      <c r="F506" s="221"/>
    </row>
    <row r="507" spans="5:6">
      <c r="E507" s="221"/>
      <c r="F507" s="221"/>
    </row>
    <row r="508" spans="5:6">
      <c r="E508" s="221"/>
      <c r="F508" s="221"/>
    </row>
    <row r="509" spans="5:6">
      <c r="E509" s="221"/>
      <c r="F509" s="221"/>
    </row>
    <row r="510" spans="5:6">
      <c r="E510" s="221"/>
      <c r="F510" s="221"/>
    </row>
    <row r="511" spans="5:6">
      <c r="E511" s="221"/>
      <c r="F511" s="221"/>
    </row>
    <row r="512" spans="5:6">
      <c r="E512" s="221"/>
      <c r="F512" s="221"/>
    </row>
    <row r="513" spans="5:6">
      <c r="E513" s="221"/>
      <c r="F513" s="221"/>
    </row>
    <row r="514" spans="5:6">
      <c r="E514" s="221"/>
      <c r="F514" s="221"/>
    </row>
    <row r="515" spans="5:6">
      <c r="E515" s="221"/>
      <c r="F515" s="221"/>
    </row>
    <row r="516" spans="5:6">
      <c r="E516" s="221"/>
      <c r="F516" s="221"/>
    </row>
    <row r="517" spans="5:6">
      <c r="E517" s="221"/>
      <c r="F517" s="221"/>
    </row>
    <row r="518" spans="5:6">
      <c r="E518" s="221"/>
      <c r="F518" s="221"/>
    </row>
    <row r="519" spans="5:6">
      <c r="E519" s="221"/>
      <c r="F519" s="221"/>
    </row>
    <row r="520" spans="5:6">
      <c r="E520" s="221"/>
      <c r="F520" s="221"/>
    </row>
    <row r="521" spans="5:6">
      <c r="E521" s="221"/>
      <c r="F521" s="221"/>
    </row>
    <row r="522" spans="5:6">
      <c r="E522" s="221"/>
      <c r="F522" s="221"/>
    </row>
    <row r="523" spans="5:6">
      <c r="E523" s="221"/>
      <c r="F523" s="221"/>
    </row>
    <row r="524" spans="5:6">
      <c r="E524" s="221"/>
      <c r="F524" s="221"/>
    </row>
    <row r="525" spans="5:6">
      <c r="E525" s="221"/>
      <c r="F525" s="221"/>
    </row>
    <row r="526" spans="5:6">
      <c r="E526" s="221"/>
      <c r="F526" s="221"/>
    </row>
    <row r="527" spans="5:6">
      <c r="E527" s="221"/>
      <c r="F527" s="221"/>
    </row>
    <row r="528" spans="5:6">
      <c r="E528" s="221"/>
      <c r="F528" s="221"/>
    </row>
    <row r="529" spans="5:6">
      <c r="E529" s="221"/>
      <c r="F529" s="221"/>
    </row>
    <row r="530" spans="5:6">
      <c r="E530" s="221"/>
      <c r="F530" s="221"/>
    </row>
    <row r="531" spans="5:6">
      <c r="E531" s="221"/>
      <c r="F531" s="221"/>
    </row>
    <row r="532" spans="5:6">
      <c r="E532" s="221"/>
      <c r="F532" s="221"/>
    </row>
    <row r="533" spans="5:6">
      <c r="E533" s="221"/>
      <c r="F533" s="221"/>
    </row>
    <row r="534" spans="5:6">
      <c r="E534" s="221"/>
      <c r="F534" s="221"/>
    </row>
    <row r="535" spans="5:6">
      <c r="E535" s="221"/>
      <c r="F535" s="221"/>
    </row>
    <row r="536" spans="5:6">
      <c r="E536" s="221"/>
      <c r="F536" s="221"/>
    </row>
    <row r="537" spans="5:6">
      <c r="E537" s="221"/>
      <c r="F537" s="221"/>
    </row>
    <row r="538" spans="5:6">
      <c r="E538" s="221"/>
      <c r="F538" s="221"/>
    </row>
    <row r="539" spans="5:6">
      <c r="E539" s="221"/>
      <c r="F539" s="221"/>
    </row>
    <row r="540" spans="5:6">
      <c r="E540" s="221"/>
      <c r="F540" s="221"/>
    </row>
    <row r="541" spans="5:6">
      <c r="E541" s="221"/>
      <c r="F541" s="221"/>
    </row>
    <row r="542" spans="5:6">
      <c r="E542" s="221"/>
      <c r="F542" s="221"/>
    </row>
    <row r="543" spans="5:6">
      <c r="E543" s="221"/>
      <c r="F543" s="221"/>
    </row>
    <row r="544" spans="5:6">
      <c r="E544" s="221"/>
      <c r="F544" s="221"/>
    </row>
    <row r="545" spans="5:6">
      <c r="E545" s="221"/>
      <c r="F545" s="221"/>
    </row>
    <row r="546" spans="5:6">
      <c r="E546" s="221"/>
      <c r="F546" s="221"/>
    </row>
    <row r="547" spans="5:6">
      <c r="E547" s="221"/>
      <c r="F547" s="221"/>
    </row>
    <row r="548" spans="5:6">
      <c r="E548" s="221"/>
      <c r="F548" s="221"/>
    </row>
    <row r="549" spans="5:6">
      <c r="E549" s="221"/>
      <c r="F549" s="221"/>
    </row>
    <row r="550" spans="5:6">
      <c r="E550" s="221"/>
      <c r="F550" s="221"/>
    </row>
    <row r="551" spans="5:6">
      <c r="E551" s="221"/>
      <c r="F551" s="221"/>
    </row>
    <row r="552" spans="5:6">
      <c r="E552" s="221"/>
      <c r="F552" s="221"/>
    </row>
    <row r="553" spans="5:6">
      <c r="E553" s="221"/>
      <c r="F553" s="221"/>
    </row>
    <row r="554" spans="5:6">
      <c r="E554" s="221"/>
      <c r="F554" s="221"/>
    </row>
    <row r="555" spans="5:6">
      <c r="E555" s="221"/>
      <c r="F555" s="221"/>
    </row>
    <row r="556" spans="5:6">
      <c r="E556" s="221"/>
      <c r="F556" s="221"/>
    </row>
    <row r="557" spans="5:6">
      <c r="E557" s="221"/>
      <c r="F557" s="221"/>
    </row>
    <row r="558" spans="5:6">
      <c r="E558" s="221"/>
      <c r="F558" s="221"/>
    </row>
    <row r="559" spans="5:6">
      <c r="E559" s="221"/>
      <c r="F559" s="221"/>
    </row>
    <row r="560" spans="5:6">
      <c r="E560" s="221"/>
      <c r="F560" s="221"/>
    </row>
    <row r="561" spans="5:6">
      <c r="E561" s="221"/>
      <c r="F561" s="221"/>
    </row>
    <row r="562" spans="5:6">
      <c r="E562" s="221"/>
      <c r="F562" s="221"/>
    </row>
    <row r="563" spans="5:6">
      <c r="E563" s="221"/>
      <c r="F563" s="221"/>
    </row>
    <row r="564" spans="5:6">
      <c r="E564" s="221"/>
      <c r="F564" s="221"/>
    </row>
    <row r="565" spans="5:6">
      <c r="E565" s="221"/>
      <c r="F565" s="221"/>
    </row>
    <row r="566" spans="5:6">
      <c r="E566" s="221"/>
      <c r="F566" s="221"/>
    </row>
    <row r="567" spans="5:6">
      <c r="E567" s="221"/>
      <c r="F567" s="221"/>
    </row>
    <row r="568" spans="5:6">
      <c r="E568" s="221"/>
      <c r="F568" s="221"/>
    </row>
    <row r="569" spans="5:6">
      <c r="E569" s="221"/>
      <c r="F569" s="221"/>
    </row>
    <row r="570" spans="5:6">
      <c r="E570" s="221"/>
      <c r="F570" s="221"/>
    </row>
    <row r="571" spans="5:6">
      <c r="E571" s="221"/>
      <c r="F571" s="221"/>
    </row>
    <row r="572" spans="5:6">
      <c r="E572" s="221"/>
      <c r="F572" s="221"/>
    </row>
    <row r="573" spans="5:6">
      <c r="E573" s="221"/>
      <c r="F573" s="221"/>
    </row>
    <row r="574" spans="5:6">
      <c r="E574" s="221"/>
      <c r="F574" s="221"/>
    </row>
    <row r="575" spans="5:6">
      <c r="E575" s="221"/>
      <c r="F575" s="221"/>
    </row>
    <row r="576" spans="5:6">
      <c r="E576" s="221"/>
      <c r="F576" s="221"/>
    </row>
    <row r="577" spans="5:6">
      <c r="E577" s="221"/>
      <c r="F577" s="221"/>
    </row>
    <row r="578" spans="5:6">
      <c r="E578" s="221"/>
      <c r="F578" s="221"/>
    </row>
    <row r="579" spans="5:6">
      <c r="E579" s="221"/>
      <c r="F579" s="221"/>
    </row>
    <row r="580" spans="5:6">
      <c r="E580" s="221"/>
      <c r="F580" s="221"/>
    </row>
    <row r="581" spans="5:6">
      <c r="E581" s="221"/>
      <c r="F581" s="221"/>
    </row>
    <row r="582" spans="5:6">
      <c r="E582" s="221"/>
      <c r="F582" s="221"/>
    </row>
    <row r="583" spans="5:6">
      <c r="E583" s="221"/>
      <c r="F583" s="221"/>
    </row>
    <row r="584" spans="5:6">
      <c r="E584" s="221"/>
      <c r="F584" s="221"/>
    </row>
    <row r="585" spans="5:6">
      <c r="E585" s="221"/>
      <c r="F585" s="221"/>
    </row>
    <row r="586" spans="5:6">
      <c r="E586" s="221"/>
      <c r="F586" s="221"/>
    </row>
    <row r="587" spans="5:6">
      <c r="E587" s="221"/>
      <c r="F587" s="221"/>
    </row>
    <row r="588" spans="5:6">
      <c r="E588" s="221"/>
      <c r="F588" s="221"/>
    </row>
    <row r="589" spans="5:6">
      <c r="E589" s="221"/>
      <c r="F589" s="221"/>
    </row>
    <row r="590" spans="5:6">
      <c r="E590" s="221"/>
      <c r="F590" s="221"/>
    </row>
    <row r="591" spans="5:6">
      <c r="E591" s="221"/>
      <c r="F591" s="221"/>
    </row>
    <row r="592" spans="5:6">
      <c r="E592" s="221"/>
      <c r="F592" s="221"/>
    </row>
    <row r="593" spans="5:6">
      <c r="E593" s="221"/>
      <c r="F593" s="221"/>
    </row>
    <row r="594" spans="5:6">
      <c r="E594" s="221"/>
      <c r="F594" s="221"/>
    </row>
    <row r="595" spans="5:6">
      <c r="E595" s="221"/>
      <c r="F595" s="221"/>
    </row>
    <row r="596" spans="5:6">
      <c r="E596" s="221"/>
      <c r="F596" s="221"/>
    </row>
    <row r="597" spans="5:6">
      <c r="E597" s="221"/>
      <c r="F597" s="221"/>
    </row>
    <row r="598" spans="5:6">
      <c r="E598" s="221"/>
      <c r="F598" s="221"/>
    </row>
    <row r="599" spans="5:6">
      <c r="E599" s="221"/>
      <c r="F599" s="221"/>
    </row>
    <row r="600" spans="5:6">
      <c r="E600" s="221"/>
      <c r="F600" s="221"/>
    </row>
    <row r="601" spans="5:6">
      <c r="E601" s="221"/>
      <c r="F601" s="221"/>
    </row>
    <row r="602" spans="5:6">
      <c r="E602" s="221"/>
      <c r="F602" s="221"/>
    </row>
    <row r="603" spans="5:6">
      <c r="E603" s="221"/>
      <c r="F603" s="221"/>
    </row>
    <row r="604" spans="5:6">
      <c r="E604" s="221"/>
      <c r="F604" s="221"/>
    </row>
    <row r="605" spans="5:6">
      <c r="E605" s="221"/>
      <c r="F605" s="221"/>
    </row>
    <row r="606" spans="5:6">
      <c r="E606" s="221"/>
      <c r="F606" s="221"/>
    </row>
    <row r="607" spans="5:6">
      <c r="E607" s="221"/>
      <c r="F607" s="221"/>
    </row>
    <row r="608" spans="5:6">
      <c r="E608" s="221"/>
      <c r="F608" s="221"/>
    </row>
    <row r="609" spans="5:6">
      <c r="E609" s="221"/>
      <c r="F609" s="221"/>
    </row>
    <row r="610" spans="5:6">
      <c r="E610" s="221"/>
      <c r="F610" s="221"/>
    </row>
    <row r="611" spans="5:6">
      <c r="E611" s="221"/>
      <c r="F611" s="221"/>
    </row>
    <row r="612" spans="5:6">
      <c r="E612" s="221"/>
      <c r="F612" s="221"/>
    </row>
    <row r="613" spans="5:6">
      <c r="E613" s="221"/>
      <c r="F613" s="221"/>
    </row>
    <row r="614" spans="5:6">
      <c r="E614" s="221"/>
      <c r="F614" s="221"/>
    </row>
    <row r="615" spans="5:6">
      <c r="E615" s="221"/>
      <c r="F615" s="221"/>
    </row>
    <row r="616" spans="5:6">
      <c r="E616" s="221"/>
      <c r="F616" s="221"/>
    </row>
    <row r="617" spans="5:6">
      <c r="E617" s="221"/>
      <c r="F617" s="221"/>
    </row>
    <row r="618" spans="5:6">
      <c r="E618" s="221"/>
      <c r="F618" s="221"/>
    </row>
    <row r="619" spans="5:6">
      <c r="E619" s="221"/>
      <c r="F619" s="221"/>
    </row>
    <row r="620" spans="5:6">
      <c r="E620" s="221"/>
      <c r="F620" s="221"/>
    </row>
    <row r="621" spans="5:6">
      <c r="E621" s="221"/>
      <c r="F621" s="221"/>
    </row>
    <row r="622" spans="5:6">
      <c r="E622" s="221"/>
      <c r="F622" s="221"/>
    </row>
    <row r="623" spans="5:6">
      <c r="E623" s="221"/>
      <c r="F623" s="221"/>
    </row>
    <row r="624" spans="5:6">
      <c r="E624" s="221"/>
      <c r="F624" s="221"/>
    </row>
    <row r="625" spans="5:6">
      <c r="E625" s="221"/>
      <c r="F625" s="221"/>
    </row>
    <row r="626" spans="5:6">
      <c r="E626" s="221"/>
      <c r="F626" s="221"/>
    </row>
    <row r="627" spans="5:6">
      <c r="E627" s="221"/>
      <c r="F627" s="221"/>
    </row>
    <row r="628" spans="5:6">
      <c r="E628" s="221"/>
      <c r="F628" s="221"/>
    </row>
    <row r="629" spans="5:6">
      <c r="E629" s="221"/>
      <c r="F629" s="221"/>
    </row>
    <row r="630" spans="5:6">
      <c r="E630" s="221"/>
      <c r="F630" s="221"/>
    </row>
    <row r="631" spans="5:6">
      <c r="E631" s="221"/>
      <c r="F631" s="221"/>
    </row>
    <row r="632" spans="5:6">
      <c r="E632" s="221"/>
      <c r="F632" s="221"/>
    </row>
    <row r="633" spans="5:6">
      <c r="E633" s="221"/>
      <c r="F633" s="221"/>
    </row>
    <row r="634" spans="5:6">
      <c r="E634" s="221"/>
      <c r="F634" s="221"/>
    </row>
    <row r="635" spans="5:6">
      <c r="E635" s="221"/>
      <c r="F635" s="221"/>
    </row>
    <row r="636" spans="5:6">
      <c r="E636" s="221"/>
      <c r="F636" s="221"/>
    </row>
    <row r="637" spans="5:6">
      <c r="E637" s="221"/>
      <c r="F637" s="221"/>
    </row>
    <row r="638" spans="5:6">
      <c r="E638" s="221"/>
      <c r="F638" s="221"/>
    </row>
    <row r="639" spans="5:6">
      <c r="E639" s="221"/>
      <c r="F639" s="221"/>
    </row>
    <row r="640" spans="5:6">
      <c r="E640" s="221"/>
      <c r="F640" s="221"/>
    </row>
    <row r="641" spans="5:6">
      <c r="E641" s="221"/>
      <c r="F641" s="221"/>
    </row>
    <row r="642" spans="5:6">
      <c r="E642" s="221"/>
      <c r="F642" s="221"/>
    </row>
    <row r="643" spans="5:6">
      <c r="E643" s="221"/>
      <c r="F643" s="221"/>
    </row>
    <row r="644" spans="5:6">
      <c r="E644" s="221"/>
      <c r="F644" s="221"/>
    </row>
    <row r="645" spans="5:6">
      <c r="E645" s="221"/>
      <c r="F645" s="221"/>
    </row>
    <row r="646" spans="5:6">
      <c r="E646" s="221"/>
      <c r="F646" s="221"/>
    </row>
    <row r="647" spans="5:6">
      <c r="E647" s="221"/>
      <c r="F647" s="221"/>
    </row>
    <row r="648" spans="5:6">
      <c r="E648" s="221"/>
      <c r="F648" s="221"/>
    </row>
    <row r="649" spans="5:6">
      <c r="E649" s="221"/>
      <c r="F649" s="221"/>
    </row>
    <row r="650" spans="5:6">
      <c r="E650" s="221"/>
      <c r="F650" s="221"/>
    </row>
    <row r="651" spans="5:6">
      <c r="E651" s="221"/>
      <c r="F651" s="221"/>
    </row>
    <row r="652" spans="5:6">
      <c r="E652" s="221"/>
      <c r="F652" s="221"/>
    </row>
    <row r="653" spans="5:6">
      <c r="E653" s="221"/>
      <c r="F653" s="221"/>
    </row>
    <row r="654" spans="5:6">
      <c r="E654" s="221"/>
      <c r="F654" s="221"/>
    </row>
    <row r="655" spans="5:6">
      <c r="E655" s="221"/>
      <c r="F655" s="221"/>
    </row>
    <row r="656" spans="5:6">
      <c r="E656" s="221"/>
      <c r="F656" s="221"/>
    </row>
    <row r="657" spans="5:6">
      <c r="E657" s="221"/>
      <c r="F657" s="221"/>
    </row>
    <row r="658" spans="5:6">
      <c r="E658" s="221"/>
      <c r="F658" s="221"/>
    </row>
    <row r="659" spans="5:6">
      <c r="E659" s="221"/>
      <c r="F659" s="221"/>
    </row>
    <row r="660" spans="5:6">
      <c r="E660" s="221"/>
      <c r="F660" s="221"/>
    </row>
    <row r="661" spans="5:6">
      <c r="E661" s="221"/>
      <c r="F661" s="221"/>
    </row>
    <row r="662" spans="5:6">
      <c r="E662" s="221"/>
      <c r="F662" s="221"/>
    </row>
    <row r="663" spans="5:6">
      <c r="E663" s="221"/>
      <c r="F663" s="221"/>
    </row>
    <row r="664" spans="5:6">
      <c r="E664" s="221"/>
      <c r="F664" s="221"/>
    </row>
    <row r="665" spans="5:6">
      <c r="E665" s="221"/>
      <c r="F665" s="221"/>
    </row>
    <row r="666" spans="5:6">
      <c r="E666" s="221"/>
      <c r="F666" s="221"/>
    </row>
    <row r="667" spans="5:6">
      <c r="E667" s="221"/>
      <c r="F667" s="221"/>
    </row>
    <row r="668" spans="5:6">
      <c r="E668" s="221"/>
      <c r="F668" s="221"/>
    </row>
    <row r="669" spans="5:6">
      <c r="E669" s="221"/>
      <c r="F669" s="221"/>
    </row>
    <row r="670" spans="5:6">
      <c r="E670" s="221"/>
      <c r="F670" s="221"/>
    </row>
    <row r="671" spans="5:6">
      <c r="E671" s="221"/>
      <c r="F671" s="221"/>
    </row>
    <row r="672" spans="5:6">
      <c r="E672" s="221"/>
      <c r="F672" s="221"/>
    </row>
    <row r="673" spans="5:6">
      <c r="E673" s="221"/>
      <c r="F673" s="221"/>
    </row>
    <row r="674" spans="5:6">
      <c r="E674" s="221"/>
      <c r="F674" s="221"/>
    </row>
    <row r="675" spans="5:6">
      <c r="E675" s="221"/>
      <c r="F675" s="221"/>
    </row>
    <row r="676" spans="5:6">
      <c r="E676" s="221"/>
      <c r="F676" s="221"/>
    </row>
    <row r="677" spans="5:6">
      <c r="E677" s="221"/>
      <c r="F677" s="221"/>
    </row>
    <row r="678" spans="5:6">
      <c r="E678" s="221"/>
      <c r="F678" s="221"/>
    </row>
    <row r="679" spans="5:6">
      <c r="E679" s="221"/>
      <c r="F679" s="221"/>
    </row>
    <row r="680" spans="5:6">
      <c r="E680" s="221"/>
      <c r="F680" s="221"/>
    </row>
    <row r="681" spans="5:6">
      <c r="E681" s="221"/>
      <c r="F681" s="221"/>
    </row>
    <row r="682" spans="5:6">
      <c r="E682" s="221"/>
      <c r="F682" s="221"/>
    </row>
    <row r="683" spans="5:6">
      <c r="E683" s="221"/>
      <c r="F683" s="221"/>
    </row>
    <row r="684" spans="5:6">
      <c r="E684" s="221"/>
      <c r="F684" s="221"/>
    </row>
    <row r="685" spans="5:6">
      <c r="E685" s="221"/>
      <c r="F685" s="221"/>
    </row>
    <row r="686" spans="5:6">
      <c r="E686" s="221"/>
      <c r="F686" s="221"/>
    </row>
    <row r="687" spans="5:6">
      <c r="E687" s="221"/>
      <c r="F687" s="221"/>
    </row>
    <row r="688" spans="5:6">
      <c r="E688" s="221"/>
      <c r="F688" s="221"/>
    </row>
    <row r="689" spans="5:6">
      <c r="E689" s="221"/>
      <c r="F689" s="221"/>
    </row>
    <row r="690" spans="5:6">
      <c r="E690" s="221"/>
      <c r="F690" s="221"/>
    </row>
    <row r="691" spans="5:6">
      <c r="E691" s="221"/>
      <c r="F691" s="221"/>
    </row>
    <row r="692" spans="5:6">
      <c r="E692" s="221"/>
      <c r="F692" s="221"/>
    </row>
    <row r="693" spans="5:6">
      <c r="E693" s="221"/>
      <c r="F693" s="221"/>
    </row>
    <row r="694" spans="5:6">
      <c r="E694" s="221"/>
      <c r="F694" s="221"/>
    </row>
    <row r="695" spans="5:6">
      <c r="E695" s="221"/>
      <c r="F695" s="221"/>
    </row>
    <row r="696" spans="5:6">
      <c r="E696" s="221"/>
      <c r="F696" s="221"/>
    </row>
    <row r="697" spans="5:6">
      <c r="E697" s="221"/>
      <c r="F697" s="221"/>
    </row>
    <row r="698" spans="5:6">
      <c r="E698" s="221"/>
      <c r="F698" s="221"/>
    </row>
    <row r="699" spans="5:6">
      <c r="E699" s="221"/>
      <c r="F699" s="221"/>
    </row>
    <row r="700" spans="5:6">
      <c r="E700" s="221"/>
      <c r="F700" s="221"/>
    </row>
    <row r="701" spans="5:6">
      <c r="E701" s="221"/>
      <c r="F701" s="221"/>
    </row>
    <row r="702" spans="5:6">
      <c r="E702" s="221"/>
      <c r="F702" s="221"/>
    </row>
    <row r="703" spans="5:6">
      <c r="E703" s="221"/>
      <c r="F703" s="221"/>
    </row>
    <row r="704" spans="5:6">
      <c r="E704" s="221"/>
      <c r="F704" s="221"/>
    </row>
    <row r="705" spans="5:6">
      <c r="E705" s="221"/>
      <c r="F705" s="221"/>
    </row>
    <row r="706" spans="5:6">
      <c r="E706" s="221"/>
      <c r="F706" s="221"/>
    </row>
    <row r="707" spans="5:6">
      <c r="E707" s="221"/>
      <c r="F707" s="221"/>
    </row>
    <row r="708" spans="5:6">
      <c r="E708" s="221"/>
      <c r="F708" s="221"/>
    </row>
    <row r="709" spans="5:6">
      <c r="E709" s="221"/>
      <c r="F709" s="221"/>
    </row>
    <row r="710" spans="5:6">
      <c r="E710" s="221"/>
      <c r="F710" s="221"/>
    </row>
    <row r="711" spans="5:6">
      <c r="E711" s="221"/>
      <c r="F711" s="221"/>
    </row>
    <row r="712" spans="5:6">
      <c r="E712" s="221"/>
      <c r="F712" s="221"/>
    </row>
    <row r="713" spans="5:6">
      <c r="E713" s="221"/>
      <c r="F713" s="221"/>
    </row>
    <row r="714" spans="5:6">
      <c r="E714" s="221"/>
      <c r="F714" s="221"/>
    </row>
    <row r="715" spans="5:6">
      <c r="E715" s="221"/>
      <c r="F715" s="221"/>
    </row>
    <row r="716" spans="5:6">
      <c r="E716" s="221"/>
      <c r="F716" s="221"/>
    </row>
    <row r="717" spans="5:6">
      <c r="E717" s="221"/>
      <c r="F717" s="221"/>
    </row>
    <row r="718" spans="5:6">
      <c r="E718" s="221"/>
      <c r="F718" s="221"/>
    </row>
    <row r="719" spans="5:6">
      <c r="E719" s="221"/>
      <c r="F719" s="221"/>
    </row>
    <row r="720" spans="5:6">
      <c r="E720" s="221"/>
      <c r="F720" s="221"/>
    </row>
    <row r="721" spans="5:6">
      <c r="E721" s="221"/>
      <c r="F721" s="221"/>
    </row>
    <row r="722" spans="5:6">
      <c r="E722" s="221"/>
      <c r="F722" s="221"/>
    </row>
    <row r="723" spans="5:6">
      <c r="E723" s="221"/>
      <c r="F723" s="221"/>
    </row>
    <row r="724" spans="5:6">
      <c r="E724" s="221"/>
      <c r="F724" s="221"/>
    </row>
    <row r="725" spans="5:6">
      <c r="E725" s="221"/>
      <c r="F725" s="221"/>
    </row>
    <row r="726" spans="5:6">
      <c r="E726" s="221"/>
      <c r="F726" s="221"/>
    </row>
    <row r="727" spans="5:6">
      <c r="E727" s="221"/>
      <c r="F727" s="221"/>
    </row>
    <row r="728" spans="5:6">
      <c r="E728" s="221"/>
      <c r="F728" s="221"/>
    </row>
    <row r="729" spans="5:6">
      <c r="E729" s="221"/>
      <c r="F729" s="221"/>
    </row>
    <row r="730" spans="5:6">
      <c r="E730" s="221"/>
      <c r="F730" s="221"/>
    </row>
    <row r="731" spans="5:6">
      <c r="E731" s="221"/>
      <c r="F731" s="221"/>
    </row>
    <row r="732" spans="5:6">
      <c r="E732" s="221"/>
      <c r="F732" s="221"/>
    </row>
    <row r="733" spans="5:6">
      <c r="E733" s="221"/>
      <c r="F733" s="221"/>
    </row>
    <row r="734" spans="5:6">
      <c r="E734" s="221"/>
      <c r="F734" s="221"/>
    </row>
    <row r="735" spans="5:6">
      <c r="E735" s="221"/>
      <c r="F735" s="221"/>
    </row>
    <row r="736" spans="5:6">
      <c r="E736" s="221"/>
      <c r="F736" s="221"/>
    </row>
    <row r="737" spans="5:6">
      <c r="E737" s="221"/>
      <c r="F737" s="221"/>
    </row>
    <row r="738" spans="5:6">
      <c r="E738" s="221"/>
      <c r="F738" s="221"/>
    </row>
    <row r="739" spans="5:6">
      <c r="E739" s="221"/>
      <c r="F739" s="221"/>
    </row>
    <row r="740" spans="5:6">
      <c r="E740" s="221"/>
      <c r="F740" s="221"/>
    </row>
    <row r="741" spans="5:6">
      <c r="E741" s="221"/>
      <c r="F741" s="221"/>
    </row>
    <row r="742" spans="5:6">
      <c r="E742" s="221"/>
      <c r="F742" s="221"/>
    </row>
    <row r="743" spans="5:6">
      <c r="E743" s="221"/>
      <c r="F743" s="221"/>
    </row>
    <row r="744" spans="5:6">
      <c r="E744" s="221"/>
      <c r="F744" s="221"/>
    </row>
    <row r="745" spans="5:6">
      <c r="E745" s="221"/>
      <c r="F745" s="221"/>
    </row>
    <row r="746" spans="5:6">
      <c r="E746" s="221"/>
      <c r="F746" s="221"/>
    </row>
    <row r="747" spans="5:6">
      <c r="E747" s="221"/>
      <c r="F747" s="221"/>
    </row>
    <row r="748" spans="5:6">
      <c r="E748" s="221"/>
      <c r="F748" s="221"/>
    </row>
    <row r="749" spans="5:6">
      <c r="E749" s="221"/>
      <c r="F749" s="221"/>
    </row>
    <row r="750" spans="5:6">
      <c r="E750" s="221"/>
      <c r="F750" s="221"/>
    </row>
    <row r="751" spans="5:6">
      <c r="E751" s="221"/>
      <c r="F751" s="221"/>
    </row>
    <row r="752" spans="5:6">
      <c r="E752" s="221"/>
      <c r="F752" s="221"/>
    </row>
    <row r="753" spans="5:6">
      <c r="E753" s="221"/>
      <c r="F753" s="221"/>
    </row>
    <row r="754" spans="5:6">
      <c r="E754" s="221"/>
      <c r="F754" s="221"/>
    </row>
    <row r="755" spans="5:6">
      <c r="E755" s="221"/>
      <c r="F755" s="221"/>
    </row>
    <row r="756" spans="5:6">
      <c r="E756" s="221"/>
      <c r="F756" s="221"/>
    </row>
    <row r="757" spans="5:6">
      <c r="E757" s="221"/>
      <c r="F757" s="221"/>
    </row>
    <row r="758" spans="5:6">
      <c r="E758" s="221"/>
      <c r="F758" s="221"/>
    </row>
    <row r="759" spans="5:6">
      <c r="E759" s="221"/>
      <c r="F759" s="221"/>
    </row>
    <row r="760" spans="5:6">
      <c r="E760" s="221"/>
      <c r="F760" s="221"/>
    </row>
    <row r="761" spans="5:6">
      <c r="E761" s="221"/>
      <c r="F761" s="221"/>
    </row>
    <row r="762" spans="5:6">
      <c r="E762" s="221"/>
      <c r="F762" s="221"/>
    </row>
    <row r="763" spans="5:6">
      <c r="E763" s="221"/>
      <c r="F763" s="221"/>
    </row>
    <row r="764" spans="5:6">
      <c r="E764" s="221"/>
      <c r="F764" s="221"/>
    </row>
    <row r="765" spans="5:6">
      <c r="E765" s="221"/>
      <c r="F765" s="221"/>
    </row>
    <row r="766" spans="5:6">
      <c r="E766" s="221"/>
      <c r="F766" s="221"/>
    </row>
    <row r="767" spans="5:6">
      <c r="E767" s="221"/>
      <c r="F767" s="221"/>
    </row>
    <row r="768" spans="5:6">
      <c r="E768" s="221"/>
      <c r="F768" s="221"/>
    </row>
    <row r="769" spans="5:6">
      <c r="E769" s="221"/>
      <c r="F769" s="221"/>
    </row>
    <row r="770" spans="5:6">
      <c r="E770" s="221"/>
      <c r="F770" s="221"/>
    </row>
    <row r="771" spans="5:6">
      <c r="E771" s="221"/>
      <c r="F771" s="221"/>
    </row>
    <row r="772" spans="5:6">
      <c r="E772" s="221"/>
      <c r="F772" s="221"/>
    </row>
    <row r="773" spans="5:6">
      <c r="E773" s="221"/>
      <c r="F773" s="221"/>
    </row>
    <row r="774" spans="5:6">
      <c r="E774" s="221"/>
      <c r="F774" s="221"/>
    </row>
    <row r="775" spans="5:6">
      <c r="E775" s="221"/>
      <c r="F775" s="221"/>
    </row>
    <row r="776" spans="5:6">
      <c r="E776" s="221"/>
      <c r="F776" s="221"/>
    </row>
    <row r="777" spans="5:6">
      <c r="E777" s="221"/>
      <c r="F777" s="221"/>
    </row>
    <row r="778" spans="5:6">
      <c r="E778" s="221"/>
      <c r="F778" s="221"/>
    </row>
    <row r="779" spans="5:6">
      <c r="E779" s="221"/>
      <c r="F779" s="221"/>
    </row>
    <row r="780" spans="5:6">
      <c r="E780" s="221"/>
      <c r="F780" s="221"/>
    </row>
    <row r="781" spans="5:6">
      <c r="E781" s="221"/>
      <c r="F781" s="221"/>
    </row>
    <row r="782" spans="5:6">
      <c r="E782" s="221"/>
      <c r="F782" s="221"/>
    </row>
    <row r="783" spans="5:6">
      <c r="E783" s="221"/>
      <c r="F783" s="221"/>
    </row>
    <row r="784" spans="5:6">
      <c r="E784" s="221"/>
      <c r="F784" s="221"/>
    </row>
    <row r="785" spans="5:6">
      <c r="E785" s="221"/>
      <c r="F785" s="221"/>
    </row>
    <row r="786" spans="5:6">
      <c r="E786" s="221"/>
      <c r="F786" s="221"/>
    </row>
    <row r="787" spans="5:6">
      <c r="E787" s="221"/>
      <c r="F787" s="221"/>
    </row>
    <row r="788" spans="5:6">
      <c r="E788" s="221"/>
      <c r="F788" s="221"/>
    </row>
    <row r="789" spans="5:6">
      <c r="E789" s="221"/>
      <c r="F789" s="221"/>
    </row>
    <row r="790" spans="5:6">
      <c r="E790" s="221"/>
      <c r="F790" s="221"/>
    </row>
    <row r="791" spans="5:6">
      <c r="E791" s="221"/>
      <c r="F791" s="221"/>
    </row>
    <row r="792" spans="5:6">
      <c r="E792" s="221"/>
      <c r="F792" s="221"/>
    </row>
    <row r="793" spans="5:6">
      <c r="E793" s="221"/>
      <c r="F793" s="221"/>
    </row>
    <row r="794" spans="5:6">
      <c r="E794" s="221"/>
      <c r="F794" s="221"/>
    </row>
    <row r="795" spans="5:6">
      <c r="E795" s="221"/>
      <c r="F795" s="221"/>
    </row>
    <row r="796" spans="5:6">
      <c r="E796" s="221"/>
      <c r="F796" s="221"/>
    </row>
    <row r="797" spans="5:6">
      <c r="E797" s="221"/>
      <c r="F797" s="221"/>
    </row>
    <row r="798" spans="5:6">
      <c r="E798" s="221"/>
      <c r="F798" s="221"/>
    </row>
    <row r="799" spans="5:6">
      <c r="E799" s="221"/>
      <c r="F799" s="221"/>
    </row>
    <row r="800" spans="5:6">
      <c r="E800" s="221"/>
      <c r="F800" s="221"/>
    </row>
    <row r="801" spans="5:6">
      <c r="E801" s="221"/>
      <c r="F801" s="221"/>
    </row>
    <row r="802" spans="5:6">
      <c r="E802" s="221"/>
      <c r="F802" s="221"/>
    </row>
    <row r="803" spans="5:6">
      <c r="E803" s="221"/>
      <c r="F803" s="221"/>
    </row>
    <row r="804" spans="5:6">
      <c r="E804" s="221"/>
      <c r="F804" s="221"/>
    </row>
    <row r="805" spans="5:6">
      <c r="E805" s="221"/>
      <c r="F805" s="221"/>
    </row>
    <row r="806" spans="5:6">
      <c r="E806" s="221"/>
      <c r="F806" s="221"/>
    </row>
    <row r="807" spans="5:6">
      <c r="E807" s="221"/>
      <c r="F807" s="221"/>
    </row>
    <row r="808" spans="5:6">
      <c r="E808" s="221"/>
      <c r="F808" s="221"/>
    </row>
    <row r="809" spans="5:6">
      <c r="E809" s="221"/>
      <c r="F809" s="221"/>
    </row>
    <row r="810" spans="5:6">
      <c r="E810" s="221"/>
      <c r="F810" s="221"/>
    </row>
    <row r="811" spans="5:6">
      <c r="E811" s="221"/>
      <c r="F811" s="221"/>
    </row>
    <row r="812" spans="5:6">
      <c r="E812" s="221"/>
      <c r="F812" s="221"/>
    </row>
    <row r="813" spans="5:6">
      <c r="E813" s="221"/>
      <c r="F813" s="221"/>
    </row>
    <row r="814" spans="5:6">
      <c r="E814" s="221"/>
      <c r="F814" s="221"/>
    </row>
    <row r="815" spans="5:6">
      <c r="E815" s="221"/>
      <c r="F815" s="221"/>
    </row>
    <row r="816" spans="5:6">
      <c r="E816" s="221"/>
      <c r="F816" s="221"/>
    </row>
    <row r="817" spans="5:6">
      <c r="E817" s="221"/>
      <c r="F817" s="221"/>
    </row>
    <row r="818" spans="5:6">
      <c r="E818" s="221"/>
      <c r="F818" s="221"/>
    </row>
    <row r="819" spans="5:6">
      <c r="E819" s="221"/>
      <c r="F819" s="221"/>
    </row>
    <row r="820" spans="5:6">
      <c r="E820" s="221"/>
      <c r="F820" s="221"/>
    </row>
    <row r="821" spans="5:6">
      <c r="E821" s="221"/>
      <c r="F821" s="221"/>
    </row>
    <row r="822" spans="5:6">
      <c r="E822" s="221"/>
      <c r="F822" s="221"/>
    </row>
    <row r="823" spans="5:6">
      <c r="E823" s="221"/>
      <c r="F823" s="221"/>
    </row>
    <row r="824" spans="5:6">
      <c r="E824" s="221"/>
      <c r="F824" s="221"/>
    </row>
    <row r="825" spans="5:6">
      <c r="E825" s="221"/>
      <c r="F825" s="221"/>
    </row>
    <row r="826" spans="5:6">
      <c r="E826" s="221"/>
      <c r="F826" s="221"/>
    </row>
    <row r="827" spans="5:6">
      <c r="E827" s="221"/>
      <c r="F827" s="221"/>
    </row>
    <row r="828" spans="5:6">
      <c r="E828" s="221"/>
      <c r="F828" s="221"/>
    </row>
    <row r="829" spans="5:6">
      <c r="E829" s="221"/>
      <c r="F829" s="221"/>
    </row>
    <row r="830" spans="5:6">
      <c r="E830" s="221"/>
      <c r="F830" s="221"/>
    </row>
    <row r="831" spans="5:6">
      <c r="E831" s="221"/>
      <c r="F831" s="221"/>
    </row>
    <row r="832" spans="5:6">
      <c r="E832" s="221"/>
      <c r="F832" s="221"/>
    </row>
    <row r="833" spans="5:6">
      <c r="E833" s="221"/>
      <c r="F833" s="221"/>
    </row>
    <row r="834" spans="5:6">
      <c r="E834" s="221"/>
      <c r="F834" s="221"/>
    </row>
    <row r="835" spans="5:6">
      <c r="E835" s="221"/>
      <c r="F835" s="221"/>
    </row>
    <row r="836" spans="5:6">
      <c r="E836" s="221"/>
      <c r="F836" s="221"/>
    </row>
    <row r="837" spans="5:6">
      <c r="E837" s="221"/>
      <c r="F837" s="221"/>
    </row>
    <row r="838" spans="5:6">
      <c r="E838" s="221"/>
      <c r="F838" s="221"/>
    </row>
    <row r="839" spans="5:6">
      <c r="E839" s="221"/>
      <c r="F839" s="221"/>
    </row>
    <row r="840" spans="5:6">
      <c r="E840" s="221"/>
      <c r="F840" s="221"/>
    </row>
    <row r="841" spans="5:6">
      <c r="E841" s="221"/>
      <c r="F841" s="221"/>
    </row>
    <row r="842" spans="5:6">
      <c r="E842" s="221"/>
      <c r="F842" s="221"/>
    </row>
    <row r="843" spans="5:6">
      <c r="E843" s="221"/>
      <c r="F843" s="221"/>
    </row>
    <row r="844" spans="5:6">
      <c r="E844" s="221"/>
      <c r="F844" s="221"/>
    </row>
    <row r="845" spans="5:6">
      <c r="E845" s="221"/>
      <c r="F845" s="221"/>
    </row>
    <row r="846" spans="5:6">
      <c r="E846" s="221"/>
      <c r="F846" s="221"/>
    </row>
    <row r="847" spans="5:6">
      <c r="E847" s="221"/>
      <c r="F847" s="221"/>
    </row>
    <row r="848" spans="5:6">
      <c r="E848" s="221"/>
      <c r="F848" s="221"/>
    </row>
    <row r="849" spans="5:6">
      <c r="E849" s="221"/>
      <c r="F849" s="221"/>
    </row>
    <row r="850" spans="5:6">
      <c r="E850" s="221"/>
      <c r="F850" s="221"/>
    </row>
    <row r="851" spans="5:6">
      <c r="E851" s="221"/>
      <c r="F851" s="221"/>
    </row>
    <row r="852" spans="5:6">
      <c r="E852" s="221"/>
      <c r="F852" s="221"/>
    </row>
    <row r="853" spans="5:6">
      <c r="E853" s="221"/>
      <c r="F853" s="221"/>
    </row>
    <row r="854" spans="5:6">
      <c r="E854" s="221"/>
      <c r="F854" s="221"/>
    </row>
    <row r="855" spans="5:6">
      <c r="E855" s="221"/>
      <c r="F855" s="221"/>
    </row>
    <row r="856" spans="5:6">
      <c r="E856" s="221"/>
      <c r="F856" s="221"/>
    </row>
    <row r="857" spans="5:6">
      <c r="E857" s="221"/>
      <c r="F857" s="221"/>
    </row>
    <row r="858" spans="5:6">
      <c r="E858" s="221"/>
      <c r="F858" s="221"/>
    </row>
    <row r="859" spans="5:6">
      <c r="E859" s="221"/>
      <c r="F859" s="221"/>
    </row>
    <row r="860" spans="5:6">
      <c r="E860" s="221"/>
      <c r="F860" s="221"/>
    </row>
    <row r="861" spans="5:6">
      <c r="E861" s="221"/>
      <c r="F861" s="221"/>
    </row>
    <row r="862" spans="5:6">
      <c r="E862" s="221"/>
      <c r="F862" s="221"/>
    </row>
    <row r="863" spans="5:6">
      <c r="E863" s="221"/>
      <c r="F863" s="221"/>
    </row>
    <row r="864" spans="5:6">
      <c r="E864" s="221"/>
      <c r="F864" s="221"/>
    </row>
    <row r="865" spans="5:6">
      <c r="E865" s="221"/>
      <c r="F865" s="221"/>
    </row>
    <row r="866" spans="5:6">
      <c r="E866" s="221"/>
      <c r="F866" s="221"/>
    </row>
    <row r="867" spans="5:6">
      <c r="E867" s="221"/>
      <c r="F867" s="221"/>
    </row>
    <row r="868" spans="5:6">
      <c r="E868" s="221"/>
      <c r="F868" s="221"/>
    </row>
    <row r="869" spans="5:6">
      <c r="E869" s="221"/>
      <c r="F869" s="221"/>
    </row>
    <row r="870" spans="5:6">
      <c r="E870" s="221"/>
      <c r="F870" s="221"/>
    </row>
    <row r="871" spans="5:6">
      <c r="E871" s="221"/>
      <c r="F871" s="221"/>
    </row>
    <row r="872" spans="5:6">
      <c r="E872" s="221"/>
      <c r="F872" s="221"/>
    </row>
    <row r="873" spans="5:6">
      <c r="E873" s="221"/>
      <c r="F873" s="221"/>
    </row>
    <row r="874" spans="5:6">
      <c r="E874" s="221"/>
      <c r="F874" s="221"/>
    </row>
    <row r="875" spans="5:6">
      <c r="E875" s="221"/>
      <c r="F875" s="221"/>
    </row>
    <row r="876" spans="5:6">
      <c r="E876" s="221"/>
      <c r="F876" s="221"/>
    </row>
    <row r="877" spans="5:6">
      <c r="E877" s="221"/>
      <c r="F877" s="221"/>
    </row>
    <row r="878" spans="5:6">
      <c r="E878" s="221"/>
      <c r="F878" s="221"/>
    </row>
    <row r="879" spans="5:6">
      <c r="E879" s="221"/>
      <c r="F879" s="221"/>
    </row>
    <row r="880" spans="5:6">
      <c r="E880" s="221"/>
      <c r="F880" s="221"/>
    </row>
    <row r="881" spans="5:6">
      <c r="E881" s="221"/>
      <c r="F881" s="221"/>
    </row>
    <row r="882" spans="5:6">
      <c r="E882" s="221"/>
      <c r="F882" s="221"/>
    </row>
    <row r="883" spans="5:6">
      <c r="E883" s="221"/>
      <c r="F883" s="221"/>
    </row>
    <row r="884" spans="5:6">
      <c r="E884" s="221"/>
      <c r="F884" s="221"/>
    </row>
    <row r="885" spans="5:6">
      <c r="E885" s="221"/>
      <c r="F885" s="221"/>
    </row>
    <row r="886" spans="5:6">
      <c r="E886" s="221"/>
      <c r="F886" s="221"/>
    </row>
    <row r="887" spans="5:6">
      <c r="E887" s="221"/>
      <c r="F887" s="221"/>
    </row>
    <row r="888" spans="5:6">
      <c r="E888" s="221"/>
      <c r="F888" s="221"/>
    </row>
    <row r="889" spans="5:6">
      <c r="E889" s="221"/>
      <c r="F889" s="221"/>
    </row>
    <row r="890" spans="5:6">
      <c r="E890" s="221"/>
      <c r="F890" s="221"/>
    </row>
    <row r="891" spans="5:6">
      <c r="E891" s="221"/>
      <c r="F891" s="221"/>
    </row>
    <row r="892" spans="5:6">
      <c r="E892" s="221"/>
      <c r="F892" s="221"/>
    </row>
    <row r="893" spans="5:6">
      <c r="E893" s="221"/>
      <c r="F893" s="221"/>
    </row>
    <row r="894" spans="5:6">
      <c r="E894" s="221"/>
      <c r="F894" s="221"/>
    </row>
    <row r="895" spans="5:6">
      <c r="E895" s="221"/>
      <c r="F895" s="221"/>
    </row>
    <row r="896" spans="5:6">
      <c r="E896" s="221"/>
      <c r="F896" s="221"/>
    </row>
    <row r="897" spans="5:6">
      <c r="E897" s="221"/>
      <c r="F897" s="221"/>
    </row>
    <row r="898" spans="5:6">
      <c r="E898" s="221"/>
      <c r="F898" s="221"/>
    </row>
    <row r="899" spans="5:6">
      <c r="E899" s="221"/>
      <c r="F899" s="221"/>
    </row>
    <row r="900" spans="5:6">
      <c r="E900" s="221"/>
      <c r="F900" s="221"/>
    </row>
    <row r="901" spans="5:6">
      <c r="E901" s="221"/>
      <c r="F901" s="221"/>
    </row>
    <row r="902" spans="5:6">
      <c r="E902" s="221"/>
      <c r="F902" s="221"/>
    </row>
    <row r="903" spans="5:6">
      <c r="E903" s="221"/>
      <c r="F903" s="221"/>
    </row>
    <row r="904" spans="5:6">
      <c r="E904" s="221"/>
      <c r="F904" s="221"/>
    </row>
    <row r="905" spans="5:6">
      <c r="E905" s="221"/>
      <c r="F905" s="221"/>
    </row>
    <row r="906" spans="5:6">
      <c r="E906" s="221"/>
      <c r="F906" s="221"/>
    </row>
    <row r="907" spans="5:6">
      <c r="E907" s="221"/>
      <c r="F907" s="221"/>
    </row>
    <row r="908" spans="5:6">
      <c r="E908" s="221"/>
      <c r="F908" s="221"/>
    </row>
    <row r="909" spans="5:6">
      <c r="E909" s="221"/>
      <c r="F909" s="221"/>
    </row>
    <row r="910" spans="5:6">
      <c r="E910" s="221"/>
      <c r="F910" s="221"/>
    </row>
    <row r="911" spans="5:6">
      <c r="E911" s="221"/>
      <c r="F911" s="221"/>
    </row>
    <row r="912" spans="5:6">
      <c r="E912" s="221"/>
      <c r="F912" s="221"/>
    </row>
    <row r="913" spans="5:6">
      <c r="E913" s="221"/>
      <c r="F913" s="221"/>
    </row>
    <row r="914" spans="5:6">
      <c r="E914" s="221"/>
      <c r="F914" s="221"/>
    </row>
    <row r="915" spans="5:6">
      <c r="E915" s="221"/>
      <c r="F915" s="221"/>
    </row>
    <row r="916" spans="5:6">
      <c r="E916" s="221"/>
      <c r="F916" s="221"/>
    </row>
    <row r="917" spans="5:6">
      <c r="E917" s="221"/>
      <c r="F917" s="221"/>
    </row>
    <row r="918" spans="5:6">
      <c r="E918" s="221"/>
      <c r="F918" s="221"/>
    </row>
    <row r="919" spans="5:6">
      <c r="E919" s="221"/>
      <c r="F919" s="221"/>
    </row>
    <row r="920" spans="5:6">
      <c r="E920" s="221"/>
      <c r="F920" s="221"/>
    </row>
    <row r="921" spans="5:6">
      <c r="E921" s="221"/>
      <c r="F921" s="221"/>
    </row>
    <row r="922" spans="5:6">
      <c r="E922" s="221"/>
      <c r="F922" s="221"/>
    </row>
    <row r="923" spans="5:6">
      <c r="E923" s="221"/>
      <c r="F923" s="221"/>
    </row>
    <row r="924" spans="5:6">
      <c r="E924" s="221"/>
      <c r="F924" s="221"/>
    </row>
    <row r="925" spans="5:6">
      <c r="E925" s="221"/>
      <c r="F925" s="221"/>
    </row>
    <row r="926" spans="5:6">
      <c r="E926" s="221"/>
      <c r="F926" s="221"/>
    </row>
    <row r="927" spans="5:6">
      <c r="E927" s="221"/>
      <c r="F927" s="221"/>
    </row>
    <row r="928" spans="5:6">
      <c r="E928" s="221"/>
      <c r="F928" s="221"/>
    </row>
    <row r="929" spans="5:6">
      <c r="E929" s="221"/>
      <c r="F929" s="221"/>
    </row>
    <row r="930" spans="5:6">
      <c r="E930" s="221"/>
      <c r="F930" s="221"/>
    </row>
    <row r="931" spans="5:6">
      <c r="E931" s="221"/>
      <c r="F931" s="221"/>
    </row>
    <row r="932" spans="5:6">
      <c r="E932" s="221"/>
      <c r="F932" s="221"/>
    </row>
    <row r="933" spans="5:6">
      <c r="E933" s="221"/>
      <c r="F933" s="221"/>
    </row>
    <row r="934" spans="5:6">
      <c r="E934" s="221"/>
      <c r="F934" s="221"/>
    </row>
    <row r="935" spans="5:6">
      <c r="E935" s="221"/>
      <c r="F935" s="221"/>
    </row>
    <row r="936" spans="5:6">
      <c r="E936" s="221"/>
      <c r="F936" s="221"/>
    </row>
    <row r="937" spans="5:6">
      <c r="E937" s="221"/>
      <c r="F937" s="221"/>
    </row>
    <row r="938" spans="5:6">
      <c r="E938" s="221"/>
      <c r="F938" s="221"/>
    </row>
    <row r="939" spans="5:6">
      <c r="E939" s="221"/>
      <c r="F939" s="221"/>
    </row>
    <row r="940" spans="5:6">
      <c r="E940" s="221"/>
      <c r="F940" s="221"/>
    </row>
    <row r="941" spans="5:6">
      <c r="E941" s="221"/>
      <c r="F941" s="221"/>
    </row>
    <row r="942" spans="5:6">
      <c r="E942" s="221"/>
      <c r="F942" s="221"/>
    </row>
    <row r="943" spans="5:6">
      <c r="E943" s="221"/>
      <c r="F943" s="221"/>
    </row>
    <row r="944" spans="5:6">
      <c r="E944" s="221"/>
      <c r="F944" s="221"/>
    </row>
    <row r="945" spans="5:6">
      <c r="E945" s="221"/>
      <c r="F945" s="221"/>
    </row>
    <row r="946" spans="5:6">
      <c r="E946" s="221"/>
      <c r="F946" s="221"/>
    </row>
    <row r="947" spans="5:6">
      <c r="E947" s="221"/>
      <c r="F947" s="221"/>
    </row>
    <row r="948" spans="5:6">
      <c r="E948" s="221"/>
      <c r="F948" s="221"/>
    </row>
    <row r="949" spans="5:6">
      <c r="E949" s="221"/>
      <c r="F949" s="221"/>
    </row>
    <row r="950" spans="5:6">
      <c r="E950" s="221"/>
      <c r="F950" s="221"/>
    </row>
    <row r="951" spans="5:6">
      <c r="E951" s="221"/>
      <c r="F951" s="221"/>
    </row>
    <row r="952" spans="5:6">
      <c r="E952" s="221"/>
      <c r="F952" s="221"/>
    </row>
    <row r="953" spans="5:6">
      <c r="E953" s="221"/>
      <c r="F953" s="221"/>
    </row>
    <row r="954" spans="5:6">
      <c r="E954" s="221"/>
      <c r="F954" s="221"/>
    </row>
    <row r="955" spans="5:6">
      <c r="E955" s="221"/>
      <c r="F955" s="221"/>
    </row>
    <row r="956" spans="5:6">
      <c r="E956" s="221"/>
      <c r="F956" s="221"/>
    </row>
    <row r="957" spans="5:6">
      <c r="E957" s="221"/>
      <c r="F957" s="221"/>
    </row>
    <row r="958" spans="5:6">
      <c r="E958" s="221"/>
      <c r="F958" s="221"/>
    </row>
    <row r="959" spans="5:6">
      <c r="E959" s="221"/>
      <c r="F959" s="221"/>
    </row>
    <row r="960" spans="5:6">
      <c r="E960" s="221"/>
      <c r="F960" s="221"/>
    </row>
    <row r="961" spans="5:6">
      <c r="E961" s="221"/>
      <c r="F961" s="221"/>
    </row>
    <row r="962" spans="5:6">
      <c r="E962" s="221"/>
      <c r="F962" s="221"/>
    </row>
    <row r="963" spans="5:6">
      <c r="E963" s="221"/>
      <c r="F963" s="221"/>
    </row>
    <row r="964" spans="5:6">
      <c r="E964" s="221"/>
      <c r="F964" s="221"/>
    </row>
    <row r="965" spans="5:6">
      <c r="E965" s="221"/>
      <c r="F965" s="221"/>
    </row>
    <row r="966" spans="5:6">
      <c r="E966" s="221"/>
      <c r="F966" s="221"/>
    </row>
    <row r="967" spans="5:6">
      <c r="E967" s="221"/>
      <c r="F967" s="221"/>
    </row>
    <row r="968" spans="5:6">
      <c r="E968" s="221"/>
      <c r="F968" s="221"/>
    </row>
    <row r="969" spans="5:6">
      <c r="E969" s="221"/>
      <c r="F969" s="221"/>
    </row>
    <row r="970" spans="5:6">
      <c r="E970" s="221"/>
      <c r="F970" s="221"/>
    </row>
    <row r="971" spans="5:6">
      <c r="E971" s="221"/>
      <c r="F971" s="221"/>
    </row>
    <row r="972" spans="5:6">
      <c r="E972" s="221"/>
      <c r="F972" s="221"/>
    </row>
    <row r="973" spans="5:6">
      <c r="E973" s="221"/>
      <c r="F973" s="221"/>
    </row>
    <row r="974" spans="5:6">
      <c r="E974" s="221"/>
      <c r="F974" s="221"/>
    </row>
    <row r="975" spans="5:6">
      <c r="E975" s="221"/>
      <c r="F975" s="221"/>
    </row>
    <row r="976" spans="5:6">
      <c r="E976" s="221"/>
      <c r="F976" s="221"/>
    </row>
    <row r="977" spans="5:6">
      <c r="E977" s="221"/>
      <c r="F977" s="221"/>
    </row>
    <row r="978" spans="5:6">
      <c r="E978" s="221"/>
      <c r="F978" s="221"/>
    </row>
    <row r="979" spans="5:6">
      <c r="E979" s="221"/>
      <c r="F979" s="221"/>
    </row>
    <row r="980" spans="5:6">
      <c r="E980" s="221"/>
      <c r="F980" s="221"/>
    </row>
    <row r="981" spans="5:6">
      <c r="E981" s="221"/>
      <c r="F981" s="221"/>
    </row>
    <row r="982" spans="5:6">
      <c r="E982" s="221"/>
      <c r="F982" s="221"/>
    </row>
    <row r="983" spans="5:6">
      <c r="E983" s="221"/>
      <c r="F983" s="221"/>
    </row>
    <row r="984" spans="5:6">
      <c r="E984" s="221"/>
      <c r="F984" s="221"/>
    </row>
    <row r="985" spans="5:6">
      <c r="E985" s="221"/>
      <c r="F985" s="221"/>
    </row>
    <row r="986" spans="5:6">
      <c r="E986" s="221"/>
      <c r="F986" s="221"/>
    </row>
    <row r="987" spans="5:6">
      <c r="E987" s="221"/>
      <c r="F987" s="221"/>
    </row>
    <row r="988" spans="5:6">
      <c r="E988" s="221"/>
      <c r="F988" s="221"/>
    </row>
    <row r="989" spans="5:6">
      <c r="E989" s="221"/>
      <c r="F989" s="221"/>
    </row>
    <row r="990" spans="5:6">
      <c r="E990" s="221"/>
      <c r="F990" s="221"/>
    </row>
    <row r="991" spans="5:6">
      <c r="E991" s="221"/>
      <c r="F991" s="221"/>
    </row>
    <row r="992" spans="5:6">
      <c r="E992" s="221"/>
      <c r="F992" s="221"/>
    </row>
    <row r="993" spans="5:6">
      <c r="E993" s="221"/>
      <c r="F993" s="221"/>
    </row>
    <row r="994" spans="5:6">
      <c r="E994" s="221"/>
      <c r="F994" s="221"/>
    </row>
    <row r="995" spans="5:6">
      <c r="E995" s="221"/>
      <c r="F995" s="221"/>
    </row>
    <row r="996" spans="5:6">
      <c r="E996" s="221"/>
      <c r="F996" s="221"/>
    </row>
    <row r="997" spans="5:6">
      <c r="E997" s="221"/>
      <c r="F997" s="221"/>
    </row>
    <row r="998" spans="5:6">
      <c r="E998" s="221"/>
      <c r="F998" s="221"/>
    </row>
    <row r="999" spans="5:6">
      <c r="E999" s="221"/>
      <c r="F999" s="221"/>
    </row>
    <row r="1000" spans="5:6">
      <c r="E1000" s="221"/>
      <c r="F1000" s="221"/>
    </row>
    <row r="1001" spans="5:6">
      <c r="E1001" s="221"/>
      <c r="F1001" s="221"/>
    </row>
    <row r="1002" spans="5:6">
      <c r="E1002" s="221"/>
      <c r="F1002" s="221"/>
    </row>
    <row r="1003" spans="5:6">
      <c r="E1003" s="221"/>
      <c r="F1003" s="221"/>
    </row>
    <row r="1004" spans="5:6">
      <c r="E1004" s="221"/>
      <c r="F1004" s="221"/>
    </row>
    <row r="1005" spans="5:6">
      <c r="E1005" s="221"/>
      <c r="F1005" s="221"/>
    </row>
    <row r="1006" spans="5:6">
      <c r="E1006" s="221"/>
      <c r="F1006" s="221"/>
    </row>
    <row r="1007" spans="5:6">
      <c r="E1007" s="221"/>
      <c r="F1007" s="221"/>
    </row>
    <row r="1008" spans="5:6">
      <c r="E1008" s="221"/>
      <c r="F1008" s="221"/>
    </row>
    <row r="1009" spans="5:6">
      <c r="E1009" s="221"/>
      <c r="F1009" s="221"/>
    </row>
    <row r="1010" spans="5:6">
      <c r="E1010" s="221"/>
      <c r="F1010" s="221"/>
    </row>
    <row r="1011" spans="5:6">
      <c r="E1011" s="221"/>
      <c r="F1011" s="221"/>
    </row>
    <row r="1012" spans="5:6">
      <c r="E1012" s="221"/>
      <c r="F1012" s="221"/>
    </row>
    <row r="1013" spans="5:6">
      <c r="E1013" s="221"/>
      <c r="F1013" s="221"/>
    </row>
    <row r="1014" spans="5:6">
      <c r="E1014" s="221"/>
      <c r="F1014" s="221"/>
    </row>
    <row r="1015" spans="5:6">
      <c r="E1015" s="221"/>
      <c r="F1015" s="221"/>
    </row>
    <row r="1016" spans="5:6">
      <c r="E1016" s="221"/>
      <c r="F1016" s="221"/>
    </row>
    <row r="1017" spans="5:6">
      <c r="E1017" s="221"/>
      <c r="F1017" s="221"/>
    </row>
    <row r="1018" spans="5:6">
      <c r="E1018" s="221"/>
      <c r="F1018" s="221"/>
    </row>
    <row r="1019" spans="5:6">
      <c r="E1019" s="221"/>
      <c r="F1019" s="221"/>
    </row>
    <row r="1020" spans="5:6">
      <c r="E1020" s="221"/>
      <c r="F1020" s="221"/>
    </row>
    <row r="1021" spans="5:6">
      <c r="E1021" s="221"/>
      <c r="F1021" s="221"/>
    </row>
    <row r="1022" spans="5:6">
      <c r="E1022" s="221"/>
      <c r="F1022" s="221"/>
    </row>
    <row r="1023" spans="5:6">
      <c r="E1023" s="221"/>
      <c r="F1023" s="221"/>
    </row>
    <row r="1024" spans="5:6">
      <c r="E1024" s="221"/>
      <c r="F1024" s="221"/>
    </row>
    <row r="1025" spans="5:6">
      <c r="E1025" s="221"/>
      <c r="F1025" s="221"/>
    </row>
    <row r="1026" spans="5:6">
      <c r="E1026" s="221"/>
      <c r="F1026" s="221"/>
    </row>
    <row r="1027" spans="5:6">
      <c r="E1027" s="221"/>
      <c r="F1027" s="221"/>
    </row>
    <row r="1028" spans="5:6">
      <c r="E1028" s="221"/>
      <c r="F1028" s="221"/>
    </row>
    <row r="1029" spans="5:6">
      <c r="E1029" s="221"/>
      <c r="F1029" s="221"/>
    </row>
    <row r="1030" spans="5:6">
      <c r="E1030" s="221"/>
      <c r="F1030" s="221"/>
    </row>
    <row r="1031" spans="5:6">
      <c r="E1031" s="221"/>
      <c r="F1031" s="221"/>
    </row>
    <row r="1032" spans="5:6">
      <c r="E1032" s="221"/>
      <c r="F1032" s="221"/>
    </row>
    <row r="1033" spans="5:6">
      <c r="E1033" s="221"/>
      <c r="F1033" s="221"/>
    </row>
    <row r="1034" spans="5:6">
      <c r="E1034" s="221"/>
      <c r="F1034" s="221"/>
    </row>
    <row r="1035" spans="5:6">
      <c r="E1035" s="221"/>
      <c r="F1035" s="221"/>
    </row>
    <row r="1036" spans="5:6">
      <c r="E1036" s="221"/>
      <c r="F1036" s="221"/>
    </row>
    <row r="1037" spans="5:6">
      <c r="E1037" s="221"/>
      <c r="F1037" s="221"/>
    </row>
    <row r="1038" spans="5:6">
      <c r="E1038" s="221"/>
      <c r="F1038" s="221"/>
    </row>
    <row r="1039" spans="5:6">
      <c r="E1039" s="221"/>
      <c r="F1039" s="221"/>
    </row>
    <row r="1040" spans="5:6">
      <c r="E1040" s="221"/>
      <c r="F1040" s="221"/>
    </row>
    <row r="1041" spans="5:6">
      <c r="E1041" s="221"/>
      <c r="F1041" s="221"/>
    </row>
    <row r="1042" spans="5:6">
      <c r="E1042" s="221"/>
      <c r="F1042" s="221"/>
    </row>
    <row r="1043" spans="5:6">
      <c r="E1043" s="221"/>
      <c r="F1043" s="221"/>
    </row>
    <row r="1044" spans="5:6">
      <c r="E1044" s="221"/>
      <c r="F1044" s="221"/>
    </row>
    <row r="1045" spans="5:6">
      <c r="E1045" s="221"/>
      <c r="F1045" s="221"/>
    </row>
    <row r="1046" spans="5:6">
      <c r="E1046" s="221"/>
      <c r="F1046" s="221"/>
    </row>
    <row r="1047" spans="5:6">
      <c r="E1047" s="221"/>
      <c r="F1047" s="221"/>
    </row>
    <row r="1048" spans="5:6">
      <c r="E1048" s="221"/>
      <c r="F1048" s="221"/>
    </row>
    <row r="1049" spans="5:6">
      <c r="E1049" s="221"/>
      <c r="F1049" s="221"/>
    </row>
    <row r="1050" spans="5:6">
      <c r="E1050" s="221"/>
      <c r="F1050" s="221"/>
    </row>
    <row r="1051" spans="5:6">
      <c r="E1051" s="221"/>
      <c r="F1051" s="221"/>
    </row>
    <row r="1052" spans="5:6">
      <c r="E1052" s="221"/>
      <c r="F1052" s="221"/>
    </row>
    <row r="1053" spans="5:6">
      <c r="E1053" s="221"/>
      <c r="F1053" s="221"/>
    </row>
    <row r="1054" spans="5:6">
      <c r="E1054" s="221"/>
      <c r="F1054" s="221"/>
    </row>
    <row r="1055" spans="5:6">
      <c r="E1055" s="221"/>
      <c r="F1055" s="221"/>
    </row>
    <row r="1056" spans="5:6">
      <c r="E1056" s="221"/>
      <c r="F1056" s="221"/>
    </row>
    <row r="1057" spans="5:6">
      <c r="E1057" s="221"/>
      <c r="F1057" s="221"/>
    </row>
    <row r="1058" spans="5:6">
      <c r="E1058" s="221"/>
      <c r="F1058" s="221"/>
    </row>
    <row r="1059" spans="5:6">
      <c r="E1059" s="221"/>
      <c r="F1059" s="221"/>
    </row>
    <row r="1060" spans="5:6">
      <c r="E1060" s="221"/>
      <c r="F1060" s="221"/>
    </row>
    <row r="1061" spans="5:6">
      <c r="E1061" s="221"/>
      <c r="F1061" s="221"/>
    </row>
    <row r="1062" spans="5:6">
      <c r="E1062" s="221"/>
      <c r="F1062" s="221"/>
    </row>
    <row r="1063" spans="5:6">
      <c r="E1063" s="221"/>
      <c r="F1063" s="221"/>
    </row>
    <row r="1064" spans="5:6">
      <c r="E1064" s="221"/>
      <c r="F1064" s="221"/>
    </row>
    <row r="1065" spans="5:6">
      <c r="E1065" s="221"/>
      <c r="F1065" s="221"/>
    </row>
    <row r="1066" spans="5:6">
      <c r="E1066" s="221"/>
      <c r="F1066" s="221"/>
    </row>
    <row r="1067" spans="5:6">
      <c r="E1067" s="221"/>
      <c r="F1067" s="221"/>
    </row>
    <row r="1068" spans="5:6">
      <c r="E1068" s="221"/>
      <c r="F1068" s="221"/>
    </row>
    <row r="1069" spans="5:6">
      <c r="E1069" s="221"/>
      <c r="F1069" s="221"/>
    </row>
    <row r="1070" spans="5:6">
      <c r="E1070" s="221"/>
      <c r="F1070" s="221"/>
    </row>
    <row r="1071" spans="5:6">
      <c r="E1071" s="221"/>
      <c r="F1071" s="221"/>
    </row>
    <row r="1072" spans="5:6">
      <c r="E1072" s="221"/>
      <c r="F1072" s="221"/>
    </row>
    <row r="1073" spans="5:6">
      <c r="E1073" s="221"/>
      <c r="F1073" s="221"/>
    </row>
    <row r="1074" spans="5:6">
      <c r="E1074" s="221"/>
      <c r="F1074" s="221"/>
    </row>
    <row r="1075" spans="5:6">
      <c r="E1075" s="221"/>
      <c r="F1075" s="221"/>
    </row>
    <row r="1076" spans="5:6">
      <c r="E1076" s="221"/>
      <c r="F1076" s="221"/>
    </row>
    <row r="1077" spans="5:6">
      <c r="E1077" s="221"/>
      <c r="F1077" s="221"/>
    </row>
    <row r="1078" spans="5:6">
      <c r="E1078" s="221"/>
      <c r="F1078" s="221"/>
    </row>
    <row r="1079" spans="5:6">
      <c r="E1079" s="221"/>
      <c r="F1079" s="221"/>
    </row>
    <row r="1080" spans="5:6">
      <c r="E1080" s="221"/>
      <c r="F1080" s="221"/>
    </row>
    <row r="1081" spans="5:6">
      <c r="E1081" s="221"/>
      <c r="F1081" s="221"/>
    </row>
    <row r="1082" spans="5:6">
      <c r="E1082" s="221"/>
      <c r="F1082" s="221"/>
    </row>
    <row r="1083" spans="5:6">
      <c r="E1083" s="221"/>
      <c r="F1083" s="221"/>
    </row>
    <row r="1084" spans="5:6">
      <c r="E1084" s="221"/>
      <c r="F1084" s="221"/>
    </row>
    <row r="1085" spans="5:6">
      <c r="E1085" s="221"/>
      <c r="F1085" s="221"/>
    </row>
    <row r="1086" spans="5:6">
      <c r="E1086" s="221"/>
      <c r="F1086" s="221"/>
    </row>
    <row r="1087" spans="5:6">
      <c r="E1087" s="221"/>
      <c r="F1087" s="221"/>
    </row>
    <row r="1088" spans="5:6">
      <c r="E1088" s="221"/>
      <c r="F1088" s="221"/>
    </row>
    <row r="1089" spans="5:6">
      <c r="E1089" s="221"/>
      <c r="F1089" s="221"/>
    </row>
    <row r="1090" spans="5:6">
      <c r="E1090" s="221"/>
      <c r="F1090" s="221"/>
    </row>
    <row r="1091" spans="5:6">
      <c r="E1091" s="221"/>
      <c r="F1091" s="221"/>
    </row>
    <row r="1092" spans="5:6">
      <c r="E1092" s="221"/>
      <c r="F1092" s="221"/>
    </row>
    <row r="1093" spans="5:6">
      <c r="E1093" s="221"/>
      <c r="F1093" s="221"/>
    </row>
    <row r="1094" spans="5:6">
      <c r="E1094" s="221"/>
      <c r="F1094" s="221"/>
    </row>
    <row r="1095" spans="5:6">
      <c r="E1095" s="221"/>
      <c r="F1095" s="221"/>
    </row>
    <row r="1096" spans="5:6">
      <c r="E1096" s="221"/>
      <c r="F1096" s="221"/>
    </row>
    <row r="1097" spans="5:6">
      <c r="E1097" s="221"/>
      <c r="F1097" s="221"/>
    </row>
    <row r="1098" spans="5:6">
      <c r="E1098" s="221"/>
      <c r="F1098" s="221"/>
    </row>
    <row r="1099" spans="5:6">
      <c r="E1099" s="221"/>
      <c r="F1099" s="221"/>
    </row>
    <row r="1100" spans="5:6">
      <c r="E1100" s="221"/>
      <c r="F1100" s="221"/>
    </row>
    <row r="1101" spans="5:6">
      <c r="E1101" s="221"/>
      <c r="F1101" s="221"/>
    </row>
    <row r="1102" spans="5:6">
      <c r="E1102" s="221"/>
      <c r="F1102" s="221"/>
    </row>
    <row r="1103" spans="5:6">
      <c r="E1103" s="221"/>
      <c r="F1103" s="221"/>
    </row>
    <row r="1104" spans="5:6">
      <c r="E1104" s="221"/>
      <c r="F1104" s="221"/>
    </row>
    <row r="1105" spans="5:6">
      <c r="E1105" s="221"/>
      <c r="F1105" s="221"/>
    </row>
    <row r="1106" spans="5:6">
      <c r="E1106" s="221"/>
      <c r="F1106" s="221"/>
    </row>
    <row r="1107" spans="5:6">
      <c r="E1107" s="221"/>
      <c r="F1107" s="221"/>
    </row>
    <row r="1108" spans="5:6">
      <c r="E1108" s="221"/>
      <c r="F1108" s="221"/>
    </row>
    <row r="1109" spans="5:6">
      <c r="E1109" s="221"/>
      <c r="F1109" s="221"/>
    </row>
    <row r="1110" spans="5:6">
      <c r="E1110" s="221"/>
      <c r="F1110" s="221"/>
    </row>
    <row r="1111" spans="5:6">
      <c r="E1111" s="221"/>
      <c r="F1111" s="221"/>
    </row>
    <row r="1112" spans="5:6">
      <c r="E1112" s="221"/>
      <c r="F1112" s="221"/>
    </row>
    <row r="1113" spans="5:6">
      <c r="E1113" s="221"/>
      <c r="F1113" s="221"/>
    </row>
    <row r="1114" spans="5:6">
      <c r="E1114" s="221"/>
      <c r="F1114" s="221"/>
    </row>
    <row r="1115" spans="5:6">
      <c r="E1115" s="221"/>
      <c r="F1115" s="221"/>
    </row>
    <row r="1116" spans="5:6">
      <c r="E1116" s="221"/>
      <c r="F1116" s="221"/>
    </row>
    <row r="1117" spans="5:6">
      <c r="E1117" s="221"/>
      <c r="F1117" s="221"/>
    </row>
    <row r="1118" spans="5:6">
      <c r="E1118" s="221"/>
      <c r="F1118" s="221"/>
    </row>
    <row r="1119" spans="5:6">
      <c r="E1119" s="221"/>
      <c r="F1119" s="221"/>
    </row>
    <row r="1120" spans="5:6">
      <c r="E1120" s="221"/>
      <c r="F1120" s="221"/>
    </row>
    <row r="1121" spans="5:6">
      <c r="E1121" s="221"/>
      <c r="F1121" s="221"/>
    </row>
    <row r="1122" spans="5:6">
      <c r="E1122" s="221"/>
      <c r="F1122" s="221"/>
    </row>
    <row r="1123" spans="5:6">
      <c r="E1123" s="221"/>
      <c r="F1123" s="221"/>
    </row>
    <row r="1124" spans="5:6">
      <c r="E1124" s="221"/>
      <c r="F1124" s="221"/>
    </row>
    <row r="1125" spans="5:6">
      <c r="E1125" s="221"/>
      <c r="F1125" s="221"/>
    </row>
    <row r="1126" spans="5:6">
      <c r="E1126" s="221"/>
      <c r="F1126" s="221"/>
    </row>
    <row r="1127" spans="5:6">
      <c r="E1127" s="221"/>
      <c r="F1127" s="221"/>
    </row>
    <row r="1128" spans="5:6">
      <c r="E1128" s="221"/>
      <c r="F1128" s="221"/>
    </row>
    <row r="1129" spans="5:6">
      <c r="E1129" s="221"/>
      <c r="F1129" s="221"/>
    </row>
    <row r="1130" spans="5:6">
      <c r="E1130" s="221"/>
      <c r="F1130" s="221"/>
    </row>
    <row r="1131" spans="5:6">
      <c r="E1131" s="221"/>
      <c r="F1131" s="221"/>
    </row>
    <row r="1132" spans="5:6">
      <c r="E1132" s="221"/>
      <c r="F1132" s="221"/>
    </row>
    <row r="1133" spans="5:6">
      <c r="E1133" s="221"/>
      <c r="F1133" s="221"/>
    </row>
    <row r="1134" spans="5:6">
      <c r="E1134" s="221"/>
      <c r="F1134" s="221"/>
    </row>
    <row r="1135" spans="5:6">
      <c r="E1135" s="221"/>
      <c r="F1135" s="221"/>
    </row>
    <row r="1136" spans="5:6">
      <c r="E1136" s="221"/>
      <c r="F1136" s="221"/>
    </row>
    <row r="1137" spans="5:6">
      <c r="E1137" s="221"/>
      <c r="F1137" s="221"/>
    </row>
    <row r="1138" spans="5:6">
      <c r="E1138" s="221"/>
      <c r="F1138" s="221"/>
    </row>
    <row r="1139" spans="5:6">
      <c r="E1139" s="221"/>
      <c r="F1139" s="221"/>
    </row>
    <row r="1140" spans="5:6">
      <c r="E1140" s="221"/>
      <c r="F1140" s="221"/>
    </row>
    <row r="1141" spans="5:6">
      <c r="E1141" s="221"/>
      <c r="F1141" s="221"/>
    </row>
    <row r="1142" spans="5:6">
      <c r="E1142" s="221"/>
      <c r="F1142" s="221"/>
    </row>
    <row r="1143" spans="5:6">
      <c r="E1143" s="221"/>
      <c r="F1143" s="221"/>
    </row>
    <row r="1144" spans="5:6">
      <c r="E1144" s="221"/>
      <c r="F1144" s="221"/>
    </row>
    <row r="1145" spans="5:6">
      <c r="E1145" s="221"/>
      <c r="F1145" s="221"/>
    </row>
    <row r="1146" spans="5:6">
      <c r="E1146" s="221"/>
      <c r="F1146" s="221"/>
    </row>
    <row r="1147" spans="5:6">
      <c r="E1147" s="221"/>
      <c r="F1147" s="221"/>
    </row>
    <row r="1148" spans="5:6">
      <c r="E1148" s="221"/>
      <c r="F1148" s="221"/>
    </row>
    <row r="1149" spans="5:6">
      <c r="E1149" s="221"/>
      <c r="F1149" s="221"/>
    </row>
    <row r="1150" spans="5:6">
      <c r="E1150" s="221"/>
      <c r="F1150" s="221"/>
    </row>
    <row r="1151" spans="5:6">
      <c r="E1151" s="221"/>
      <c r="F1151" s="221"/>
    </row>
    <row r="1152" spans="5:6">
      <c r="E1152" s="221"/>
      <c r="F1152" s="221"/>
    </row>
    <row r="1153" spans="5:6">
      <c r="E1153" s="221"/>
      <c r="F1153" s="221"/>
    </row>
    <row r="1154" spans="5:6">
      <c r="E1154" s="221"/>
      <c r="F1154" s="221"/>
    </row>
    <row r="1155" spans="5:6">
      <c r="E1155" s="221"/>
      <c r="F1155" s="221"/>
    </row>
    <row r="1156" spans="5:6">
      <c r="E1156" s="221"/>
      <c r="F1156" s="221"/>
    </row>
    <row r="1157" spans="5:6">
      <c r="E1157" s="221"/>
      <c r="F1157" s="221"/>
    </row>
    <row r="1158" spans="5:6">
      <c r="E1158" s="221"/>
      <c r="F1158" s="221"/>
    </row>
    <row r="1159" spans="5:6">
      <c r="E1159" s="221"/>
      <c r="F1159" s="221"/>
    </row>
    <row r="1160" spans="5:6">
      <c r="E1160" s="221"/>
      <c r="F1160" s="221"/>
    </row>
    <row r="1161" spans="5:6">
      <c r="E1161" s="221"/>
      <c r="F1161" s="221"/>
    </row>
    <row r="1162" spans="5:6">
      <c r="E1162" s="221"/>
      <c r="F1162" s="221"/>
    </row>
    <row r="1163" spans="5:6">
      <c r="E1163" s="221"/>
      <c r="F1163" s="221"/>
    </row>
    <row r="1164" spans="5:6">
      <c r="E1164" s="221"/>
      <c r="F1164" s="221"/>
    </row>
    <row r="1165" spans="5:6">
      <c r="E1165" s="221"/>
      <c r="F1165" s="221"/>
    </row>
    <row r="1166" spans="5:6">
      <c r="E1166" s="221"/>
      <c r="F1166" s="221"/>
    </row>
    <row r="1167" spans="5:6">
      <c r="E1167" s="221"/>
      <c r="F1167" s="221"/>
    </row>
    <row r="1168" spans="5:6">
      <c r="E1168" s="221"/>
      <c r="F1168" s="221"/>
    </row>
    <row r="1169" spans="5:6">
      <c r="E1169" s="221"/>
      <c r="F1169" s="221"/>
    </row>
    <row r="1170" spans="5:6">
      <c r="E1170" s="221"/>
      <c r="F1170" s="221"/>
    </row>
    <row r="1171" spans="5:6">
      <c r="E1171" s="221"/>
      <c r="F1171" s="221"/>
    </row>
    <row r="1172" spans="5:6">
      <c r="E1172" s="221"/>
      <c r="F1172" s="221"/>
    </row>
    <row r="1173" spans="5:6">
      <c r="E1173" s="221"/>
      <c r="F1173" s="221"/>
    </row>
    <row r="1174" spans="5:6">
      <c r="E1174" s="221"/>
      <c r="F1174" s="221"/>
    </row>
    <row r="1175" spans="5:6">
      <c r="E1175" s="221"/>
      <c r="F1175" s="221"/>
    </row>
    <row r="1176" spans="5:6">
      <c r="E1176" s="221"/>
      <c r="F1176" s="221"/>
    </row>
    <row r="1177" spans="5:6">
      <c r="E1177" s="221"/>
      <c r="F1177" s="221"/>
    </row>
    <row r="1178" spans="5:6">
      <c r="E1178" s="221"/>
      <c r="F1178" s="221"/>
    </row>
    <row r="1179" spans="5:6">
      <c r="E1179" s="221"/>
      <c r="F1179" s="221"/>
    </row>
    <row r="1180" spans="5:6">
      <c r="E1180" s="221"/>
      <c r="F1180" s="221"/>
    </row>
    <row r="1181" spans="5:6">
      <c r="E1181" s="221"/>
      <c r="F1181" s="221"/>
    </row>
    <row r="1182" spans="5:6">
      <c r="E1182" s="221"/>
      <c r="F1182" s="221"/>
    </row>
    <row r="1183" spans="5:6">
      <c r="E1183" s="221"/>
      <c r="F1183" s="221"/>
    </row>
    <row r="1184" spans="5:6">
      <c r="E1184" s="221"/>
      <c r="F1184" s="221"/>
    </row>
    <row r="1185" spans="5:6">
      <c r="E1185" s="221"/>
      <c r="F1185" s="221"/>
    </row>
    <row r="1186" spans="5:6">
      <c r="E1186" s="221"/>
      <c r="F1186" s="221"/>
    </row>
    <row r="1187" spans="5:6">
      <c r="E1187" s="221"/>
      <c r="F1187" s="221"/>
    </row>
    <row r="1188" spans="5:6">
      <c r="E1188" s="221"/>
      <c r="F1188" s="221"/>
    </row>
    <row r="1189" spans="5:6">
      <c r="E1189" s="221"/>
      <c r="F1189" s="221"/>
    </row>
    <row r="1190" spans="5:6">
      <c r="E1190" s="221"/>
      <c r="F1190" s="221"/>
    </row>
    <row r="1191" spans="5:6">
      <c r="E1191" s="221"/>
      <c r="F1191" s="221"/>
    </row>
    <row r="1192" spans="5:6">
      <c r="E1192" s="221"/>
      <c r="F1192" s="221"/>
    </row>
    <row r="1193" spans="5:6">
      <c r="E1193" s="221"/>
      <c r="F1193" s="221"/>
    </row>
    <row r="1194" spans="5:6">
      <c r="E1194" s="221"/>
      <c r="F1194" s="221"/>
    </row>
    <row r="1195" spans="5:6">
      <c r="E1195" s="221"/>
      <c r="F1195" s="221"/>
    </row>
    <row r="1196" spans="5:6">
      <c r="E1196" s="221"/>
      <c r="F1196" s="221"/>
    </row>
    <row r="1197" spans="5:6">
      <c r="E1197" s="221"/>
      <c r="F1197" s="221"/>
    </row>
    <row r="1198" spans="5:6">
      <c r="E1198" s="221"/>
      <c r="F1198" s="221"/>
    </row>
    <row r="1199" spans="5:6">
      <c r="E1199" s="221"/>
      <c r="F1199" s="221"/>
    </row>
    <row r="1200" spans="5:6">
      <c r="E1200" s="221"/>
      <c r="F1200" s="221"/>
    </row>
    <row r="1201" spans="5:6">
      <c r="E1201" s="221"/>
      <c r="F1201" s="221"/>
    </row>
    <row r="1202" spans="5:6">
      <c r="E1202" s="221"/>
      <c r="F1202" s="221"/>
    </row>
    <row r="1203" spans="5:6">
      <c r="E1203" s="221"/>
      <c r="F1203" s="221"/>
    </row>
    <row r="1204" spans="5:6">
      <c r="E1204" s="221"/>
      <c r="F1204" s="221"/>
    </row>
    <row r="1205" spans="5:6">
      <c r="E1205" s="221"/>
      <c r="F1205" s="221"/>
    </row>
    <row r="1206" spans="5:6">
      <c r="E1206" s="221"/>
      <c r="F1206" s="221"/>
    </row>
    <row r="1207" spans="5:6">
      <c r="E1207" s="221"/>
      <c r="F1207" s="221"/>
    </row>
    <row r="1208" spans="5:6">
      <c r="E1208" s="221"/>
      <c r="F1208" s="221"/>
    </row>
    <row r="1209" spans="5:6">
      <c r="E1209" s="221"/>
      <c r="F1209" s="221"/>
    </row>
    <row r="1210" spans="5:6">
      <c r="E1210" s="221"/>
      <c r="F1210" s="221"/>
    </row>
    <row r="1211" spans="5:6">
      <c r="E1211" s="221"/>
      <c r="F1211" s="221"/>
    </row>
    <row r="1212" spans="5:6">
      <c r="E1212" s="221"/>
      <c r="F1212" s="221"/>
    </row>
  </sheetData>
  <sheetProtection algorithmName="SHA-512" hashValue="bMwpluNTTQ8RnVf32dqm1uFPm7HGHkJN9dTFuqnMw/IySzJD1c6HndpuouNNreDOPajF7iShrUSiCINEs7SySw==" saltValue="MfTxs7VEZM0LVb93jk4dNQ==" spinCount="100000" sheet="1" objects="1" scenarios="1"/>
  <mergeCells count="487">
    <mergeCell ref="Y50:Y51"/>
    <mergeCell ref="AA40:AA42"/>
    <mergeCell ref="AA43:AA44"/>
    <mergeCell ref="X68:X71"/>
    <mergeCell ref="X66:X67"/>
    <mergeCell ref="AA50:AA51"/>
    <mergeCell ref="AA52:AA55"/>
    <mergeCell ref="AA56:AA59"/>
    <mergeCell ref="AA60:AA63"/>
    <mergeCell ref="AA68:AA71"/>
    <mergeCell ref="AA72:AA75"/>
    <mergeCell ref="AA13:AA15"/>
    <mergeCell ref="AA18:AA19"/>
    <mergeCell ref="AA20:AA23"/>
    <mergeCell ref="AA24:AA27"/>
    <mergeCell ref="AA30:AA31"/>
    <mergeCell ref="AA33:AA35"/>
    <mergeCell ref="A182:C182"/>
    <mergeCell ref="W64:W67"/>
    <mergeCell ref="A64:A67"/>
    <mergeCell ref="B64:B67"/>
    <mergeCell ref="C64:C67"/>
    <mergeCell ref="T64:T67"/>
    <mergeCell ref="U64:U67"/>
    <mergeCell ref="C47:C51"/>
    <mergeCell ref="T47:T51"/>
    <mergeCell ref="U47:U51"/>
    <mergeCell ref="W47:W51"/>
    <mergeCell ref="A166:D166"/>
    <mergeCell ref="B167:D167"/>
    <mergeCell ref="B178:D178"/>
    <mergeCell ref="W127:W129"/>
    <mergeCell ref="A80:A86"/>
    <mergeCell ref="B80:B86"/>
    <mergeCell ref="T131:T132"/>
    <mergeCell ref="A131:A132"/>
    <mergeCell ref="A138:A141"/>
    <mergeCell ref="A134:A137"/>
    <mergeCell ref="W142:W145"/>
    <mergeCell ref="U131:U132"/>
    <mergeCell ref="C131:C132"/>
    <mergeCell ref="A1:AB1"/>
    <mergeCell ref="X33:X35"/>
    <mergeCell ref="A8:V8"/>
    <mergeCell ref="AB10:AB11"/>
    <mergeCell ref="C80:C86"/>
    <mergeCell ref="T80:T86"/>
    <mergeCell ref="U80:U86"/>
    <mergeCell ref="W80:W86"/>
    <mergeCell ref="W45:W46"/>
    <mergeCell ref="A47:A51"/>
    <mergeCell ref="B47:B51"/>
    <mergeCell ref="Y40:Y42"/>
    <mergeCell ref="AB43:AB44"/>
    <mergeCell ref="V33:V35"/>
    <mergeCell ref="W33:W35"/>
    <mergeCell ref="V45:V46"/>
    <mergeCell ref="C43:C44"/>
    <mergeCell ref="T43:T44"/>
    <mergeCell ref="U43:U44"/>
    <mergeCell ref="Z50:Z51"/>
    <mergeCell ref="Z52:Z55"/>
    <mergeCell ref="AA37:AA39"/>
    <mergeCell ref="W10:AA10"/>
    <mergeCell ref="AA45:AA46"/>
    <mergeCell ref="AB52:AB55"/>
    <mergeCell ref="Y56:Y59"/>
    <mergeCell ref="AB56:AB59"/>
    <mergeCell ref="Y60:Y63"/>
    <mergeCell ref="AB60:AB63"/>
    <mergeCell ref="Y68:Y71"/>
    <mergeCell ref="AB68:AB71"/>
    <mergeCell ref="Y52:Y55"/>
    <mergeCell ref="Z60:Z63"/>
    <mergeCell ref="Z56:Z59"/>
    <mergeCell ref="Z68:Z71"/>
    <mergeCell ref="AB72:AB75"/>
    <mergeCell ref="B172:D172"/>
    <mergeCell ref="B173:D173"/>
    <mergeCell ref="B179:D179"/>
    <mergeCell ref="B175:D175"/>
    <mergeCell ref="B176:D176"/>
    <mergeCell ref="B177:D177"/>
    <mergeCell ref="B170:D170"/>
    <mergeCell ref="S131:S132"/>
    <mergeCell ref="B174:D174"/>
    <mergeCell ref="B168:D168"/>
    <mergeCell ref="B171:D171"/>
    <mergeCell ref="B169:D169"/>
    <mergeCell ref="B131:B132"/>
    <mergeCell ref="B138:B141"/>
    <mergeCell ref="C138:C141"/>
    <mergeCell ref="S138:S141"/>
    <mergeCell ref="C142:C145"/>
    <mergeCell ref="S142:S145"/>
    <mergeCell ref="B134:B137"/>
    <mergeCell ref="C134:C137"/>
    <mergeCell ref="S134:S137"/>
    <mergeCell ref="B146:B149"/>
    <mergeCell ref="B127:B129"/>
    <mergeCell ref="N82:N84"/>
    <mergeCell ref="T119:T122"/>
    <mergeCell ref="A127:A129"/>
    <mergeCell ref="C127:C129"/>
    <mergeCell ref="A123:A126"/>
    <mergeCell ref="C119:C122"/>
    <mergeCell ref="A142:A145"/>
    <mergeCell ref="B142:B145"/>
    <mergeCell ref="B103:B106"/>
    <mergeCell ref="B123:B126"/>
    <mergeCell ref="S127:S129"/>
    <mergeCell ref="T134:T137"/>
    <mergeCell ref="T138:T141"/>
    <mergeCell ref="T127:T129"/>
    <mergeCell ref="T142:T145"/>
    <mergeCell ref="A107:A110"/>
    <mergeCell ref="A115:A118"/>
    <mergeCell ref="A150:A153"/>
    <mergeCell ref="B150:B153"/>
    <mergeCell ref="C150:C153"/>
    <mergeCell ref="R10:R11"/>
    <mergeCell ref="R35:R37"/>
    <mergeCell ref="T18:T19"/>
    <mergeCell ref="S13:S39"/>
    <mergeCell ref="T24:T27"/>
    <mergeCell ref="U24:U27"/>
    <mergeCell ref="V24:V27"/>
    <mergeCell ref="A45:A46"/>
    <mergeCell ref="S43:S44"/>
    <mergeCell ref="U40:U42"/>
    <mergeCell ref="B40:B42"/>
    <mergeCell ref="C40:C42"/>
    <mergeCell ref="T40:T42"/>
    <mergeCell ref="T33:T39"/>
    <mergeCell ref="U33:U39"/>
    <mergeCell ref="B33:B37"/>
    <mergeCell ref="C33:C37"/>
    <mergeCell ref="D35:D37"/>
    <mergeCell ref="E35:E37"/>
    <mergeCell ref="F35:F37"/>
    <mergeCell ref="G35:G37"/>
    <mergeCell ref="H35:H37"/>
    <mergeCell ref="K35:K37"/>
    <mergeCell ref="L35:L37"/>
    <mergeCell ref="A10:A11"/>
    <mergeCell ref="B10:B11"/>
    <mergeCell ref="A20:A23"/>
    <mergeCell ref="B20:B23"/>
    <mergeCell ref="C20:C23"/>
    <mergeCell ref="C18:C19"/>
    <mergeCell ref="B24:B27"/>
    <mergeCell ref="C24:C27"/>
    <mergeCell ref="T20:T23"/>
    <mergeCell ref="O10:O11"/>
    <mergeCell ref="M10:M11"/>
    <mergeCell ref="S10:S11"/>
    <mergeCell ref="H10:H11"/>
    <mergeCell ref="K10:K11"/>
    <mergeCell ref="C10:C11"/>
    <mergeCell ref="D10:D11"/>
    <mergeCell ref="E10:E11"/>
    <mergeCell ref="F10:F11"/>
    <mergeCell ref="G10:G11"/>
    <mergeCell ref="I10:I11"/>
    <mergeCell ref="J10:J11"/>
    <mergeCell ref="N10:N11"/>
    <mergeCell ref="P10:P11"/>
    <mergeCell ref="Q10:Q11"/>
    <mergeCell ref="A2:AB2"/>
    <mergeCell ref="U30:U31"/>
    <mergeCell ref="A30:A31"/>
    <mergeCell ref="B30:B31"/>
    <mergeCell ref="C30:C31"/>
    <mergeCell ref="T30:T31"/>
    <mergeCell ref="A33:A37"/>
    <mergeCell ref="V40:V42"/>
    <mergeCell ref="W40:W42"/>
    <mergeCell ref="X40:X42"/>
    <mergeCell ref="W20:W23"/>
    <mergeCell ref="X20:X23"/>
    <mergeCell ref="I35:I37"/>
    <mergeCell ref="J35:J37"/>
    <mergeCell ref="O35:O37"/>
    <mergeCell ref="V37:V39"/>
    <mergeCell ref="X37:X39"/>
    <mergeCell ref="L10:L11"/>
    <mergeCell ref="T10:T11"/>
    <mergeCell ref="U10:U11"/>
    <mergeCell ref="V10:V11"/>
    <mergeCell ref="A13:A15"/>
    <mergeCell ref="B13:B15"/>
    <mergeCell ref="U18:U19"/>
    <mergeCell ref="A7:E7"/>
    <mergeCell ref="AB13:AB39"/>
    <mergeCell ref="AB40:AB42"/>
    <mergeCell ref="S40:S42"/>
    <mergeCell ref="S47:S51"/>
    <mergeCell ref="AB47:AB51"/>
    <mergeCell ref="S64:S67"/>
    <mergeCell ref="AB64:AB67"/>
    <mergeCell ref="AB80:AB86"/>
    <mergeCell ref="Y18:Y19"/>
    <mergeCell ref="V20:V23"/>
    <mergeCell ref="Y33:Y35"/>
    <mergeCell ref="S80:S86"/>
    <mergeCell ref="V43:V44"/>
    <mergeCell ref="W43:W44"/>
    <mergeCell ref="T13:T15"/>
    <mergeCell ref="U13:U15"/>
    <mergeCell ref="V13:V15"/>
    <mergeCell ref="A56:A59"/>
    <mergeCell ref="Y20:Y23"/>
    <mergeCell ref="Y24:Y27"/>
    <mergeCell ref="X24:X27"/>
    <mergeCell ref="V30:V31"/>
    <mergeCell ref="W30:W31"/>
    <mergeCell ref="AB76:AB79"/>
    <mergeCell ref="A72:A75"/>
    <mergeCell ref="B72:B75"/>
    <mergeCell ref="C72:C75"/>
    <mergeCell ref="S72:S75"/>
    <mergeCell ref="T72:T75"/>
    <mergeCell ref="U72:U75"/>
    <mergeCell ref="V72:V75"/>
    <mergeCell ref="W72:W75"/>
    <mergeCell ref="X72:X75"/>
    <mergeCell ref="A76:A79"/>
    <mergeCell ref="B76:B79"/>
    <mergeCell ref="C76:C79"/>
    <mergeCell ref="S76:S79"/>
    <mergeCell ref="T76:T79"/>
    <mergeCell ref="U76:U79"/>
    <mergeCell ref="V76:V79"/>
    <mergeCell ref="W76:W79"/>
    <mergeCell ref="X76:X79"/>
    <mergeCell ref="Y76:Y79"/>
    <mergeCell ref="Z72:Z75"/>
    <mergeCell ref="Z76:Z79"/>
    <mergeCell ref="AA76:AA79"/>
    <mergeCell ref="Y72:Y75"/>
    <mergeCell ref="AB87:AB90"/>
    <mergeCell ref="A91:A94"/>
    <mergeCell ref="B91:B94"/>
    <mergeCell ref="C91:C94"/>
    <mergeCell ref="S91:S94"/>
    <mergeCell ref="T91:T94"/>
    <mergeCell ref="U91:U94"/>
    <mergeCell ref="V91:V94"/>
    <mergeCell ref="W91:W94"/>
    <mergeCell ref="X91:X94"/>
    <mergeCell ref="Y91:Y94"/>
    <mergeCell ref="AB91:AB94"/>
    <mergeCell ref="A87:A90"/>
    <mergeCell ref="B87:B90"/>
    <mergeCell ref="C87:C90"/>
    <mergeCell ref="S87:S90"/>
    <mergeCell ref="T87:T90"/>
    <mergeCell ref="U87:U90"/>
    <mergeCell ref="V87:V90"/>
    <mergeCell ref="W87:W90"/>
    <mergeCell ref="X87:X90"/>
    <mergeCell ref="Y87:Y90"/>
    <mergeCell ref="AA87:AA90"/>
    <mergeCell ref="AA91:AA94"/>
    <mergeCell ref="A162:A165"/>
    <mergeCell ref="B162:B165"/>
    <mergeCell ref="C162:C165"/>
    <mergeCell ref="S162:S165"/>
    <mergeCell ref="T162:T165"/>
    <mergeCell ref="A158:A161"/>
    <mergeCell ref="S158:S161"/>
    <mergeCell ref="T158:T161"/>
    <mergeCell ref="S146:S149"/>
    <mergeCell ref="T146:T149"/>
    <mergeCell ref="A154:A157"/>
    <mergeCell ref="B154:B157"/>
    <mergeCell ref="C154:C157"/>
    <mergeCell ref="S154:S157"/>
    <mergeCell ref="T154:T157"/>
    <mergeCell ref="A146:A149"/>
    <mergeCell ref="B158:B161"/>
    <mergeCell ref="C146:C149"/>
    <mergeCell ref="S150:S153"/>
    <mergeCell ref="T150:T153"/>
    <mergeCell ref="V68:V71"/>
    <mergeCell ref="W68:W71"/>
    <mergeCell ref="U56:U59"/>
    <mergeCell ref="V56:V59"/>
    <mergeCell ref="U60:U63"/>
    <mergeCell ref="S68:S71"/>
    <mergeCell ref="T68:T71"/>
    <mergeCell ref="U68:U71"/>
    <mergeCell ref="C68:C71"/>
    <mergeCell ref="W13:W15"/>
    <mergeCell ref="U20:U23"/>
    <mergeCell ref="A24:A27"/>
    <mergeCell ref="C13:C15"/>
    <mergeCell ref="A18:A19"/>
    <mergeCell ref="B18:B19"/>
    <mergeCell ref="A40:A42"/>
    <mergeCell ref="B43:B44"/>
    <mergeCell ref="V50:V51"/>
    <mergeCell ref="V18:V19"/>
    <mergeCell ref="M35:M37"/>
    <mergeCell ref="P35:P37"/>
    <mergeCell ref="Q35:Q37"/>
    <mergeCell ref="C45:C46"/>
    <mergeCell ref="T45:T46"/>
    <mergeCell ref="A43:A44"/>
    <mergeCell ref="S45:S46"/>
    <mergeCell ref="W24:W27"/>
    <mergeCell ref="W18:W19"/>
    <mergeCell ref="A60:A63"/>
    <mergeCell ref="V60:V63"/>
    <mergeCell ref="B60:B63"/>
    <mergeCell ref="C60:C63"/>
    <mergeCell ref="S60:S63"/>
    <mergeCell ref="T60:T63"/>
    <mergeCell ref="X18:X19"/>
    <mergeCell ref="S52:S55"/>
    <mergeCell ref="T52:T55"/>
    <mergeCell ref="U52:U55"/>
    <mergeCell ref="C52:C55"/>
    <mergeCell ref="V52:V55"/>
    <mergeCell ref="X52:X55"/>
    <mergeCell ref="X43:X44"/>
    <mergeCell ref="X50:X51"/>
    <mergeCell ref="Z33:Z35"/>
    <mergeCell ref="Z37:Z39"/>
    <mergeCell ref="Y30:Y31"/>
    <mergeCell ref="Y43:Y44"/>
    <mergeCell ref="Z40:Z42"/>
    <mergeCell ref="Z43:Z44"/>
    <mergeCell ref="Y13:Y15"/>
    <mergeCell ref="X45:X46"/>
    <mergeCell ref="X30:X31"/>
    <mergeCell ref="X13:X15"/>
    <mergeCell ref="A103:A106"/>
    <mergeCell ref="S119:S122"/>
    <mergeCell ref="A52:A55"/>
    <mergeCell ref="B52:B55"/>
    <mergeCell ref="B56:B59"/>
    <mergeCell ref="C56:C59"/>
    <mergeCell ref="S56:S59"/>
    <mergeCell ref="T56:T59"/>
    <mergeCell ref="B45:B46"/>
    <mergeCell ref="B115:B118"/>
    <mergeCell ref="B99:B102"/>
    <mergeCell ref="C99:C102"/>
    <mergeCell ref="S99:S102"/>
    <mergeCell ref="T99:T102"/>
    <mergeCell ref="C115:C118"/>
    <mergeCell ref="S115:S118"/>
    <mergeCell ref="T115:T118"/>
    <mergeCell ref="M82:M84"/>
    <mergeCell ref="P82:P84"/>
    <mergeCell ref="Q82:Q84"/>
    <mergeCell ref="R82:R84"/>
    <mergeCell ref="B68:B71"/>
    <mergeCell ref="A68:A71"/>
    <mergeCell ref="B96:B98"/>
    <mergeCell ref="B111:B114"/>
    <mergeCell ref="C111:C114"/>
    <mergeCell ref="S111:S114"/>
    <mergeCell ref="T111:T114"/>
    <mergeCell ref="S123:S126"/>
    <mergeCell ref="T123:T126"/>
    <mergeCell ref="B107:B110"/>
    <mergeCell ref="C107:C110"/>
    <mergeCell ref="S107:S110"/>
    <mergeCell ref="T107:T110"/>
    <mergeCell ref="Z87:Z90"/>
    <mergeCell ref="Z91:Z94"/>
    <mergeCell ref="V82:V83"/>
    <mergeCell ref="Y82:Y83"/>
    <mergeCell ref="Z82:Z83"/>
    <mergeCell ref="C123:C126"/>
    <mergeCell ref="A96:A98"/>
    <mergeCell ref="A119:A122"/>
    <mergeCell ref="B119:B122"/>
    <mergeCell ref="C103:C106"/>
    <mergeCell ref="S103:S106"/>
    <mergeCell ref="T103:T106"/>
    <mergeCell ref="A99:A102"/>
    <mergeCell ref="C96:C98"/>
    <mergeCell ref="S96:S98"/>
    <mergeCell ref="T96:T98"/>
    <mergeCell ref="A111:A114"/>
    <mergeCell ref="D82:D84"/>
    <mergeCell ref="H82:H84"/>
    <mergeCell ref="I82:I84"/>
    <mergeCell ref="J82:J84"/>
    <mergeCell ref="K82:K84"/>
    <mergeCell ref="L82:L84"/>
    <mergeCell ref="O82:O84"/>
    <mergeCell ref="V96:V98"/>
    <mergeCell ref="W96:W98"/>
    <mergeCell ref="X96:X98"/>
    <mergeCell ref="W101:W102"/>
    <mergeCell ref="U96:U98"/>
    <mergeCell ref="U123:U126"/>
    <mergeCell ref="V123:V126"/>
    <mergeCell ref="U103:Z118"/>
    <mergeCell ref="X123:X126"/>
    <mergeCell ref="W125:W126"/>
    <mergeCell ref="U99:U102"/>
    <mergeCell ref="Y96:Y98"/>
    <mergeCell ref="Z96:Z98"/>
    <mergeCell ref="X134:X137"/>
    <mergeCell ref="X127:X129"/>
    <mergeCell ref="Y127:Y129"/>
    <mergeCell ref="V131:V132"/>
    <mergeCell ref="W131:W132"/>
    <mergeCell ref="X131:X132"/>
    <mergeCell ref="U127:U129"/>
    <mergeCell ref="V101:V102"/>
    <mergeCell ref="X101:X102"/>
    <mergeCell ref="W134:W137"/>
    <mergeCell ref="V134:V137"/>
    <mergeCell ref="V127:V129"/>
    <mergeCell ref="U134:U137"/>
    <mergeCell ref="AB96:AB98"/>
    <mergeCell ref="AA96:AA98"/>
    <mergeCell ref="AA147:AA149"/>
    <mergeCell ref="AA152:AA153"/>
    <mergeCell ref="Z138:Z141"/>
    <mergeCell ref="Y152:Y153"/>
    <mergeCell ref="Z152:Z153"/>
    <mergeCell ref="Y138:Y141"/>
    <mergeCell ref="Z143:Z145"/>
    <mergeCell ref="Z147:Z149"/>
    <mergeCell ref="Y101:Y102"/>
    <mergeCell ref="Z101:Z102"/>
    <mergeCell ref="AB99:AB153"/>
    <mergeCell ref="Y123:Y126"/>
    <mergeCell ref="Z123:Z126"/>
    <mergeCell ref="Y142:Y145"/>
    <mergeCell ref="AA101:AA102"/>
    <mergeCell ref="AA123:AA126"/>
    <mergeCell ref="AA134:AA137"/>
    <mergeCell ref="AA138:AA141"/>
    <mergeCell ref="AA143:AA145"/>
    <mergeCell ref="Y131:Y132"/>
    <mergeCell ref="Z134:Z137"/>
    <mergeCell ref="Y134:Y137"/>
    <mergeCell ref="M197:M199"/>
    <mergeCell ref="V142:V145"/>
    <mergeCell ref="V152:V153"/>
    <mergeCell ref="X152:X153"/>
    <mergeCell ref="U142:U145"/>
    <mergeCell ref="W152:W153"/>
    <mergeCell ref="V138:V141"/>
    <mergeCell ref="W138:W141"/>
    <mergeCell ref="X138:X141"/>
    <mergeCell ref="U150:U153"/>
    <mergeCell ref="U146:U149"/>
    <mergeCell ref="U154:AB165"/>
    <mergeCell ref="V146:V149"/>
    <mergeCell ref="W146:W149"/>
    <mergeCell ref="X146:X149"/>
    <mergeCell ref="Y146:Y149"/>
    <mergeCell ref="U138:U141"/>
    <mergeCell ref="X142:X145"/>
    <mergeCell ref="B4:W4"/>
    <mergeCell ref="X4:AB4"/>
    <mergeCell ref="B5:W5"/>
    <mergeCell ref="X5:AB5"/>
    <mergeCell ref="AA82:AA83"/>
    <mergeCell ref="V84:V86"/>
    <mergeCell ref="Y84:Y86"/>
    <mergeCell ref="Z84:Z86"/>
    <mergeCell ref="AA84:AA86"/>
    <mergeCell ref="N35:N37"/>
    <mergeCell ref="U45:U46"/>
    <mergeCell ref="Y45:Y46"/>
    <mergeCell ref="Z45:Z46"/>
    <mergeCell ref="Y37:Y39"/>
    <mergeCell ref="X60:X63"/>
    <mergeCell ref="W56:W59"/>
    <mergeCell ref="W60:W63"/>
    <mergeCell ref="X56:X59"/>
    <mergeCell ref="W52:W55"/>
    <mergeCell ref="Z13:Z15"/>
    <mergeCell ref="Z18:Z19"/>
    <mergeCell ref="Z20:Z23"/>
    <mergeCell ref="Z24:Z27"/>
    <mergeCell ref="Z30:Z31"/>
  </mergeCells>
  <phoneticPr fontId="18" type="noConversion"/>
  <conditionalFormatting sqref="G11:H11 E10:H10 S10:T10">
    <cfRule type="dataBar" priority="23">
      <dataBar>
        <cfvo type="min"/>
        <cfvo type="max"/>
        <color rgb="FF638EC6"/>
      </dataBar>
      <extLst>
        <ext xmlns:x14="http://schemas.microsoft.com/office/spreadsheetml/2009/9/main" uri="{B025F937-C7B1-47D3-B67F-A62EFF666E3E}">
          <x14:id>{29C299C1-D674-4E79-9B19-544D0B95209D}</x14:id>
        </ext>
      </extLst>
    </cfRule>
  </conditionalFormatting>
  <conditionalFormatting sqref="I10:J10">
    <cfRule type="dataBar" priority="15">
      <dataBar>
        <cfvo type="min"/>
        <cfvo type="max"/>
        <color rgb="FF638EC6"/>
      </dataBar>
      <extLst>
        <ext xmlns:x14="http://schemas.microsoft.com/office/spreadsheetml/2009/9/main" uri="{B025F937-C7B1-47D3-B67F-A62EFF666E3E}">
          <x14:id>{F03AC553-635F-4A33-977C-E995F78F332E}</x14:id>
        </ext>
      </extLst>
    </cfRule>
  </conditionalFormatting>
  <conditionalFormatting sqref="J11">
    <cfRule type="dataBar" priority="14">
      <dataBar>
        <cfvo type="min"/>
        <cfvo type="max"/>
        <color rgb="FF638EC6"/>
      </dataBar>
      <extLst>
        <ext xmlns:x14="http://schemas.microsoft.com/office/spreadsheetml/2009/9/main" uri="{B025F937-C7B1-47D3-B67F-A62EFF666E3E}">
          <x14:id>{7BDE7DBD-40FA-4E73-993B-516E485518F5}</x14:id>
        </ext>
      </extLst>
    </cfRule>
  </conditionalFormatting>
  <conditionalFormatting sqref="K10:L11">
    <cfRule type="dataBar" priority="11">
      <dataBar>
        <cfvo type="min"/>
        <cfvo type="max"/>
        <color rgb="FF638EC6"/>
      </dataBar>
      <extLst>
        <ext xmlns:x14="http://schemas.microsoft.com/office/spreadsheetml/2009/9/main" uri="{B025F937-C7B1-47D3-B67F-A62EFF666E3E}">
          <x14:id>{73DACC23-0D99-47B8-97B0-90E7750181DE}</x14:id>
        </ext>
      </extLst>
    </cfRule>
  </conditionalFormatting>
  <conditionalFormatting sqref="M11">
    <cfRule type="dataBar" priority="7">
      <dataBar>
        <cfvo type="min"/>
        <cfvo type="max"/>
        <color rgb="FF638EC6"/>
      </dataBar>
      <extLst>
        <ext xmlns:x14="http://schemas.microsoft.com/office/spreadsheetml/2009/9/main" uri="{B025F937-C7B1-47D3-B67F-A62EFF666E3E}">
          <x14:id>{2F581344-0D5E-4869-9800-7D5C156AFB55}</x14:id>
        </ext>
      </extLst>
    </cfRule>
  </conditionalFormatting>
  <conditionalFormatting sqref="M10:N10">
    <cfRule type="dataBar" priority="8">
      <dataBar>
        <cfvo type="min"/>
        <cfvo type="max"/>
        <color rgb="FF638EC6"/>
      </dataBar>
      <extLst>
        <ext xmlns:x14="http://schemas.microsoft.com/office/spreadsheetml/2009/9/main" uri="{B025F937-C7B1-47D3-B67F-A62EFF666E3E}">
          <x14:id>{E48A0689-D7A8-4003-9B8F-1CBF5476EDAD}</x14:id>
        </ext>
      </extLst>
    </cfRule>
  </conditionalFormatting>
  <conditionalFormatting sqref="O10">
    <cfRule type="dataBar" priority="10">
      <dataBar>
        <cfvo type="min"/>
        <cfvo type="max"/>
        <color rgb="FF638EC6"/>
      </dataBar>
      <extLst>
        <ext xmlns:x14="http://schemas.microsoft.com/office/spreadsheetml/2009/9/main" uri="{B025F937-C7B1-47D3-B67F-A62EFF666E3E}">
          <x14:id>{2B770045-4CAA-404D-816B-A994AB62B540}</x14:id>
        </ext>
      </extLst>
    </cfRule>
  </conditionalFormatting>
  <conditionalFormatting sqref="O11">
    <cfRule type="dataBar" priority="9">
      <dataBar>
        <cfvo type="min"/>
        <cfvo type="max"/>
        <color rgb="FF638EC6"/>
      </dataBar>
      <extLst>
        <ext xmlns:x14="http://schemas.microsoft.com/office/spreadsheetml/2009/9/main" uri="{B025F937-C7B1-47D3-B67F-A62EFF666E3E}">
          <x14:id>{27544336-45B7-45BB-8002-E35D9740BD8B}</x14:id>
        </ext>
      </extLst>
    </cfRule>
  </conditionalFormatting>
  <conditionalFormatting sqref="P10">
    <cfRule type="dataBar" priority="6">
      <dataBar>
        <cfvo type="min"/>
        <cfvo type="max"/>
        <color rgb="FF638EC6"/>
      </dataBar>
      <extLst>
        <ext xmlns:x14="http://schemas.microsoft.com/office/spreadsheetml/2009/9/main" uri="{B025F937-C7B1-47D3-B67F-A62EFF666E3E}">
          <x14:id>{79F51223-167D-4BAE-9AB4-25AE0A3219AF}</x14:id>
        </ext>
      </extLst>
    </cfRule>
  </conditionalFormatting>
  <conditionalFormatting sqref="P11">
    <cfRule type="dataBar" priority="5">
      <dataBar>
        <cfvo type="min"/>
        <cfvo type="max"/>
        <color rgb="FF638EC6"/>
      </dataBar>
      <extLst>
        <ext xmlns:x14="http://schemas.microsoft.com/office/spreadsheetml/2009/9/main" uri="{B025F937-C7B1-47D3-B67F-A62EFF666E3E}">
          <x14:id>{03420E18-2241-4B28-8173-2764E570856E}</x14:id>
        </ext>
      </extLst>
    </cfRule>
  </conditionalFormatting>
  <conditionalFormatting sqref="Q10">
    <cfRule type="dataBar" priority="4">
      <dataBar>
        <cfvo type="min"/>
        <cfvo type="max"/>
        <color rgb="FF638EC6"/>
      </dataBar>
      <extLst>
        <ext xmlns:x14="http://schemas.microsoft.com/office/spreadsheetml/2009/9/main" uri="{B025F937-C7B1-47D3-B67F-A62EFF666E3E}">
          <x14:id>{B1D5A974-1035-4014-AA59-1AAB2A55E53B}</x14:id>
        </ext>
      </extLst>
    </cfRule>
  </conditionalFormatting>
  <conditionalFormatting sqref="Q11">
    <cfRule type="dataBar" priority="3">
      <dataBar>
        <cfvo type="min"/>
        <cfvo type="max"/>
        <color rgb="FF638EC6"/>
      </dataBar>
      <extLst>
        <ext xmlns:x14="http://schemas.microsoft.com/office/spreadsheetml/2009/9/main" uri="{B025F937-C7B1-47D3-B67F-A62EFF666E3E}">
          <x14:id>{9C7CD37D-E67C-4A9C-9E0F-63BC0439BFB4}</x14:id>
        </ext>
      </extLst>
    </cfRule>
  </conditionalFormatting>
  <conditionalFormatting sqref="R10">
    <cfRule type="dataBar" priority="2">
      <dataBar>
        <cfvo type="min"/>
        <cfvo type="max"/>
        <color rgb="FF638EC6"/>
      </dataBar>
      <extLst>
        <ext xmlns:x14="http://schemas.microsoft.com/office/spreadsheetml/2009/9/main" uri="{B025F937-C7B1-47D3-B67F-A62EFF666E3E}">
          <x14:id>{3A9AD86B-00E7-4949-B287-4DCA9AD6C583}</x14:id>
        </ext>
      </extLst>
    </cfRule>
  </conditionalFormatting>
  <conditionalFormatting sqref="R11">
    <cfRule type="dataBar" priority="1">
      <dataBar>
        <cfvo type="min"/>
        <cfvo type="max"/>
        <color rgb="FF638EC6"/>
      </dataBar>
      <extLst>
        <ext xmlns:x14="http://schemas.microsoft.com/office/spreadsheetml/2009/9/main" uri="{B025F937-C7B1-47D3-B67F-A62EFF666E3E}">
          <x14:id>{822CC7BA-A714-42D4-B118-73B7EB95C9CE}</x14:id>
        </ext>
      </extLst>
    </cfRule>
  </conditionalFormatting>
  <pageMargins left="0.70866141732283472" right="0.70866141732283472" top="0.74803149606299213" bottom="0.74803149606299213" header="0.31496062992125984" footer="0.31496062992125984"/>
  <pageSetup paperSize="8" scale="50" fitToHeight="0" pageOrder="overThenDown" orientation="landscape" r:id="rId1"/>
  <extLst>
    <ext xmlns:x14="http://schemas.microsoft.com/office/spreadsheetml/2009/9/main" uri="{78C0D931-6437-407d-A8EE-F0AAD7539E65}">
      <x14:conditionalFormattings>
        <x14:conditionalFormatting xmlns:xm="http://schemas.microsoft.com/office/excel/2006/main">
          <x14:cfRule type="dataBar" id="{29C299C1-D674-4E79-9B19-544D0B95209D}">
            <x14:dataBar minLength="0" maxLength="100" border="1" negativeBarBorderColorSameAsPositive="0">
              <x14:cfvo type="autoMin"/>
              <x14:cfvo type="autoMax"/>
              <x14:borderColor rgb="FF638EC6"/>
              <x14:negativeFillColor rgb="FFFF0000"/>
              <x14:negativeBorderColor rgb="FFFF0000"/>
              <x14:axisColor rgb="FF000000"/>
            </x14:dataBar>
          </x14:cfRule>
          <xm:sqref>G11:H11 E10:H10 S10:T10</xm:sqref>
        </x14:conditionalFormatting>
        <x14:conditionalFormatting xmlns:xm="http://schemas.microsoft.com/office/excel/2006/main">
          <x14:cfRule type="dataBar" id="{F03AC553-635F-4A33-977C-E995F78F332E}">
            <x14:dataBar minLength="0" maxLength="100" border="1" negativeBarBorderColorSameAsPositive="0">
              <x14:cfvo type="autoMin"/>
              <x14:cfvo type="autoMax"/>
              <x14:borderColor rgb="FF638EC6"/>
              <x14:negativeFillColor rgb="FFFF0000"/>
              <x14:negativeBorderColor rgb="FFFF0000"/>
              <x14:axisColor rgb="FF000000"/>
            </x14:dataBar>
          </x14:cfRule>
          <xm:sqref>I10:J10</xm:sqref>
        </x14:conditionalFormatting>
        <x14:conditionalFormatting xmlns:xm="http://schemas.microsoft.com/office/excel/2006/main">
          <x14:cfRule type="dataBar" id="{7BDE7DBD-40FA-4E73-993B-516E485518F5}">
            <x14:dataBar minLength="0" maxLength="100" border="1" negativeBarBorderColorSameAsPositive="0">
              <x14:cfvo type="autoMin"/>
              <x14:cfvo type="autoMax"/>
              <x14:borderColor rgb="FF638EC6"/>
              <x14:negativeFillColor rgb="FFFF0000"/>
              <x14:negativeBorderColor rgb="FFFF0000"/>
              <x14:axisColor rgb="FF000000"/>
            </x14:dataBar>
          </x14:cfRule>
          <xm:sqref>J11</xm:sqref>
        </x14:conditionalFormatting>
        <x14:conditionalFormatting xmlns:xm="http://schemas.microsoft.com/office/excel/2006/main">
          <x14:cfRule type="dataBar" id="{73DACC23-0D99-47B8-97B0-90E7750181DE}">
            <x14:dataBar minLength="0" maxLength="100" border="1" negativeBarBorderColorSameAsPositive="0">
              <x14:cfvo type="autoMin"/>
              <x14:cfvo type="autoMax"/>
              <x14:borderColor rgb="FF638EC6"/>
              <x14:negativeFillColor rgb="FFFF0000"/>
              <x14:negativeBorderColor rgb="FFFF0000"/>
              <x14:axisColor rgb="FF000000"/>
            </x14:dataBar>
          </x14:cfRule>
          <xm:sqref>K10:L11</xm:sqref>
        </x14:conditionalFormatting>
        <x14:conditionalFormatting xmlns:xm="http://schemas.microsoft.com/office/excel/2006/main">
          <x14:cfRule type="dataBar" id="{2F581344-0D5E-4869-9800-7D5C156AFB55}">
            <x14:dataBar minLength="0" maxLength="100" border="1" negativeBarBorderColorSameAsPositive="0">
              <x14:cfvo type="autoMin"/>
              <x14:cfvo type="autoMax"/>
              <x14:borderColor rgb="FF638EC6"/>
              <x14:negativeFillColor rgb="FFFF0000"/>
              <x14:negativeBorderColor rgb="FFFF0000"/>
              <x14:axisColor rgb="FF000000"/>
            </x14:dataBar>
          </x14:cfRule>
          <xm:sqref>M11</xm:sqref>
        </x14:conditionalFormatting>
        <x14:conditionalFormatting xmlns:xm="http://schemas.microsoft.com/office/excel/2006/main">
          <x14:cfRule type="dataBar" id="{E48A0689-D7A8-4003-9B8F-1CBF5476EDAD}">
            <x14:dataBar minLength="0" maxLength="100" border="1" negativeBarBorderColorSameAsPositive="0">
              <x14:cfvo type="autoMin"/>
              <x14:cfvo type="autoMax"/>
              <x14:borderColor rgb="FF638EC6"/>
              <x14:negativeFillColor rgb="FFFF0000"/>
              <x14:negativeBorderColor rgb="FFFF0000"/>
              <x14:axisColor rgb="FF000000"/>
            </x14:dataBar>
          </x14:cfRule>
          <xm:sqref>M10:N10</xm:sqref>
        </x14:conditionalFormatting>
        <x14:conditionalFormatting xmlns:xm="http://schemas.microsoft.com/office/excel/2006/main">
          <x14:cfRule type="dataBar" id="{2B770045-4CAA-404D-816B-A994AB62B540}">
            <x14:dataBar minLength="0" maxLength="100" border="1" negativeBarBorderColorSameAsPositive="0">
              <x14:cfvo type="autoMin"/>
              <x14:cfvo type="autoMax"/>
              <x14:borderColor rgb="FF638EC6"/>
              <x14:negativeFillColor rgb="FFFF0000"/>
              <x14:negativeBorderColor rgb="FFFF0000"/>
              <x14:axisColor rgb="FF000000"/>
            </x14:dataBar>
          </x14:cfRule>
          <xm:sqref>O10</xm:sqref>
        </x14:conditionalFormatting>
        <x14:conditionalFormatting xmlns:xm="http://schemas.microsoft.com/office/excel/2006/main">
          <x14:cfRule type="dataBar" id="{27544336-45B7-45BB-8002-E35D9740BD8B}">
            <x14:dataBar minLength="0" maxLength="100" border="1" negativeBarBorderColorSameAsPositive="0">
              <x14:cfvo type="autoMin"/>
              <x14:cfvo type="autoMax"/>
              <x14:borderColor rgb="FF638EC6"/>
              <x14:negativeFillColor rgb="FFFF0000"/>
              <x14:negativeBorderColor rgb="FFFF0000"/>
              <x14:axisColor rgb="FF000000"/>
            </x14:dataBar>
          </x14:cfRule>
          <xm:sqref>O11</xm:sqref>
        </x14:conditionalFormatting>
        <x14:conditionalFormatting xmlns:xm="http://schemas.microsoft.com/office/excel/2006/main">
          <x14:cfRule type="dataBar" id="{79F51223-167D-4BAE-9AB4-25AE0A3219AF}">
            <x14:dataBar minLength="0" maxLength="100" border="1" negativeBarBorderColorSameAsPositive="0">
              <x14:cfvo type="autoMin"/>
              <x14:cfvo type="autoMax"/>
              <x14:borderColor rgb="FF638EC6"/>
              <x14:negativeFillColor rgb="FFFF0000"/>
              <x14:negativeBorderColor rgb="FFFF0000"/>
              <x14:axisColor rgb="FF000000"/>
            </x14:dataBar>
          </x14:cfRule>
          <xm:sqref>P10</xm:sqref>
        </x14:conditionalFormatting>
        <x14:conditionalFormatting xmlns:xm="http://schemas.microsoft.com/office/excel/2006/main">
          <x14:cfRule type="dataBar" id="{03420E18-2241-4B28-8173-2764E570856E}">
            <x14:dataBar minLength="0" maxLength="100" border="1" negativeBarBorderColorSameAsPositive="0">
              <x14:cfvo type="autoMin"/>
              <x14:cfvo type="autoMax"/>
              <x14:borderColor rgb="FF638EC6"/>
              <x14:negativeFillColor rgb="FFFF0000"/>
              <x14:negativeBorderColor rgb="FFFF0000"/>
              <x14:axisColor rgb="FF000000"/>
            </x14:dataBar>
          </x14:cfRule>
          <xm:sqref>P11</xm:sqref>
        </x14:conditionalFormatting>
        <x14:conditionalFormatting xmlns:xm="http://schemas.microsoft.com/office/excel/2006/main">
          <x14:cfRule type="dataBar" id="{B1D5A974-1035-4014-AA59-1AAB2A55E53B}">
            <x14:dataBar minLength="0" maxLength="100" border="1" negativeBarBorderColorSameAsPositive="0">
              <x14:cfvo type="autoMin"/>
              <x14:cfvo type="autoMax"/>
              <x14:borderColor rgb="FF638EC6"/>
              <x14:negativeFillColor rgb="FFFF0000"/>
              <x14:negativeBorderColor rgb="FFFF0000"/>
              <x14:axisColor rgb="FF000000"/>
            </x14:dataBar>
          </x14:cfRule>
          <xm:sqref>Q10</xm:sqref>
        </x14:conditionalFormatting>
        <x14:conditionalFormatting xmlns:xm="http://schemas.microsoft.com/office/excel/2006/main">
          <x14:cfRule type="dataBar" id="{9C7CD37D-E67C-4A9C-9E0F-63BC0439BFB4}">
            <x14:dataBar minLength="0" maxLength="100" border="1" negativeBarBorderColorSameAsPositive="0">
              <x14:cfvo type="autoMin"/>
              <x14:cfvo type="autoMax"/>
              <x14:borderColor rgb="FF638EC6"/>
              <x14:negativeFillColor rgb="FFFF0000"/>
              <x14:negativeBorderColor rgb="FFFF0000"/>
              <x14:axisColor rgb="FF000000"/>
            </x14:dataBar>
          </x14:cfRule>
          <xm:sqref>Q11</xm:sqref>
        </x14:conditionalFormatting>
        <x14:conditionalFormatting xmlns:xm="http://schemas.microsoft.com/office/excel/2006/main">
          <x14:cfRule type="dataBar" id="{3A9AD86B-00E7-4949-B287-4DCA9AD6C583}">
            <x14:dataBar minLength="0" maxLength="100" border="1" negativeBarBorderColorSameAsPositive="0">
              <x14:cfvo type="autoMin"/>
              <x14:cfvo type="autoMax"/>
              <x14:borderColor rgb="FF638EC6"/>
              <x14:negativeFillColor rgb="FFFF0000"/>
              <x14:negativeBorderColor rgb="FFFF0000"/>
              <x14:axisColor rgb="FF000000"/>
            </x14:dataBar>
          </x14:cfRule>
          <xm:sqref>R10</xm:sqref>
        </x14:conditionalFormatting>
        <x14:conditionalFormatting xmlns:xm="http://schemas.microsoft.com/office/excel/2006/main">
          <x14:cfRule type="dataBar" id="{822CC7BA-A714-42D4-B118-73B7EB95C9CE}">
            <x14:dataBar minLength="0" maxLength="100" border="1" negativeBarBorderColorSameAsPositive="0">
              <x14:cfvo type="autoMin"/>
              <x14:cfvo type="autoMax"/>
              <x14:borderColor rgb="FF638EC6"/>
              <x14:negativeFillColor rgb="FFFF0000"/>
              <x14:negativeBorderColor rgb="FFFF0000"/>
              <x14:axisColor rgb="FF000000"/>
            </x14:dataBar>
          </x14:cfRule>
          <xm:sqref>R11</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DEC0F-9E04-419A-B5BC-8A3122F3A9CD}">
  <sheetPr>
    <pageSetUpPr fitToPage="1"/>
  </sheetPr>
  <dimension ref="A1:AF1206"/>
  <sheetViews>
    <sheetView zoomScale="94" zoomScaleNormal="94" zoomScaleSheetLayoutView="102" workbookViewId="0">
      <selection activeCell="AJ17" sqref="AJ17"/>
    </sheetView>
  </sheetViews>
  <sheetFormatPr defaultColWidth="9.109375" defaultRowHeight="29.4" customHeight="1"/>
  <cols>
    <col min="1" max="1" width="15.6640625" style="364" customWidth="1"/>
    <col min="2" max="2" width="27.5546875" style="364" customWidth="1"/>
    <col min="3" max="3" width="4.5546875" style="364" customWidth="1"/>
    <col min="4" max="4" width="7.44140625" style="364" customWidth="1"/>
    <col min="5" max="5" width="10.6640625" style="394" hidden="1" customWidth="1"/>
    <col min="6" max="6" width="12.88671875" style="394" hidden="1" customWidth="1"/>
    <col min="7" max="7" width="13.33203125" style="364" hidden="1" customWidth="1"/>
    <col min="8" max="8" width="15" style="364" hidden="1" customWidth="1"/>
    <col min="9" max="9" width="15" style="221" hidden="1" customWidth="1"/>
    <col min="10" max="10" width="15" style="356" hidden="1" customWidth="1"/>
    <col min="11" max="11" width="15.6640625" style="364" hidden="1" customWidth="1"/>
    <col min="12" max="12" width="16.109375" style="364" customWidth="1"/>
    <col min="13" max="13" width="14" style="1590" hidden="1" customWidth="1"/>
    <col min="14" max="14" width="9.77734375" style="221" hidden="1" customWidth="1"/>
    <col min="15" max="15" width="16.109375" style="364" customWidth="1"/>
    <col min="16" max="16" width="16.109375" style="1590" hidden="1" customWidth="1"/>
    <col min="17" max="17" width="16.109375" style="364" customWidth="1"/>
    <col min="18" max="18" width="16.109375" style="1590" hidden="1" customWidth="1"/>
    <col min="19" max="19" width="12.6640625" style="1309" customWidth="1"/>
    <col min="20" max="20" width="61" style="364" customWidth="1"/>
    <col min="21" max="21" width="15.5546875" style="364" customWidth="1"/>
    <col min="22" max="22" width="30.5546875" style="364" customWidth="1"/>
    <col min="23" max="24" width="6.33203125" style="364" hidden="1" customWidth="1"/>
    <col min="25" max="25" width="6.33203125" style="364" customWidth="1"/>
    <col min="26" max="26" width="6" style="364" customWidth="1"/>
    <col min="27" max="27" width="6" style="221" customWidth="1"/>
    <col min="28" max="28" width="29.44140625" style="364" customWidth="1"/>
    <col min="29" max="30" width="0" style="364" hidden="1" customWidth="1"/>
    <col min="31" max="32" width="8.88671875" style="364" hidden="1" customWidth="1"/>
    <col min="33" max="33" width="0" style="364" hidden="1" customWidth="1"/>
    <col min="34" max="34" width="23.44140625" style="364" customWidth="1"/>
    <col min="35" max="16384" width="9.109375" style="364"/>
  </cols>
  <sheetData>
    <row r="1" spans="1:28" ht="29.4" customHeight="1">
      <c r="A1" s="3217" t="s">
        <v>2140</v>
      </c>
      <c r="B1" s="3217"/>
      <c r="C1" s="3217"/>
      <c r="D1" s="3217"/>
      <c r="E1" s="3217"/>
      <c r="F1" s="3217"/>
      <c r="G1" s="360"/>
      <c r="H1" s="3194"/>
      <c r="I1" s="3194"/>
      <c r="J1" s="3194"/>
      <c r="K1" s="3194"/>
      <c r="L1" s="3194"/>
      <c r="M1" s="3194"/>
      <c r="N1" s="3194"/>
      <c r="O1" s="3194"/>
      <c r="P1" s="3194"/>
      <c r="Q1" s="3194"/>
      <c r="R1" s="3194"/>
      <c r="S1" s="3194"/>
      <c r="T1" s="3194"/>
      <c r="U1" s="362"/>
      <c r="V1" s="362"/>
      <c r="W1" s="363"/>
      <c r="X1" s="363"/>
      <c r="Y1" s="363"/>
      <c r="Z1" s="363"/>
      <c r="AA1" s="1853"/>
      <c r="AB1" s="362"/>
    </row>
    <row r="2" spans="1:28" ht="24" customHeight="1">
      <c r="A2" s="3193" t="s">
        <v>2645</v>
      </c>
      <c r="B2" s="3193"/>
      <c r="C2" s="3193"/>
      <c r="D2" s="3193"/>
      <c r="E2" s="3193"/>
      <c r="F2" s="3193"/>
      <c r="G2" s="3193"/>
      <c r="H2" s="3193"/>
      <c r="I2" s="3193"/>
      <c r="J2" s="3193"/>
      <c r="K2" s="3193"/>
      <c r="L2" s="3193"/>
      <c r="M2" s="3193"/>
      <c r="N2" s="3193"/>
      <c r="O2" s="3193"/>
      <c r="P2" s="3193"/>
      <c r="Q2" s="3193"/>
      <c r="R2" s="3193"/>
      <c r="S2" s="3193"/>
      <c r="T2" s="3193"/>
      <c r="U2" s="3193"/>
      <c r="V2" s="3193"/>
      <c r="W2" s="3193"/>
      <c r="X2" s="3193"/>
      <c r="Y2" s="3193"/>
      <c r="Z2" s="3193"/>
      <c r="AA2" s="3193"/>
      <c r="AB2" s="3193"/>
    </row>
    <row r="3" spans="1:28" ht="29.4" hidden="1" customHeight="1">
      <c r="A3" s="365"/>
      <c r="B3" s="365"/>
      <c r="C3" s="365"/>
      <c r="D3" s="365"/>
      <c r="E3" s="365"/>
      <c r="F3" s="365"/>
      <c r="G3" s="365"/>
      <c r="H3" s="365"/>
      <c r="I3" s="639"/>
      <c r="J3" s="470"/>
      <c r="K3" s="365"/>
      <c r="L3" s="365"/>
      <c r="M3" s="1588"/>
      <c r="N3" s="639"/>
      <c r="O3" s="365"/>
      <c r="P3" s="1588"/>
      <c r="Q3" s="365"/>
      <c r="R3" s="1588"/>
      <c r="S3" s="1307"/>
      <c r="T3" s="365"/>
      <c r="U3" s="365"/>
      <c r="V3" s="365"/>
      <c r="W3" s="365"/>
      <c r="X3" s="365"/>
      <c r="Y3" s="365"/>
      <c r="Z3" s="365"/>
      <c r="AA3" s="639"/>
      <c r="AB3" s="365"/>
    </row>
    <row r="4" spans="1:28" ht="15" customHeight="1">
      <c r="A4" s="361" t="str">
        <f>A16</f>
        <v>08.01.01.(T)</v>
      </c>
      <c r="B4" s="2857" t="str">
        <f>B16</f>
        <v>Mažinti aplinkos užterštumą ir gerinti vandens telkinių, bendro naudojimo ir kitų teritorijų būklę</v>
      </c>
      <c r="C4" s="2857"/>
      <c r="D4" s="2857"/>
      <c r="E4" s="2857"/>
      <c r="F4" s="2857"/>
      <c r="G4" s="2857"/>
      <c r="H4" s="2857"/>
      <c r="I4" s="2857"/>
      <c r="J4" s="2857"/>
      <c r="K4" s="2857"/>
      <c r="L4" s="2857"/>
      <c r="M4" s="2857"/>
      <c r="N4" s="2857"/>
      <c r="O4" s="2857"/>
      <c r="P4" s="2857"/>
      <c r="Q4" s="2857"/>
      <c r="R4" s="2857"/>
      <c r="S4" s="2857"/>
      <c r="T4" s="2857"/>
      <c r="U4" s="2857"/>
      <c r="V4" s="2857"/>
      <c r="W4" s="2857"/>
      <c r="X4" s="2857"/>
      <c r="Y4" s="2857"/>
      <c r="Z4" s="2857"/>
      <c r="AA4" s="2857"/>
      <c r="AB4" s="2857"/>
    </row>
    <row r="5" spans="1:28" ht="14.4" customHeight="1">
      <c r="A5" s="361" t="str">
        <f>A122</f>
        <v>08.01.02. (T)</v>
      </c>
      <c r="B5" s="2857" t="str">
        <f>B122</f>
        <v>Įgyvendinti Lietuvos Respublikos geriamojo vandens tiekimo ir nuotekų tvarkymo įstatymo nuostatas</v>
      </c>
      <c r="C5" s="2857"/>
      <c r="D5" s="2857"/>
      <c r="E5" s="2857"/>
      <c r="F5" s="2857"/>
      <c r="G5" s="2857"/>
      <c r="H5" s="2857"/>
      <c r="I5" s="2857"/>
      <c r="J5" s="2857"/>
      <c r="K5" s="2857"/>
      <c r="L5" s="2857"/>
      <c r="M5" s="2857"/>
      <c r="N5" s="2857"/>
      <c r="O5" s="2857"/>
      <c r="P5" s="2857"/>
      <c r="Q5" s="2857"/>
      <c r="R5" s="2857"/>
      <c r="S5" s="2857"/>
      <c r="T5" s="2857"/>
      <c r="U5" s="2857"/>
      <c r="V5" s="2857"/>
      <c r="W5" s="2857"/>
      <c r="X5" s="2857"/>
      <c r="Y5" s="2857"/>
      <c r="Z5" s="2857"/>
      <c r="AA5" s="2857"/>
      <c r="AB5" s="2857"/>
    </row>
    <row r="6" spans="1:28" ht="19.8" customHeight="1">
      <c r="A6" s="361" t="str">
        <f>A145</f>
        <v>08.01.03. (T)</v>
      </c>
      <c r="B6" s="2857" t="str">
        <f>B145</f>
        <v>Įgyvendinti Lietuvos Respublikos triukšmo valdymo įstatymo nuostatas</v>
      </c>
      <c r="C6" s="2857"/>
      <c r="D6" s="2857"/>
      <c r="E6" s="2857"/>
      <c r="F6" s="2857"/>
      <c r="G6" s="2857"/>
      <c r="H6" s="2857"/>
      <c r="I6" s="2857"/>
      <c r="J6" s="2857"/>
      <c r="K6" s="2857"/>
      <c r="L6" s="2857"/>
      <c r="M6" s="2857"/>
      <c r="N6" s="2857"/>
      <c r="O6" s="2857"/>
      <c r="P6" s="2857"/>
      <c r="Q6" s="2857"/>
      <c r="R6" s="2857"/>
      <c r="S6" s="2857"/>
      <c r="T6" s="2857"/>
      <c r="U6" s="2857"/>
      <c r="V6" s="2857"/>
      <c r="W6" s="2857"/>
      <c r="X6" s="2857"/>
      <c r="Y6" s="2857"/>
      <c r="Z6" s="2857"/>
      <c r="AA6" s="2857"/>
      <c r="AB6" s="2857"/>
    </row>
    <row r="7" spans="1:28" ht="15" customHeight="1">
      <c r="A7" s="361" t="str">
        <f>A148</f>
        <v>08.01.04. (T)</v>
      </c>
      <c r="B7" s="2857" t="str">
        <f>B148</f>
        <v>Įgyvendinti Lietuvos Respublikos gyvūnų gerovės ir apsaugos įstatymo nuostatas</v>
      </c>
      <c r="C7" s="2857"/>
      <c r="D7" s="2857"/>
      <c r="E7" s="2857"/>
      <c r="F7" s="2857"/>
      <c r="G7" s="2857"/>
      <c r="H7" s="2857"/>
      <c r="I7" s="2857"/>
      <c r="J7" s="2857"/>
      <c r="K7" s="2857"/>
      <c r="L7" s="2857"/>
      <c r="M7" s="2857"/>
      <c r="N7" s="2857"/>
      <c r="O7" s="2857"/>
      <c r="P7" s="2857"/>
      <c r="Q7" s="2857"/>
      <c r="R7" s="2857"/>
      <c r="S7" s="2857"/>
      <c r="T7" s="2857"/>
      <c r="U7" s="2857"/>
      <c r="V7" s="2857"/>
      <c r="W7" s="2857"/>
      <c r="X7" s="2857"/>
      <c r="Y7" s="2857"/>
      <c r="Z7" s="649"/>
      <c r="AA7" s="649"/>
      <c r="AB7" s="103"/>
    </row>
    <row r="8" spans="1:28" ht="19.8" customHeight="1">
      <c r="A8" s="361" t="str">
        <f>A154</f>
        <v>08.01.05. (T)</v>
      </c>
      <c r="B8" s="2857" t="str">
        <f>B154</f>
        <v>Išsaugoti, formuoti etalonines kraštovaizdžio teritorijas, gerinti ekologinę būklę gamtinio karkaso teritorijose</v>
      </c>
      <c r="C8" s="2857"/>
      <c r="D8" s="2857"/>
      <c r="E8" s="2857"/>
      <c r="F8" s="2857"/>
      <c r="G8" s="2857"/>
      <c r="H8" s="2857"/>
      <c r="I8" s="2857"/>
      <c r="J8" s="2857"/>
      <c r="K8" s="2857"/>
      <c r="L8" s="2857"/>
      <c r="M8" s="2857"/>
      <c r="N8" s="2857"/>
      <c r="O8" s="2857"/>
      <c r="P8" s="2857"/>
      <c r="Q8" s="2857"/>
      <c r="R8" s="2857"/>
      <c r="S8" s="2857"/>
      <c r="T8" s="2857"/>
      <c r="U8" s="2857"/>
      <c r="V8" s="2857"/>
      <c r="W8" s="2857"/>
      <c r="X8" s="2857"/>
      <c r="Y8" s="2857"/>
      <c r="Z8" s="649"/>
      <c r="AA8" s="649"/>
      <c r="AB8" s="103"/>
    </row>
    <row r="9" spans="1:28" ht="15.6" customHeight="1">
      <c r="A9" s="361"/>
      <c r="B9" s="361"/>
      <c r="C9" s="361"/>
      <c r="D9" s="361"/>
      <c r="E9" s="361"/>
      <c r="F9" s="361"/>
      <c r="G9" s="361"/>
      <c r="H9" s="361"/>
      <c r="I9" s="361"/>
      <c r="J9" s="361"/>
      <c r="K9" s="361"/>
      <c r="L9" s="361"/>
      <c r="M9" s="1589"/>
      <c r="N9" s="319"/>
      <c r="O9" s="361"/>
      <c r="P9" s="1589"/>
      <c r="Q9" s="361"/>
      <c r="R9" s="1589"/>
      <c r="S9" s="361"/>
      <c r="T9" s="361"/>
      <c r="U9" s="361"/>
      <c r="V9" s="361"/>
      <c r="W9" s="361"/>
      <c r="X9" s="361"/>
      <c r="Y9" s="361"/>
      <c r="Z9" s="361"/>
      <c r="AA9" s="319"/>
    </row>
    <row r="10" spans="1:28" ht="29.4" customHeight="1">
      <c r="A10" s="3194" t="s">
        <v>3827</v>
      </c>
      <c r="B10" s="3194"/>
      <c r="C10" s="3194"/>
      <c r="D10" s="3194"/>
      <c r="E10" s="3194"/>
      <c r="F10" s="3194"/>
      <c r="G10" s="3194"/>
      <c r="H10" s="3194"/>
      <c r="I10" s="3194"/>
      <c r="J10" s="3194"/>
      <c r="K10" s="3194"/>
      <c r="L10" s="3194"/>
      <c r="M10" s="1589"/>
      <c r="N10" s="319"/>
      <c r="O10" s="361"/>
      <c r="P10" s="1589"/>
      <c r="Q10" s="361"/>
      <c r="R10" s="1589"/>
      <c r="S10" s="1308"/>
      <c r="T10" s="361"/>
      <c r="U10" s="361"/>
      <c r="V10" s="361"/>
      <c r="W10" s="361"/>
      <c r="X10" s="361"/>
      <c r="Y10" s="361"/>
      <c r="Z10" s="361"/>
      <c r="AA10" s="319"/>
    </row>
    <row r="11" spans="1:28" ht="58.2" customHeight="1">
      <c r="A11" s="3193" t="s">
        <v>3661</v>
      </c>
      <c r="B11" s="3193"/>
      <c r="C11" s="3193"/>
      <c r="D11" s="3193"/>
      <c r="E11" s="3193"/>
      <c r="F11" s="3193"/>
      <c r="G11" s="3193"/>
      <c r="H11" s="3193"/>
      <c r="I11" s="3193"/>
      <c r="J11" s="3193"/>
      <c r="K11" s="3193"/>
      <c r="L11" s="3193"/>
      <c r="M11" s="3193"/>
      <c r="N11" s="3193"/>
      <c r="O11" s="3193"/>
      <c r="P11" s="3193"/>
      <c r="Q11" s="3193"/>
      <c r="R11" s="3193"/>
      <c r="S11" s="3193"/>
      <c r="T11" s="3193"/>
      <c r="U11" s="3193"/>
      <c r="V11" s="3193"/>
      <c r="W11" s="3193"/>
      <c r="X11" s="3193"/>
      <c r="Y11" s="3193"/>
      <c r="Z11" s="361"/>
      <c r="AA11" s="319"/>
      <c r="AB11" s="360"/>
    </row>
    <row r="12" spans="1:28" ht="13.2" hidden="1" customHeight="1">
      <c r="E12" s="364"/>
      <c r="F12" s="364"/>
    </row>
    <row r="13" spans="1:28" ht="21.6" customHeight="1">
      <c r="A13" s="1090" t="s">
        <v>3620</v>
      </c>
      <c r="B13" s="1090"/>
      <c r="C13" s="1090"/>
      <c r="D13" s="1090"/>
      <c r="E13" s="1090"/>
      <c r="F13" s="1090"/>
      <c r="G13" s="1090"/>
      <c r="H13" s="1090"/>
    </row>
    <row r="14" spans="1:28" ht="48" customHeight="1">
      <c r="A14" s="3188" t="s">
        <v>728</v>
      </c>
      <c r="B14" s="3188" t="s">
        <v>1899</v>
      </c>
      <c r="C14" s="3189" t="s">
        <v>1064</v>
      </c>
      <c r="D14" s="3189" t="s">
        <v>1065</v>
      </c>
      <c r="E14" s="3190" t="s">
        <v>1081</v>
      </c>
      <c r="F14" s="3034" t="s">
        <v>1173</v>
      </c>
      <c r="G14" s="3191" t="s">
        <v>1079</v>
      </c>
      <c r="H14" s="3188" t="s">
        <v>2042</v>
      </c>
      <c r="I14" s="2716" t="s">
        <v>2882</v>
      </c>
      <c r="J14" s="2715" t="s">
        <v>2883</v>
      </c>
      <c r="K14" s="2691" t="s">
        <v>1915</v>
      </c>
      <c r="L14" s="2691" t="s">
        <v>1970</v>
      </c>
      <c r="M14" s="3036" t="s">
        <v>3824</v>
      </c>
      <c r="N14" s="2131"/>
      <c r="O14" s="2691" t="s">
        <v>2881</v>
      </c>
      <c r="P14" s="3036" t="s">
        <v>3825</v>
      </c>
      <c r="Q14" s="2691" t="s">
        <v>3823</v>
      </c>
      <c r="R14" s="3036" t="s">
        <v>3826</v>
      </c>
      <c r="S14" s="3188" t="s">
        <v>1937</v>
      </c>
      <c r="T14" s="3188" t="s">
        <v>2740</v>
      </c>
      <c r="U14" s="3188" t="s">
        <v>729</v>
      </c>
      <c r="V14" s="3188" t="s">
        <v>1083</v>
      </c>
      <c r="W14" s="3183" t="s">
        <v>730</v>
      </c>
      <c r="X14" s="3184"/>
      <c r="Y14" s="3184"/>
      <c r="Z14" s="3184"/>
      <c r="AA14" s="3185"/>
      <c r="AB14" s="3198" t="s">
        <v>731</v>
      </c>
    </row>
    <row r="15" spans="1:28" ht="42" customHeight="1">
      <c r="A15" s="3188"/>
      <c r="B15" s="3188"/>
      <c r="C15" s="3189"/>
      <c r="D15" s="3189"/>
      <c r="E15" s="3190"/>
      <c r="F15" s="3034"/>
      <c r="G15" s="3191"/>
      <c r="H15" s="3188"/>
      <c r="I15" s="2716"/>
      <c r="J15" s="2715"/>
      <c r="K15" s="2691"/>
      <c r="L15" s="2691"/>
      <c r="M15" s="3036"/>
      <c r="N15" s="2131" t="s">
        <v>3835</v>
      </c>
      <c r="O15" s="2691"/>
      <c r="P15" s="3036"/>
      <c r="Q15" s="2691"/>
      <c r="R15" s="3036"/>
      <c r="S15" s="3188"/>
      <c r="T15" s="3188"/>
      <c r="U15" s="3188"/>
      <c r="V15" s="3188"/>
      <c r="W15" s="1330">
        <v>2024</v>
      </c>
      <c r="X15" s="1330">
        <v>2025</v>
      </c>
      <c r="Y15" s="1330">
        <v>2026</v>
      </c>
      <c r="Z15" s="1330">
        <v>2027</v>
      </c>
      <c r="AA15" s="404">
        <v>2028</v>
      </c>
      <c r="AB15" s="3198"/>
    </row>
    <row r="16" spans="1:28" ht="51.6" customHeight="1">
      <c r="A16" s="1091" t="s">
        <v>2043</v>
      </c>
      <c r="B16" s="1092" t="s">
        <v>1244</v>
      </c>
      <c r="C16" s="1091"/>
      <c r="D16" s="1091"/>
      <c r="E16" s="1093">
        <f>SUM(E20,E22,E27,E31,E40,E50,E67,E71,E88,E97,E100,E109,E116,E121)</f>
        <v>3774.1850000000004</v>
      </c>
      <c r="F16" s="1094">
        <f>H16/E16-1</f>
        <v>9.8763044206894968E-2</v>
      </c>
      <c r="G16" s="1093">
        <f>SUM(G20,G22,G27,G31,G40,G50,G67,G71,G88,G97,G100,G109,G116,G121)</f>
        <v>4390.7250000000004</v>
      </c>
      <c r="H16" s="1095">
        <f>SUM(H20,H22,H27,H31,H40,H50,H67,H71,H88,H97,H100,H109,H116,H121)</f>
        <v>4146.9350000000004</v>
      </c>
      <c r="I16" s="746"/>
      <c r="J16" s="1055"/>
      <c r="K16" s="1095">
        <f>SUM(K20,K22,K27,K31,K40,K50,K67,K71,K88,K97,K100,K109,K116,K121)</f>
        <v>4869.5639999999994</v>
      </c>
      <c r="L16" s="1095">
        <f>SUM(L20,L22,L27,L31,L40,L50,L67,L71,L88,L97,L100,L109,L116,L121)</f>
        <v>5982.4240000000009</v>
      </c>
      <c r="M16" s="1591">
        <f>SUM(M20,M22,M27,M31,M40,M50,M67,M71,M88,M97,M100,M109,M116,M121)</f>
        <v>5969.5830000000005</v>
      </c>
      <c r="N16" s="2132">
        <f>(L16-K16)/K16</f>
        <v>0.22853380713345212</v>
      </c>
      <c r="O16" s="1095">
        <f>SUM(O20,O22,O27,O31,O40,O50,O67,O71,O88,O97,O100,O109,O116,O121)</f>
        <v>6080.5839999999998</v>
      </c>
      <c r="P16" s="1591">
        <f>SUM(P20,P22,P27,P31,P40,P50,P67,P71,P88,P97,P100,P109,P116,P121)</f>
        <v>5893.1180000000004</v>
      </c>
      <c r="Q16" s="1095">
        <f>SUM(Q20,Q22,Q27,Q31,Q40,Q50,Q67,Q71,Q88,Q97,Q100,Q109,Q116,Q121)</f>
        <v>5459.2174500000001</v>
      </c>
      <c r="R16" s="1591">
        <f>SUM(R20,R22,R27,R31,R40,R50,R67,R71,R88,R97,R100,R109,R116,R121)</f>
        <v>5384.2430000000004</v>
      </c>
      <c r="S16" s="1382" t="s">
        <v>2350</v>
      </c>
      <c r="T16" s="1091"/>
      <c r="U16" s="1096" t="s">
        <v>1529</v>
      </c>
      <c r="V16" s="1096" t="s">
        <v>465</v>
      </c>
      <c r="W16" s="1096" t="s">
        <v>1548</v>
      </c>
      <c r="X16" s="1096" t="s">
        <v>1548</v>
      </c>
      <c r="Y16" s="1096" t="s">
        <v>1548</v>
      </c>
      <c r="Z16" s="1096" t="s">
        <v>1548</v>
      </c>
      <c r="AA16" s="671" t="s">
        <v>1548</v>
      </c>
      <c r="AB16" s="1096" t="s">
        <v>2352</v>
      </c>
    </row>
    <row r="17" spans="1:28" ht="29.4" customHeight="1">
      <c r="A17" s="3174" t="s">
        <v>2044</v>
      </c>
      <c r="B17" s="3187" t="s">
        <v>1516</v>
      </c>
      <c r="C17" s="3196">
        <v>188711925</v>
      </c>
      <c r="D17" s="1097" t="s">
        <v>470</v>
      </c>
      <c r="E17" s="970">
        <v>10</v>
      </c>
      <c r="F17" s="1098">
        <f t="shared" ref="F17:F124" si="0">H17/E17-1</f>
        <v>-0.5</v>
      </c>
      <c r="G17" s="970">
        <v>5</v>
      </c>
      <c r="H17" s="974">
        <v>5</v>
      </c>
      <c r="I17" s="722"/>
      <c r="J17" s="657"/>
      <c r="K17" s="974"/>
      <c r="L17" s="974"/>
      <c r="M17" s="1557"/>
      <c r="N17" s="2130"/>
      <c r="O17" s="974"/>
      <c r="P17" s="1557"/>
      <c r="Q17" s="974"/>
      <c r="R17" s="1557"/>
      <c r="S17" s="3195" t="s">
        <v>2351</v>
      </c>
      <c r="T17" s="3027" t="s">
        <v>3857</v>
      </c>
      <c r="U17" s="3028" t="s">
        <v>1528</v>
      </c>
      <c r="V17" s="3028" t="s">
        <v>2524</v>
      </c>
      <c r="W17" s="3028" t="s">
        <v>1427</v>
      </c>
      <c r="X17" s="3028" t="s">
        <v>1427</v>
      </c>
      <c r="Y17" s="3028" t="s">
        <v>2871</v>
      </c>
      <c r="Z17" s="3028" t="s">
        <v>1427</v>
      </c>
      <c r="AA17" s="2694" t="s">
        <v>1427</v>
      </c>
      <c r="AB17" s="3028" t="s">
        <v>2370</v>
      </c>
    </row>
    <row r="18" spans="1:28" ht="29.4" customHeight="1">
      <c r="A18" s="3174"/>
      <c r="B18" s="3187"/>
      <c r="C18" s="3196"/>
      <c r="D18" s="1097" t="s">
        <v>2856</v>
      </c>
      <c r="E18" s="970">
        <v>14.183999999999999</v>
      </c>
      <c r="F18" s="1098">
        <f t="shared" si="0"/>
        <v>-1</v>
      </c>
      <c r="G18" s="970">
        <v>10.426</v>
      </c>
      <c r="H18" s="974">
        <v>0</v>
      </c>
      <c r="I18" s="723">
        <v>0</v>
      </c>
      <c r="J18" s="657">
        <v>5.2619999999999996</v>
      </c>
      <c r="K18" s="722">
        <v>5.2619999999999996</v>
      </c>
      <c r="L18" s="974">
        <v>3.258</v>
      </c>
      <c r="M18" s="1557">
        <v>15</v>
      </c>
      <c r="N18" s="2130">
        <f>(L18-K18)/K18</f>
        <v>-0.38084378563283916</v>
      </c>
      <c r="O18" s="974">
        <v>15</v>
      </c>
      <c r="P18" s="1557">
        <v>15</v>
      </c>
      <c r="Q18" s="974">
        <v>15</v>
      </c>
      <c r="R18" s="1557">
        <v>15</v>
      </c>
      <c r="S18" s="3195"/>
      <c r="T18" s="3192"/>
      <c r="U18" s="3028"/>
      <c r="V18" s="3028"/>
      <c r="W18" s="3028"/>
      <c r="X18" s="3028"/>
      <c r="Y18" s="3028"/>
      <c r="Z18" s="3028"/>
      <c r="AA18" s="2694"/>
      <c r="AB18" s="3028"/>
    </row>
    <row r="19" spans="1:28" ht="29.4" customHeight="1">
      <c r="A19" s="3174"/>
      <c r="B19" s="3187"/>
      <c r="C19" s="3196"/>
      <c r="D19" s="1097" t="s">
        <v>2855</v>
      </c>
      <c r="E19" s="970"/>
      <c r="F19" s="1098"/>
      <c r="G19" s="970"/>
      <c r="H19" s="974">
        <v>10.426</v>
      </c>
      <c r="I19" s="723">
        <f>J19/H19-1</f>
        <v>-0.52042969499328606</v>
      </c>
      <c r="J19" s="657">
        <v>5</v>
      </c>
      <c r="K19" s="722">
        <v>5</v>
      </c>
      <c r="L19" s="974">
        <v>5.5209999999999999</v>
      </c>
      <c r="M19" s="1557"/>
      <c r="N19" s="2130">
        <f t="shared" ref="N19:N80" si="1">(L19-K19)/K19</f>
        <v>0.10419999999999999</v>
      </c>
      <c r="O19" s="974"/>
      <c r="P19" s="1557"/>
      <c r="Q19" s="974"/>
      <c r="R19" s="1557"/>
      <c r="S19" s="3195"/>
      <c r="T19" s="3192"/>
      <c r="U19" s="3028"/>
      <c r="V19" s="3028"/>
      <c r="W19" s="3028"/>
      <c r="X19" s="3028"/>
      <c r="Y19" s="3028"/>
      <c r="Z19" s="3028"/>
      <c r="AA19" s="2694"/>
      <c r="AB19" s="3028"/>
    </row>
    <row r="20" spans="1:28" ht="29.4" customHeight="1">
      <c r="A20" s="3174"/>
      <c r="B20" s="3187"/>
      <c r="C20" s="3196"/>
      <c r="D20" s="1099" t="s">
        <v>1067</v>
      </c>
      <c r="E20" s="964">
        <f>SUM(E17:E18)</f>
        <v>24.183999999999997</v>
      </c>
      <c r="F20" s="1100">
        <f t="shared" si="0"/>
        <v>-0.36214025802183258</v>
      </c>
      <c r="G20" s="964">
        <f t="shared" ref="G20" si="2">SUM(G17:G18)</f>
        <v>15.426</v>
      </c>
      <c r="H20" s="988">
        <f>SUM(H17:H19)</f>
        <v>15.426</v>
      </c>
      <c r="I20" s="729">
        <f t="shared" ref="I20:I30" si="3">J20/H20-1</f>
        <v>-0.33475949695319585</v>
      </c>
      <c r="J20" s="1056">
        <f>SUM(J17:J19)</f>
        <v>10.262</v>
      </c>
      <c r="K20" s="988">
        <f>SUM(K17:K19)</f>
        <v>10.262</v>
      </c>
      <c r="L20" s="988">
        <f t="shared" ref="L20:O20" si="4">SUM(L17:L19)</f>
        <v>8.7789999999999999</v>
      </c>
      <c r="M20" s="1558">
        <f t="shared" ref="M20" si="5">SUM(M17:M19)</f>
        <v>15</v>
      </c>
      <c r="N20" s="1243">
        <f t="shared" si="1"/>
        <v>-0.14451374001169368</v>
      </c>
      <c r="O20" s="988">
        <f t="shared" si="4"/>
        <v>15</v>
      </c>
      <c r="P20" s="1558">
        <f t="shared" ref="P20:Q20" si="6">SUM(P17:P19)</f>
        <v>15</v>
      </c>
      <c r="Q20" s="988">
        <f t="shared" si="6"/>
        <v>15</v>
      </c>
      <c r="R20" s="1558">
        <f t="shared" ref="R20" si="7">SUM(R17:R19)</f>
        <v>15</v>
      </c>
      <c r="S20" s="3195"/>
      <c r="T20" s="3192"/>
      <c r="U20" s="3028"/>
      <c r="V20" s="3028"/>
      <c r="W20" s="3028"/>
      <c r="X20" s="3028"/>
      <c r="Y20" s="3028"/>
      <c r="Z20" s="3028"/>
      <c r="AA20" s="2694"/>
      <c r="AB20" s="3028"/>
    </row>
    <row r="21" spans="1:28" ht="29.4" customHeight="1">
      <c r="A21" s="3174" t="s">
        <v>2045</v>
      </c>
      <c r="B21" s="3187" t="s">
        <v>1245</v>
      </c>
      <c r="C21" s="3196" t="s">
        <v>1195</v>
      </c>
      <c r="D21" s="1097" t="s">
        <v>470</v>
      </c>
      <c r="E21" s="970">
        <v>1381.7</v>
      </c>
      <c r="F21" s="973">
        <f t="shared" si="0"/>
        <v>-2.6561482232033029E-2</v>
      </c>
      <c r="G21" s="970">
        <v>1603.08</v>
      </c>
      <c r="H21" s="974">
        <v>1345</v>
      </c>
      <c r="I21" s="723">
        <f t="shared" si="3"/>
        <v>0.12988252788104093</v>
      </c>
      <c r="J21" s="657">
        <f>SUM(J23,J24,J25,)</f>
        <v>1519.692</v>
      </c>
      <c r="K21" s="722">
        <v>1460.6</v>
      </c>
      <c r="L21" s="722">
        <v>1596.5</v>
      </c>
      <c r="M21" s="1557">
        <v>1663</v>
      </c>
      <c r="N21" s="2181">
        <f>(L21-K21)/K21</f>
        <v>9.304395453923052E-2</v>
      </c>
      <c r="O21" s="722">
        <f>L21+(L21*5%)</f>
        <v>1676.325</v>
      </c>
      <c r="P21" s="1557">
        <v>1768.15</v>
      </c>
      <c r="Q21" s="722">
        <f>O21+(O21*5%)</f>
        <v>1760.1412500000001</v>
      </c>
      <c r="R21" s="1557">
        <v>1881.9</v>
      </c>
      <c r="S21" s="3195"/>
      <c r="T21" s="3027" t="s">
        <v>3749</v>
      </c>
      <c r="U21" s="3028" t="s">
        <v>1530</v>
      </c>
      <c r="V21" s="3028" t="s">
        <v>1682</v>
      </c>
      <c r="W21" s="3028" t="s">
        <v>308</v>
      </c>
      <c r="X21" s="3028" t="s">
        <v>1681</v>
      </c>
      <c r="Y21" s="3028" t="s">
        <v>1681</v>
      </c>
      <c r="Z21" s="3028" t="s">
        <v>1681</v>
      </c>
      <c r="AA21" s="2694" t="s">
        <v>1681</v>
      </c>
      <c r="AB21" s="3028"/>
    </row>
    <row r="22" spans="1:28" ht="126" customHeight="1">
      <c r="A22" s="3174"/>
      <c r="B22" s="3187"/>
      <c r="C22" s="3196"/>
      <c r="D22" s="1099" t="s">
        <v>1067</v>
      </c>
      <c r="E22" s="964">
        <f>SUM(E21:E21)</f>
        <v>1381.7</v>
      </c>
      <c r="F22" s="965">
        <f t="shared" si="0"/>
        <v>-2.6561482232033029E-2</v>
      </c>
      <c r="G22" s="964">
        <f t="shared" ref="G22:O22" si="8">SUM(G21:G21)</f>
        <v>1603.08</v>
      </c>
      <c r="H22" s="988">
        <f t="shared" si="8"/>
        <v>1345</v>
      </c>
      <c r="I22" s="729">
        <f t="shared" si="8"/>
        <v>0.12988252788104093</v>
      </c>
      <c r="J22" s="1056">
        <f t="shared" si="8"/>
        <v>1519.692</v>
      </c>
      <c r="K22" s="988">
        <f t="shared" si="8"/>
        <v>1460.6</v>
      </c>
      <c r="L22" s="988">
        <f t="shared" si="8"/>
        <v>1596.5</v>
      </c>
      <c r="M22" s="1558">
        <f t="shared" ref="M22" si="9">SUM(M21:M21)</f>
        <v>1663</v>
      </c>
      <c r="N22" s="1243">
        <f t="shared" si="1"/>
        <v>9.304395453923052E-2</v>
      </c>
      <c r="O22" s="988">
        <f>SUM(O21:O21)</f>
        <v>1676.325</v>
      </c>
      <c r="P22" s="1558">
        <f t="shared" ref="P22:Q22" si="10">SUM(P21:P21)</f>
        <v>1768.15</v>
      </c>
      <c r="Q22" s="988">
        <f t="shared" si="10"/>
        <v>1760.1412500000001</v>
      </c>
      <c r="R22" s="1558">
        <f t="shared" ref="R22" si="11">SUM(R21:R21)</f>
        <v>1881.9</v>
      </c>
      <c r="S22" s="3195"/>
      <c r="T22" s="3192"/>
      <c r="U22" s="3028"/>
      <c r="V22" s="3028"/>
      <c r="W22" s="3028"/>
      <c r="X22" s="3028"/>
      <c r="Y22" s="3028"/>
      <c r="Z22" s="3028"/>
      <c r="AA22" s="2694"/>
      <c r="AB22" s="3028"/>
    </row>
    <row r="23" spans="1:28" ht="29.4" hidden="1" customHeight="1">
      <c r="A23" s="1101"/>
      <c r="B23" s="665" t="s">
        <v>3079</v>
      </c>
      <c r="C23" s="1102"/>
      <c r="D23" s="1103"/>
      <c r="E23" s="1011"/>
      <c r="F23" s="1012"/>
      <c r="G23" s="1011"/>
      <c r="H23" s="1104"/>
      <c r="I23" s="756"/>
      <c r="J23" s="751">
        <v>1379.9079999999999</v>
      </c>
      <c r="K23" s="1104"/>
      <c r="L23" s="1104"/>
      <c r="M23" s="1562"/>
      <c r="N23" s="2141" t="e">
        <f t="shared" si="1"/>
        <v>#DIV/0!</v>
      </c>
      <c r="O23" s="1104"/>
      <c r="P23" s="1562"/>
      <c r="Q23" s="1104"/>
      <c r="R23" s="1562"/>
      <c r="S23" s="1311"/>
      <c r="T23" s="665" t="s">
        <v>3082</v>
      </c>
      <c r="U23" s="1105"/>
      <c r="V23" s="1105"/>
      <c r="W23" s="1105"/>
      <c r="X23" s="1105"/>
      <c r="Y23" s="1105"/>
      <c r="Z23" s="1105"/>
      <c r="AA23" s="688"/>
      <c r="AB23" s="1105"/>
    </row>
    <row r="24" spans="1:28" ht="29.4" hidden="1" customHeight="1">
      <c r="A24" s="1101"/>
      <c r="B24" s="665" t="s">
        <v>3080</v>
      </c>
      <c r="C24" s="1102"/>
      <c r="D24" s="1103"/>
      <c r="E24" s="1011"/>
      <c r="F24" s="1012"/>
      <c r="G24" s="1011"/>
      <c r="H24" s="1104"/>
      <c r="I24" s="756"/>
      <c r="J24" s="751">
        <v>66.94</v>
      </c>
      <c r="K24" s="1104"/>
      <c r="L24" s="1104"/>
      <c r="M24" s="1562"/>
      <c r="N24" s="2141" t="e">
        <f t="shared" si="1"/>
        <v>#DIV/0!</v>
      </c>
      <c r="O24" s="1104"/>
      <c r="P24" s="1562"/>
      <c r="Q24" s="1104"/>
      <c r="R24" s="1562"/>
      <c r="S24" s="1311"/>
      <c r="T24" s="665" t="s">
        <v>3083</v>
      </c>
      <c r="U24" s="1105"/>
      <c r="V24" s="1105"/>
      <c r="W24" s="1105"/>
      <c r="X24" s="1105"/>
      <c r="Y24" s="1105"/>
      <c r="Z24" s="1105"/>
      <c r="AA24" s="688"/>
      <c r="AB24" s="1105"/>
    </row>
    <row r="25" spans="1:28" ht="29.4" hidden="1" customHeight="1">
      <c r="A25" s="1101"/>
      <c r="B25" s="665" t="s">
        <v>3081</v>
      </c>
      <c r="C25" s="1102"/>
      <c r="D25" s="1103"/>
      <c r="E25" s="1011"/>
      <c r="F25" s="1012"/>
      <c r="G25" s="1011"/>
      <c r="H25" s="1104"/>
      <c r="I25" s="756"/>
      <c r="J25" s="751">
        <v>72.843999999999994</v>
      </c>
      <c r="K25" s="1104"/>
      <c r="L25" s="1104"/>
      <c r="M25" s="1562"/>
      <c r="N25" s="2141" t="e">
        <f t="shared" si="1"/>
        <v>#DIV/0!</v>
      </c>
      <c r="O25" s="1104"/>
      <c r="P25" s="1562"/>
      <c r="Q25" s="1104"/>
      <c r="R25" s="1562"/>
      <c r="S25" s="1311"/>
      <c r="T25" s="665" t="s">
        <v>3084</v>
      </c>
      <c r="U25" s="1105"/>
      <c r="V25" s="1105"/>
      <c r="W25" s="1105"/>
      <c r="X25" s="1105"/>
      <c r="Y25" s="1105"/>
      <c r="Z25" s="1105"/>
      <c r="AA25" s="688"/>
      <c r="AB25" s="1105"/>
    </row>
    <row r="26" spans="1:28" ht="29.4" customHeight="1">
      <c r="A26" s="3174" t="s">
        <v>2046</v>
      </c>
      <c r="B26" s="3175" t="s">
        <v>1246</v>
      </c>
      <c r="C26" s="3176">
        <v>188711925</v>
      </c>
      <c r="D26" s="1106" t="s">
        <v>470</v>
      </c>
      <c r="E26" s="970">
        <v>21.805</v>
      </c>
      <c r="F26" s="973">
        <f t="shared" si="0"/>
        <v>0.37583123136895202</v>
      </c>
      <c r="G26" s="970">
        <v>30</v>
      </c>
      <c r="H26" s="974">
        <v>30</v>
      </c>
      <c r="I26" s="1107">
        <f t="shared" si="3"/>
        <v>0.15666666666666673</v>
      </c>
      <c r="J26" s="657">
        <v>34.700000000000003</v>
      </c>
      <c r="K26" s="974">
        <v>20</v>
      </c>
      <c r="L26" s="974">
        <v>30</v>
      </c>
      <c r="M26" s="1557">
        <v>30</v>
      </c>
      <c r="N26" s="2130">
        <f t="shared" si="1"/>
        <v>0.5</v>
      </c>
      <c r="O26" s="974">
        <v>30</v>
      </c>
      <c r="P26" s="1557">
        <v>30</v>
      </c>
      <c r="Q26" s="974">
        <v>30</v>
      </c>
      <c r="R26" s="1557">
        <v>30</v>
      </c>
      <c r="S26" s="3195" t="s">
        <v>2354</v>
      </c>
      <c r="T26" s="3027" t="s">
        <v>4383</v>
      </c>
      <c r="U26" s="3028" t="s">
        <v>1531</v>
      </c>
      <c r="V26" s="3028" t="s">
        <v>3750</v>
      </c>
      <c r="W26" s="3028" t="s">
        <v>1683</v>
      </c>
      <c r="X26" s="3028" t="s">
        <v>1684</v>
      </c>
      <c r="Y26" s="3028" t="s">
        <v>3054</v>
      </c>
      <c r="Z26" s="3028" t="s">
        <v>3054</v>
      </c>
      <c r="AA26" s="2694" t="s">
        <v>3054</v>
      </c>
      <c r="AB26" s="3028" t="s">
        <v>2355</v>
      </c>
    </row>
    <row r="27" spans="1:28" ht="29.4" customHeight="1">
      <c r="A27" s="3174"/>
      <c r="B27" s="3175"/>
      <c r="C27" s="3176"/>
      <c r="D27" s="1099" t="s">
        <v>1067</v>
      </c>
      <c r="E27" s="964">
        <f>E26</f>
        <v>21.805</v>
      </c>
      <c r="F27" s="965">
        <f t="shared" si="0"/>
        <v>0.37583123136895202</v>
      </c>
      <c r="G27" s="964">
        <f t="shared" ref="G27:O27" si="12">G26</f>
        <v>30</v>
      </c>
      <c r="H27" s="988">
        <f t="shared" si="12"/>
        <v>30</v>
      </c>
      <c r="I27" s="1108">
        <f t="shared" si="3"/>
        <v>0.15666666666666673</v>
      </c>
      <c r="J27" s="1056">
        <f t="shared" si="12"/>
        <v>34.700000000000003</v>
      </c>
      <c r="K27" s="988">
        <f t="shared" si="12"/>
        <v>20</v>
      </c>
      <c r="L27" s="988">
        <f t="shared" si="12"/>
        <v>30</v>
      </c>
      <c r="M27" s="1558">
        <f t="shared" ref="M27" si="13">M26</f>
        <v>30</v>
      </c>
      <c r="N27" s="1243">
        <f t="shared" si="1"/>
        <v>0.5</v>
      </c>
      <c r="O27" s="988">
        <f t="shared" si="12"/>
        <v>30</v>
      </c>
      <c r="P27" s="1558">
        <f t="shared" ref="P27:Q27" si="14">P26</f>
        <v>30</v>
      </c>
      <c r="Q27" s="988">
        <f t="shared" si="14"/>
        <v>30</v>
      </c>
      <c r="R27" s="1558">
        <f t="shared" ref="R27" si="15">R26</f>
        <v>30</v>
      </c>
      <c r="S27" s="3195"/>
      <c r="T27" s="3192"/>
      <c r="U27" s="3028"/>
      <c r="V27" s="3028"/>
      <c r="W27" s="3028"/>
      <c r="X27" s="3028"/>
      <c r="Y27" s="3028"/>
      <c r="Z27" s="3028"/>
      <c r="AA27" s="2694"/>
      <c r="AB27" s="3028"/>
    </row>
    <row r="28" spans="1:28" ht="29.4" customHeight="1">
      <c r="A28" s="3174" t="s">
        <v>2047</v>
      </c>
      <c r="B28" s="3178" t="s">
        <v>175</v>
      </c>
      <c r="C28" s="3176">
        <v>188711925</v>
      </c>
      <c r="D28" s="1106" t="s">
        <v>470</v>
      </c>
      <c r="E28" s="970">
        <v>1873.38</v>
      </c>
      <c r="F28" s="973">
        <f t="shared" si="0"/>
        <v>0.11651667040322855</v>
      </c>
      <c r="G28" s="970">
        <v>2148.87</v>
      </c>
      <c r="H28" s="974">
        <f>1791.76+300-0.1</f>
        <v>2091.6600000000003</v>
      </c>
      <c r="I28" s="723">
        <f t="shared" si="3"/>
        <v>0.1731591176386218</v>
      </c>
      <c r="J28" s="657">
        <f>2144.85+309</f>
        <v>2453.85</v>
      </c>
      <c r="K28" s="722">
        <f>2144.85+309</f>
        <v>2453.85</v>
      </c>
      <c r="L28" s="722">
        <f>SUM(L32,L33,L34)</f>
        <v>2726.88</v>
      </c>
      <c r="M28" s="1496">
        <f>SUM(M32,M33,M34)</f>
        <v>2704.41</v>
      </c>
      <c r="N28" s="2130">
        <f>(L28-K28)/K28</f>
        <v>0.11126596980255525</v>
      </c>
      <c r="O28" s="722">
        <f>L28+(L28*5%)</f>
        <v>2863.2240000000002</v>
      </c>
      <c r="P28" s="1557">
        <f t="shared" ref="P28:R28" si="16">SUM(P32,P33,P34)</f>
        <v>2713.53</v>
      </c>
      <c r="Q28" s="722">
        <f>O28+(O28*5%)</f>
        <v>3006.3852000000002</v>
      </c>
      <c r="R28" s="1557">
        <f t="shared" si="16"/>
        <v>2806.57</v>
      </c>
      <c r="S28" s="3195"/>
      <c r="T28" s="3027" t="s">
        <v>2878</v>
      </c>
      <c r="U28" s="3028" t="s">
        <v>1532</v>
      </c>
      <c r="V28" s="3028" t="s">
        <v>465</v>
      </c>
      <c r="W28" s="3028" t="s">
        <v>1548</v>
      </c>
      <c r="X28" s="3028" t="s">
        <v>1548</v>
      </c>
      <c r="Y28" s="3028" t="s">
        <v>1548</v>
      </c>
      <c r="Z28" s="3028" t="s">
        <v>1548</v>
      </c>
      <c r="AA28" s="2694" t="s">
        <v>1548</v>
      </c>
      <c r="AB28" s="3028"/>
    </row>
    <row r="29" spans="1:28" ht="29.4" customHeight="1">
      <c r="A29" s="3174"/>
      <c r="B29" s="3178"/>
      <c r="C29" s="3176"/>
      <c r="D29" s="1106" t="s">
        <v>2747</v>
      </c>
      <c r="E29" s="970"/>
      <c r="F29" s="973"/>
      <c r="G29" s="970"/>
      <c r="H29" s="974"/>
      <c r="I29" s="723"/>
      <c r="J29" s="657"/>
      <c r="K29" s="722">
        <v>20</v>
      </c>
      <c r="L29" s="722"/>
      <c r="M29" s="1557"/>
      <c r="N29" s="2130">
        <f t="shared" si="1"/>
        <v>-1</v>
      </c>
      <c r="O29" s="722"/>
      <c r="P29" s="1557"/>
      <c r="Q29" s="722"/>
      <c r="R29" s="1557"/>
      <c r="S29" s="3195"/>
      <c r="T29" s="3027"/>
      <c r="U29" s="3028"/>
      <c r="V29" s="3028"/>
      <c r="W29" s="3028"/>
      <c r="X29" s="3028"/>
      <c r="Y29" s="3028"/>
      <c r="Z29" s="3028"/>
      <c r="AA29" s="2694"/>
      <c r="AB29" s="3028"/>
    </row>
    <row r="30" spans="1:28" ht="29.4" customHeight="1">
      <c r="A30" s="3174"/>
      <c r="B30" s="3178"/>
      <c r="C30" s="3176"/>
      <c r="D30" s="1106" t="s">
        <v>1111</v>
      </c>
      <c r="E30" s="970"/>
      <c r="F30" s="973"/>
      <c r="G30" s="970"/>
      <c r="H30" s="974">
        <f>H35</f>
        <v>12.686</v>
      </c>
      <c r="I30" s="723">
        <f t="shared" si="3"/>
        <v>-1</v>
      </c>
      <c r="J30" s="657"/>
      <c r="K30" s="722">
        <f t="shared" ref="K30:L30" si="17">K35</f>
        <v>0</v>
      </c>
      <c r="L30" s="722">
        <f t="shared" si="17"/>
        <v>0</v>
      </c>
      <c r="M30" s="1557">
        <f t="shared" ref="M30" si="18">M35</f>
        <v>0</v>
      </c>
      <c r="N30" s="2130"/>
      <c r="O30" s="722">
        <v>0</v>
      </c>
      <c r="P30" s="1557">
        <v>0</v>
      </c>
      <c r="Q30" s="722">
        <v>0</v>
      </c>
      <c r="R30" s="1557">
        <v>0</v>
      </c>
      <c r="S30" s="3195"/>
      <c r="T30" s="3027"/>
      <c r="U30" s="3028"/>
      <c r="V30" s="3028"/>
      <c r="W30" s="3028"/>
      <c r="X30" s="3028"/>
      <c r="Y30" s="3028"/>
      <c r="Z30" s="3028"/>
      <c r="AA30" s="2694"/>
      <c r="AB30" s="3028"/>
    </row>
    <row r="31" spans="1:28" ht="77.400000000000006" customHeight="1">
      <c r="A31" s="3174"/>
      <c r="B31" s="3178"/>
      <c r="C31" s="3176"/>
      <c r="D31" s="1099" t="s">
        <v>1067</v>
      </c>
      <c r="E31" s="964">
        <f>SUM(E28)</f>
        <v>1873.38</v>
      </c>
      <c r="F31" s="965">
        <f t="shared" si="0"/>
        <v>0.12328838783375518</v>
      </c>
      <c r="G31" s="964">
        <f t="shared" ref="G31" si="19">SUM(G28)</f>
        <v>2148.87</v>
      </c>
      <c r="H31" s="988">
        <f>SUM(H28,H30)</f>
        <v>2104.3460000000005</v>
      </c>
      <c r="I31" s="728"/>
      <c r="J31" s="1056">
        <f>SUM(J28,J30)</f>
        <v>2453.85</v>
      </c>
      <c r="K31" s="988">
        <f>SUM(K28,K30,K29)</f>
        <v>2473.85</v>
      </c>
      <c r="L31" s="988">
        <f t="shared" ref="L31:O31" si="20">SUM(L28,L30)</f>
        <v>2726.88</v>
      </c>
      <c r="M31" s="1558">
        <f t="shared" ref="M31" si="21">SUM(M28,M30)</f>
        <v>2704.41</v>
      </c>
      <c r="N31" s="1243">
        <f t="shared" si="1"/>
        <v>0.10228186834286647</v>
      </c>
      <c r="O31" s="988">
        <f t="shared" si="20"/>
        <v>2863.2240000000002</v>
      </c>
      <c r="P31" s="1558">
        <f t="shared" ref="P31:Q31" si="22">SUM(P28,P30)</f>
        <v>2713.53</v>
      </c>
      <c r="Q31" s="988">
        <f t="shared" si="22"/>
        <v>3006.3852000000002</v>
      </c>
      <c r="R31" s="1558">
        <f t="shared" ref="R31" si="23">SUM(R28,R30)</f>
        <v>2806.57</v>
      </c>
      <c r="S31" s="3195"/>
      <c r="T31" s="3027"/>
      <c r="U31" s="3028"/>
      <c r="V31" s="3028"/>
      <c r="W31" s="3028"/>
      <c r="X31" s="3028"/>
      <c r="Y31" s="3028"/>
      <c r="Z31" s="3028"/>
      <c r="AA31" s="2694"/>
      <c r="AB31" s="3028"/>
    </row>
    <row r="32" spans="1:28" ht="29.4" hidden="1" customHeight="1">
      <c r="A32" s="3174"/>
      <c r="B32" s="673" t="s">
        <v>4108</v>
      </c>
      <c r="C32" s="3176"/>
      <c r="D32" s="1103"/>
      <c r="E32" s="1011"/>
      <c r="F32" s="1012"/>
      <c r="G32" s="1011"/>
      <c r="H32" s="1104"/>
      <c r="I32" s="689"/>
      <c r="J32" s="751"/>
      <c r="K32" s="1104"/>
      <c r="L32" s="686">
        <v>2357.88</v>
      </c>
      <c r="M32" s="1498">
        <v>2644.41</v>
      </c>
      <c r="N32" s="1112"/>
      <c r="O32" s="686"/>
      <c r="P32" s="1498">
        <v>2648.53</v>
      </c>
      <c r="Q32" s="686"/>
      <c r="R32" s="1498">
        <v>2736.57</v>
      </c>
      <c r="S32" s="3195"/>
      <c r="T32" s="3027"/>
      <c r="U32" s="3028"/>
      <c r="V32" s="3028"/>
      <c r="W32" s="3028"/>
      <c r="X32" s="3028"/>
      <c r="Y32" s="3028"/>
      <c r="Z32" s="3028"/>
      <c r="AA32" s="2694"/>
      <c r="AB32" s="3028"/>
    </row>
    <row r="33" spans="1:28" ht="29.4" hidden="1" customHeight="1">
      <c r="A33" s="3174"/>
      <c r="B33" s="673" t="s">
        <v>4089</v>
      </c>
      <c r="C33" s="3176"/>
      <c r="D33" s="1103"/>
      <c r="E33" s="1011"/>
      <c r="F33" s="1012"/>
      <c r="G33" s="1011"/>
      <c r="H33" s="1104"/>
      <c r="I33" s="689"/>
      <c r="J33" s="751"/>
      <c r="K33" s="1104"/>
      <c r="L33" s="686">
        <v>369</v>
      </c>
      <c r="M33" s="1562"/>
      <c r="N33" s="1112"/>
      <c r="O33" s="1104"/>
      <c r="P33" s="1562"/>
      <c r="Q33" s="1104"/>
      <c r="R33" s="1562"/>
      <c r="S33" s="3195"/>
      <c r="T33" s="3027"/>
      <c r="U33" s="3028"/>
      <c r="V33" s="3028"/>
      <c r="W33" s="3028"/>
      <c r="X33" s="3028"/>
      <c r="Y33" s="3028"/>
      <c r="Z33" s="3028"/>
      <c r="AA33" s="2694"/>
      <c r="AB33" s="3028"/>
    </row>
    <row r="34" spans="1:28" ht="29.4" hidden="1" customHeight="1">
      <c r="A34" s="3174"/>
      <c r="B34" s="3181" t="s">
        <v>4088</v>
      </c>
      <c r="C34" s="3176"/>
      <c r="D34" s="1126" t="s">
        <v>470</v>
      </c>
      <c r="E34" s="968"/>
      <c r="F34" s="945" t="e">
        <f t="shared" ref="F34:F35" si="24">H34/E34-1</f>
        <v>#DIV/0!</v>
      </c>
      <c r="G34" s="968">
        <v>40</v>
      </c>
      <c r="H34" s="946">
        <v>2.5379999999999998</v>
      </c>
      <c r="I34" s="681"/>
      <c r="J34" s="734"/>
      <c r="K34" s="946"/>
      <c r="L34" s="2589"/>
      <c r="M34" s="1559">
        <v>60</v>
      </c>
      <c r="N34" s="1112"/>
      <c r="O34" s="946"/>
      <c r="P34" s="1559">
        <v>65</v>
      </c>
      <c r="Q34" s="946"/>
      <c r="R34" s="1559">
        <v>70</v>
      </c>
      <c r="S34" s="3195"/>
      <c r="T34" s="3027"/>
      <c r="U34" s="3028"/>
      <c r="V34" s="3028"/>
      <c r="W34" s="3028"/>
      <c r="X34" s="3028"/>
      <c r="Y34" s="3028"/>
      <c r="Z34" s="3028"/>
      <c r="AA34" s="2694"/>
      <c r="AB34" s="3028"/>
    </row>
    <row r="35" spans="1:28" ht="29.4" hidden="1" customHeight="1">
      <c r="A35" s="3174"/>
      <c r="B35" s="3181"/>
      <c r="C35" s="3176"/>
      <c r="D35" s="1126" t="s">
        <v>1111</v>
      </c>
      <c r="E35" s="968">
        <v>12.627000000000001</v>
      </c>
      <c r="F35" s="945">
        <f t="shared" si="24"/>
        <v>4.6725271244159039E-3</v>
      </c>
      <c r="G35" s="968">
        <v>16</v>
      </c>
      <c r="H35" s="946">
        <v>12.686</v>
      </c>
      <c r="I35" s="681"/>
      <c r="J35" s="734"/>
      <c r="K35" s="946"/>
      <c r="L35" s="946"/>
      <c r="M35" s="1559"/>
      <c r="N35" s="1112"/>
      <c r="O35" s="946"/>
      <c r="P35" s="1559"/>
      <c r="Q35" s="946"/>
      <c r="R35" s="1559"/>
      <c r="S35" s="3195"/>
      <c r="T35" s="3027"/>
      <c r="U35" s="3028"/>
      <c r="V35" s="3028"/>
      <c r="W35" s="3028"/>
      <c r="X35" s="3028"/>
      <c r="Y35" s="3028"/>
      <c r="Z35" s="3028"/>
      <c r="AA35" s="2694"/>
      <c r="AB35" s="3028"/>
    </row>
    <row r="36" spans="1:28" ht="29.4" hidden="1" customHeight="1">
      <c r="A36" s="3174"/>
      <c r="B36" s="3181"/>
      <c r="C36" s="3176"/>
      <c r="D36" s="1099"/>
      <c r="E36" s="964"/>
      <c r="F36" s="965"/>
      <c r="G36" s="964"/>
      <c r="H36" s="988"/>
      <c r="I36" s="728"/>
      <c r="J36" s="1056"/>
      <c r="K36" s="988"/>
      <c r="L36" s="988">
        <f t="shared" ref="L36" si="25">SUM(L34:L35)</f>
        <v>0</v>
      </c>
      <c r="M36" s="1558"/>
      <c r="N36" s="1243" t="e">
        <f t="shared" si="1"/>
        <v>#DIV/0!</v>
      </c>
      <c r="O36" s="988"/>
      <c r="P36" s="1558"/>
      <c r="Q36" s="988"/>
      <c r="R36" s="1558"/>
      <c r="S36" s="3195"/>
      <c r="T36" s="3027"/>
      <c r="U36" s="3028"/>
      <c r="V36" s="3028"/>
      <c r="W36" s="3028"/>
      <c r="X36" s="3028"/>
      <c r="Y36" s="3028"/>
      <c r="Z36" s="3028"/>
      <c r="AA36" s="2694"/>
      <c r="AB36" s="3028"/>
    </row>
    <row r="37" spans="1:28" ht="29.4" customHeight="1">
      <c r="A37" s="3174" t="s">
        <v>2048</v>
      </c>
      <c r="B37" s="3175" t="s">
        <v>3751</v>
      </c>
      <c r="C37" s="3176">
        <v>188711925</v>
      </c>
      <c r="D37" s="1106" t="s">
        <v>470</v>
      </c>
      <c r="E37" s="970">
        <v>34.5</v>
      </c>
      <c r="F37" s="973">
        <f t="shared" si="0"/>
        <v>-1.4492753623188359E-2</v>
      </c>
      <c r="G37" s="970">
        <v>34</v>
      </c>
      <c r="H37" s="974">
        <v>34</v>
      </c>
      <c r="I37" s="1107">
        <f t="shared" ref="I37:I40" si="26">J37/H37-1</f>
        <v>0</v>
      </c>
      <c r="J37" s="657">
        <f>J43+J44</f>
        <v>34</v>
      </c>
      <c r="K37" s="722">
        <f>SUM(K43,K44)</f>
        <v>34</v>
      </c>
      <c r="L37" s="722">
        <f>SUM(L43,L44)</f>
        <v>34</v>
      </c>
      <c r="M37" s="1557">
        <f t="shared" ref="M37:R37" si="27">SUM(M43,M44)</f>
        <v>34</v>
      </c>
      <c r="N37" s="2130">
        <f t="shared" si="1"/>
        <v>0</v>
      </c>
      <c r="O37" s="722">
        <f t="shared" si="27"/>
        <v>34</v>
      </c>
      <c r="P37" s="1557">
        <f t="shared" si="27"/>
        <v>34</v>
      </c>
      <c r="Q37" s="722">
        <v>34</v>
      </c>
      <c r="R37" s="1557">
        <f t="shared" si="27"/>
        <v>34</v>
      </c>
      <c r="S37" s="3195" t="s">
        <v>2356</v>
      </c>
      <c r="T37" s="2704" t="s">
        <v>3660</v>
      </c>
      <c r="U37" s="3028" t="s">
        <v>1533</v>
      </c>
      <c r="V37" s="3028" t="s">
        <v>1680</v>
      </c>
      <c r="W37" s="3028" t="s">
        <v>1304</v>
      </c>
      <c r="X37" s="3028" t="s">
        <v>1372</v>
      </c>
      <c r="Y37" s="3028" t="s">
        <v>1372</v>
      </c>
      <c r="Z37" s="3028" t="s">
        <v>1372</v>
      </c>
      <c r="AA37" s="2694" t="s">
        <v>1372</v>
      </c>
      <c r="AB37" s="3028" t="s">
        <v>1032</v>
      </c>
    </row>
    <row r="38" spans="1:28" ht="29.4" customHeight="1">
      <c r="A38" s="3174"/>
      <c r="B38" s="3175"/>
      <c r="C38" s="3176"/>
      <c r="D38" s="1106" t="s">
        <v>1487</v>
      </c>
      <c r="E38" s="970">
        <v>14.82</v>
      </c>
      <c r="F38" s="973">
        <f t="shared" si="0"/>
        <v>0.39001349527665319</v>
      </c>
      <c r="G38" s="970">
        <v>27</v>
      </c>
      <c r="H38" s="974">
        <f>24-3.4</f>
        <v>20.6</v>
      </c>
      <c r="I38" s="1107">
        <f t="shared" si="26"/>
        <v>0.50485436893203883</v>
      </c>
      <c r="J38" s="657">
        <f>SUM(J41,J44)</f>
        <v>31</v>
      </c>
      <c r="K38" s="722">
        <f>SUM(K41,)</f>
        <v>27</v>
      </c>
      <c r="L38" s="974">
        <f>L41</f>
        <v>16.367999999999999</v>
      </c>
      <c r="M38" s="1557">
        <v>29.367999999999999</v>
      </c>
      <c r="N38" s="2130">
        <f t="shared" si="1"/>
        <v>-0.39377777777777784</v>
      </c>
      <c r="O38" s="974">
        <v>10</v>
      </c>
      <c r="P38" s="1557">
        <v>10</v>
      </c>
      <c r="Q38" s="974">
        <v>10</v>
      </c>
      <c r="R38" s="1557">
        <v>10</v>
      </c>
      <c r="S38" s="3195"/>
      <c r="T38" s="2734"/>
      <c r="U38" s="3028"/>
      <c r="V38" s="3028"/>
      <c r="W38" s="3028"/>
      <c r="X38" s="3028"/>
      <c r="Y38" s="3028"/>
      <c r="Z38" s="3028"/>
      <c r="AA38" s="2694"/>
      <c r="AB38" s="3028"/>
    </row>
    <row r="39" spans="1:28" ht="29.4" customHeight="1">
      <c r="A39" s="3174"/>
      <c r="B39" s="3175"/>
      <c r="C39" s="3176"/>
      <c r="D39" s="1106" t="s">
        <v>2855</v>
      </c>
      <c r="E39" s="970"/>
      <c r="F39" s="973"/>
      <c r="G39" s="970"/>
      <c r="H39" s="974">
        <v>3.4</v>
      </c>
      <c r="I39" s="1107">
        <f t="shared" si="26"/>
        <v>-1</v>
      </c>
      <c r="J39" s="657">
        <f>J45</f>
        <v>0</v>
      </c>
      <c r="K39" s="722">
        <f>K42</f>
        <v>2</v>
      </c>
      <c r="L39" s="974">
        <f>L42</f>
        <v>13</v>
      </c>
      <c r="M39" s="1557">
        <v>0</v>
      </c>
      <c r="N39" s="2130">
        <f t="shared" si="1"/>
        <v>5.5</v>
      </c>
      <c r="O39" s="974">
        <v>0</v>
      </c>
      <c r="P39" s="1557">
        <v>0</v>
      </c>
      <c r="Q39" s="974">
        <v>0</v>
      </c>
      <c r="R39" s="1557">
        <v>0</v>
      </c>
      <c r="S39" s="3195"/>
      <c r="T39" s="2734"/>
      <c r="U39" s="3028"/>
      <c r="V39" s="3028"/>
      <c r="W39" s="3028"/>
      <c r="X39" s="3028"/>
      <c r="Y39" s="3028"/>
      <c r="Z39" s="3028"/>
      <c r="AA39" s="2694"/>
      <c r="AB39" s="3028"/>
    </row>
    <row r="40" spans="1:28" ht="29.4" customHeight="1">
      <c r="A40" s="3174"/>
      <c r="B40" s="3175"/>
      <c r="C40" s="3176"/>
      <c r="D40" s="1099" t="s">
        <v>1067</v>
      </c>
      <c r="E40" s="964">
        <f>SUM(E37:E38)</f>
        <v>49.32</v>
      </c>
      <c r="F40" s="965">
        <f t="shared" si="0"/>
        <v>0.17599351175993516</v>
      </c>
      <c r="G40" s="964">
        <f t="shared" ref="G40" si="28">SUM(G37:G38)</f>
        <v>61</v>
      </c>
      <c r="H40" s="988">
        <f>SUM(H37:H39)</f>
        <v>58</v>
      </c>
      <c r="I40" s="1108">
        <f t="shared" si="26"/>
        <v>0.1206896551724137</v>
      </c>
      <c r="J40" s="1056">
        <f>SUM(J37:J39)</f>
        <v>65</v>
      </c>
      <c r="K40" s="988">
        <f>SUM(K37,K38,K39)</f>
        <v>63</v>
      </c>
      <c r="L40" s="988">
        <f t="shared" ref="L40:O40" si="29">SUM(L37,L38,L39)</f>
        <v>63.367999999999995</v>
      </c>
      <c r="M40" s="1558">
        <f t="shared" ref="M40" si="30">SUM(M37,M38,M39)</f>
        <v>63.367999999999995</v>
      </c>
      <c r="N40" s="1243">
        <f t="shared" si="1"/>
        <v>5.8412698412697618E-3</v>
      </c>
      <c r="O40" s="988">
        <f>SUM(O37,O38,O39)</f>
        <v>44</v>
      </c>
      <c r="P40" s="1558">
        <f t="shared" ref="P40:Q40" si="31">SUM(P37,P38,P39)</f>
        <v>44</v>
      </c>
      <c r="Q40" s="988">
        <f t="shared" si="31"/>
        <v>44</v>
      </c>
      <c r="R40" s="1558">
        <f t="shared" ref="R40" si="32">SUM(R37,R38,R39)</f>
        <v>44</v>
      </c>
      <c r="S40" s="3195"/>
      <c r="T40" s="2734"/>
      <c r="U40" s="3028"/>
      <c r="V40" s="3028"/>
      <c r="W40" s="3028"/>
      <c r="X40" s="3028"/>
      <c r="Y40" s="3028"/>
      <c r="Z40" s="3028"/>
      <c r="AA40" s="2694"/>
      <c r="AB40" s="3028"/>
    </row>
    <row r="41" spans="1:28" ht="29.4" hidden="1" customHeight="1">
      <c r="A41" s="3179"/>
      <c r="B41" s="2826" t="s">
        <v>3055</v>
      </c>
      <c r="C41" s="687" t="s">
        <v>1487</v>
      </c>
      <c r="D41" s="1103"/>
      <c r="E41" s="1011"/>
      <c r="F41" s="1012"/>
      <c r="G41" s="1011"/>
      <c r="H41" s="1104"/>
      <c r="I41" s="689"/>
      <c r="J41" s="734">
        <v>27</v>
      </c>
      <c r="K41" s="681">
        <v>27</v>
      </c>
      <c r="L41" s="681">
        <v>16.367999999999999</v>
      </c>
      <c r="M41" s="1559">
        <v>29.367999999999999</v>
      </c>
      <c r="N41" s="1112">
        <f t="shared" si="1"/>
        <v>-0.39377777777777784</v>
      </c>
      <c r="O41" s="681">
        <v>40.5</v>
      </c>
      <c r="P41" s="1559">
        <v>29.367999999999999</v>
      </c>
      <c r="Q41" s="681">
        <v>40.5</v>
      </c>
      <c r="R41" s="1559">
        <v>29.367999999999999</v>
      </c>
      <c r="S41" s="1311"/>
      <c r="T41" s="1111" t="s">
        <v>3493</v>
      </c>
      <c r="U41" s="1105"/>
      <c r="V41" s="1105"/>
      <c r="W41" s="1105"/>
      <c r="X41" s="1105"/>
      <c r="Y41" s="1105"/>
      <c r="Z41" s="1105"/>
      <c r="AA41" s="688"/>
      <c r="AB41" s="1105"/>
    </row>
    <row r="42" spans="1:28" ht="29.4" hidden="1" customHeight="1">
      <c r="A42" s="3179"/>
      <c r="B42" s="2826"/>
      <c r="C42" s="687" t="s">
        <v>2855</v>
      </c>
      <c r="D42" s="1103"/>
      <c r="E42" s="1011"/>
      <c r="F42" s="1012"/>
      <c r="G42" s="1011"/>
      <c r="H42" s="1104"/>
      <c r="I42" s="689"/>
      <c r="J42" s="734">
        <v>2</v>
      </c>
      <c r="K42" s="681">
        <v>2</v>
      </c>
      <c r="L42" s="681">
        <v>13</v>
      </c>
      <c r="M42" s="1559"/>
      <c r="N42" s="1112">
        <f t="shared" si="1"/>
        <v>5.5</v>
      </c>
      <c r="O42" s="681"/>
      <c r="P42" s="1559"/>
      <c r="Q42" s="681"/>
      <c r="R42" s="1559"/>
      <c r="S42" s="1311"/>
      <c r="T42" s="1111" t="s">
        <v>3494</v>
      </c>
      <c r="U42" s="1105"/>
      <c r="V42" s="1105"/>
      <c r="W42" s="1105"/>
      <c r="X42" s="1105"/>
      <c r="Y42" s="1105"/>
      <c r="Z42" s="1105"/>
      <c r="AA42" s="688"/>
      <c r="AB42" s="1105"/>
    </row>
    <row r="43" spans="1:28" ht="29.4" hidden="1" customHeight="1">
      <c r="A43" s="1101"/>
      <c r="B43" s="665" t="s">
        <v>3056</v>
      </c>
      <c r="C43" s="687" t="s">
        <v>470</v>
      </c>
      <c r="D43" s="1103"/>
      <c r="E43" s="1011"/>
      <c r="F43" s="1012"/>
      <c r="G43" s="1011"/>
      <c r="H43" s="1104"/>
      <c r="I43" s="689"/>
      <c r="J43" s="734">
        <v>30</v>
      </c>
      <c r="K43" s="681">
        <v>30</v>
      </c>
      <c r="L43" s="681">
        <v>30</v>
      </c>
      <c r="M43" s="1559">
        <v>30</v>
      </c>
      <c r="N43" s="1112">
        <f t="shared" si="1"/>
        <v>0</v>
      </c>
      <c r="O43" s="681">
        <v>30</v>
      </c>
      <c r="P43" s="1559">
        <v>30</v>
      </c>
      <c r="Q43" s="681">
        <v>30</v>
      </c>
      <c r="R43" s="1559">
        <v>30</v>
      </c>
      <c r="S43" s="1311"/>
      <c r="T43" s="1383" t="s">
        <v>3058</v>
      </c>
      <c r="U43" s="1105"/>
      <c r="V43" s="1105"/>
      <c r="W43" s="1105"/>
      <c r="X43" s="1105"/>
      <c r="Y43" s="1105"/>
      <c r="Z43" s="1105"/>
      <c r="AA43" s="688"/>
      <c r="AB43" s="1105"/>
    </row>
    <row r="44" spans="1:28" ht="29.4" hidden="1" customHeight="1">
      <c r="A44" s="2876" t="s">
        <v>3510</v>
      </c>
      <c r="B44" s="2826" t="s">
        <v>3057</v>
      </c>
      <c r="C44" s="3182" t="s">
        <v>470</v>
      </c>
      <c r="D44" s="682"/>
      <c r="E44" s="681"/>
      <c r="F44" s="778"/>
      <c r="G44" s="681"/>
      <c r="H44" s="681"/>
      <c r="I44" s="681"/>
      <c r="J44" s="734">
        <v>4</v>
      </c>
      <c r="K44" s="681">
        <v>4</v>
      </c>
      <c r="L44" s="681">
        <v>4</v>
      </c>
      <c r="M44" s="1559">
        <v>4</v>
      </c>
      <c r="N44" s="1112">
        <f t="shared" si="1"/>
        <v>0</v>
      </c>
      <c r="O44" s="681">
        <v>4</v>
      </c>
      <c r="P44" s="1559">
        <v>4</v>
      </c>
      <c r="Q44" s="681">
        <v>4</v>
      </c>
      <c r="R44" s="1559">
        <v>4</v>
      </c>
      <c r="S44" s="1311"/>
      <c r="T44" s="3228" t="s">
        <v>3059</v>
      </c>
      <c r="U44" s="1105"/>
      <c r="V44" s="1105"/>
      <c r="W44" s="1105"/>
      <c r="X44" s="1105"/>
      <c r="Y44" s="1105"/>
      <c r="Z44" s="1105"/>
      <c r="AA44" s="688"/>
      <c r="AB44" s="1105"/>
    </row>
    <row r="45" spans="1:28" ht="29.4" hidden="1" customHeight="1">
      <c r="A45" s="2876"/>
      <c r="B45" s="2826"/>
      <c r="C45" s="3182"/>
      <c r="D45" s="682"/>
      <c r="E45" s="681"/>
      <c r="F45" s="778"/>
      <c r="G45" s="681"/>
      <c r="H45" s="681"/>
      <c r="I45" s="681"/>
      <c r="J45" s="681"/>
      <c r="K45" s="681"/>
      <c r="L45" s="681"/>
      <c r="M45" s="1559"/>
      <c r="N45" s="1112" t="e">
        <f t="shared" si="1"/>
        <v>#DIV/0!</v>
      </c>
      <c r="O45" s="681"/>
      <c r="P45" s="1559"/>
      <c r="Q45" s="681"/>
      <c r="R45" s="1559"/>
      <c r="S45" s="1311"/>
      <c r="T45" s="3228"/>
      <c r="U45" s="1105"/>
      <c r="V45" s="1105"/>
      <c r="W45" s="1105"/>
      <c r="X45" s="1105"/>
      <c r="Y45" s="1105"/>
      <c r="Z45" s="1105"/>
      <c r="AA45" s="688"/>
      <c r="AB45" s="1105"/>
    </row>
    <row r="46" spans="1:28" ht="29.4" customHeight="1">
      <c r="A46" s="3174" t="s">
        <v>2049</v>
      </c>
      <c r="B46" s="3175" t="s">
        <v>1247</v>
      </c>
      <c r="C46" s="3186">
        <v>188711925</v>
      </c>
      <c r="D46" s="1106" t="s">
        <v>470</v>
      </c>
      <c r="E46" s="970">
        <v>0</v>
      </c>
      <c r="F46" s="972"/>
      <c r="G46" s="970">
        <v>120</v>
      </c>
      <c r="H46" s="974">
        <f>20+24</f>
        <v>44</v>
      </c>
      <c r="I46" s="722"/>
      <c r="J46" s="722">
        <f>SUM(J51,J52,J55,J56,)</f>
        <v>163.16</v>
      </c>
      <c r="K46" s="722">
        <v>0</v>
      </c>
      <c r="L46" s="974"/>
      <c r="M46" s="1557">
        <f>SUM(M51,M52,M56,M57,M61,M59,M60)</f>
        <v>595.45000000000005</v>
      </c>
      <c r="N46" s="2130"/>
      <c r="O46" s="722">
        <f>SUM(O51,O52,O55,O56,O57,O58,O59,O60,O61)</f>
        <v>237.45</v>
      </c>
      <c r="P46" s="1496">
        <f t="shared" ref="P46:R46" si="33">SUM(P51,P52,P55,P56,P57,P58,P59,P60,P61)</f>
        <v>237.45</v>
      </c>
      <c r="Q46" s="722">
        <f t="shared" si="33"/>
        <v>125</v>
      </c>
      <c r="R46" s="1496">
        <f t="shared" si="33"/>
        <v>125</v>
      </c>
      <c r="S46" s="3195" t="s">
        <v>2357</v>
      </c>
      <c r="T46" s="3027" t="s">
        <v>4261</v>
      </c>
      <c r="U46" s="3028" t="s">
        <v>1534</v>
      </c>
      <c r="V46" s="3028" t="s">
        <v>3597</v>
      </c>
      <c r="W46" s="3028" t="s">
        <v>145</v>
      </c>
      <c r="X46" s="3028" t="s">
        <v>1372</v>
      </c>
      <c r="Y46" s="3028" t="s">
        <v>1372</v>
      </c>
      <c r="Z46" s="3028" t="s">
        <v>1372</v>
      </c>
      <c r="AA46" s="2694" t="s">
        <v>1372</v>
      </c>
      <c r="AB46" s="3028" t="s">
        <v>3598</v>
      </c>
    </row>
    <row r="47" spans="1:28" ht="29.4" customHeight="1">
      <c r="A47" s="3174"/>
      <c r="B47" s="3175"/>
      <c r="C47" s="3186"/>
      <c r="D47" s="706" t="s">
        <v>2747</v>
      </c>
      <c r="E47" s="722"/>
      <c r="F47" s="1014"/>
      <c r="G47" s="722"/>
      <c r="H47" s="722"/>
      <c r="I47" s="722"/>
      <c r="J47" s="722"/>
      <c r="K47" s="722">
        <v>163.16</v>
      </c>
      <c r="L47" s="722">
        <f>SUM(L59,L60,L51)</f>
        <v>376.536</v>
      </c>
      <c r="M47" s="1557"/>
      <c r="N47" s="2130">
        <f t="shared" si="1"/>
        <v>1.3077715126256435</v>
      </c>
      <c r="O47" s="722"/>
      <c r="P47" s="1496"/>
      <c r="Q47" s="722"/>
      <c r="R47" s="1496"/>
      <c r="S47" s="3195"/>
      <c r="T47" s="3027"/>
      <c r="U47" s="3028"/>
      <c r="V47" s="3028"/>
      <c r="W47" s="3028"/>
      <c r="X47" s="3028"/>
      <c r="Y47" s="3028"/>
      <c r="Z47" s="3028"/>
      <c r="AA47" s="2694"/>
      <c r="AB47" s="3028"/>
    </row>
    <row r="48" spans="1:28" ht="29.4" customHeight="1">
      <c r="A48" s="3174"/>
      <c r="B48" s="3175"/>
      <c r="C48" s="3186"/>
      <c r="D48" s="706" t="s">
        <v>1487</v>
      </c>
      <c r="E48" s="970"/>
      <c r="F48" s="972"/>
      <c r="G48" s="970"/>
      <c r="H48" s="974"/>
      <c r="I48" s="722"/>
      <c r="J48" s="722">
        <f>SUM(J53,)</f>
        <v>2.8</v>
      </c>
      <c r="K48" s="722">
        <f t="shared" ref="K48:O48" si="34">SUM(K53,)</f>
        <v>2.8</v>
      </c>
      <c r="L48" s="722">
        <f t="shared" si="34"/>
        <v>0</v>
      </c>
      <c r="M48" s="1557"/>
      <c r="N48" s="2130">
        <f t="shared" si="1"/>
        <v>-1</v>
      </c>
      <c r="O48" s="722">
        <f t="shared" si="34"/>
        <v>0</v>
      </c>
      <c r="P48" s="1496">
        <v>0</v>
      </c>
      <c r="Q48" s="722">
        <f t="shared" ref="Q48:R48" si="35">SUM(Q60)</f>
        <v>0</v>
      </c>
      <c r="R48" s="1496">
        <f t="shared" si="35"/>
        <v>0</v>
      </c>
      <c r="S48" s="3195"/>
      <c r="T48" s="3027"/>
      <c r="U48" s="3028"/>
      <c r="V48" s="3028"/>
      <c r="W48" s="3028"/>
      <c r="X48" s="3028"/>
      <c r="Y48" s="3028"/>
      <c r="Z48" s="3028"/>
      <c r="AA48" s="2694"/>
      <c r="AB48" s="3028"/>
    </row>
    <row r="49" spans="1:28" ht="29.4" customHeight="1">
      <c r="A49" s="3174"/>
      <c r="B49" s="3175"/>
      <c r="C49" s="3186"/>
      <c r="D49" s="706" t="s">
        <v>2855</v>
      </c>
      <c r="E49" s="970"/>
      <c r="F49" s="972"/>
      <c r="G49" s="970"/>
      <c r="H49" s="974"/>
      <c r="I49" s="722"/>
      <c r="J49" s="722">
        <f>SUM(J54,)</f>
        <v>7.5</v>
      </c>
      <c r="K49" s="722">
        <f t="shared" ref="K49:O49" si="36">SUM(K54,)</f>
        <v>7.5</v>
      </c>
      <c r="L49" s="722">
        <f t="shared" si="36"/>
        <v>0</v>
      </c>
      <c r="M49" s="1557"/>
      <c r="N49" s="2130">
        <f t="shared" si="1"/>
        <v>-1</v>
      </c>
      <c r="O49" s="722">
        <f t="shared" si="36"/>
        <v>0</v>
      </c>
      <c r="P49" s="1496">
        <f t="shared" ref="P49:R49" si="37">SUM(P59)</f>
        <v>0</v>
      </c>
      <c r="Q49" s="722">
        <f t="shared" si="37"/>
        <v>0</v>
      </c>
      <c r="R49" s="1496">
        <f t="shared" si="37"/>
        <v>0</v>
      </c>
      <c r="S49" s="3195"/>
      <c r="T49" s="3027"/>
      <c r="U49" s="3028"/>
      <c r="V49" s="3028"/>
      <c r="W49" s="3028"/>
      <c r="X49" s="3028"/>
      <c r="Y49" s="3028"/>
      <c r="Z49" s="3028"/>
      <c r="AA49" s="2694"/>
      <c r="AB49" s="3028"/>
    </row>
    <row r="50" spans="1:28" ht="29.4" customHeight="1">
      <c r="A50" s="3174"/>
      <c r="B50" s="3175"/>
      <c r="C50" s="3186"/>
      <c r="D50" s="1099" t="s">
        <v>1067</v>
      </c>
      <c r="E50" s="964">
        <f>E46</f>
        <v>0</v>
      </c>
      <c r="F50" s="965"/>
      <c r="G50" s="964">
        <f t="shared" ref="G50:H50" si="38">G46</f>
        <v>120</v>
      </c>
      <c r="H50" s="988">
        <f t="shared" si="38"/>
        <v>44</v>
      </c>
      <c r="I50" s="728"/>
      <c r="J50" s="1075">
        <f>SUM(J46,J48,J49)</f>
        <v>173.46</v>
      </c>
      <c r="K50" s="728">
        <f>SUM(K46,K48,K49,K47)</f>
        <v>173.46</v>
      </c>
      <c r="L50" s="728">
        <f t="shared" ref="L50:O50" si="39">SUM(L46,L48,L49,L47)</f>
        <v>376.536</v>
      </c>
      <c r="M50" s="1558">
        <f t="shared" ref="M50" si="40">SUM(M46,M48,M49,M47)</f>
        <v>595.45000000000005</v>
      </c>
      <c r="N50" s="1243">
        <f t="shared" si="1"/>
        <v>1.1707367692839847</v>
      </c>
      <c r="O50" s="728">
        <f>SUM(O46,O48,O49,O47)</f>
        <v>237.45</v>
      </c>
      <c r="P50" s="1558">
        <f t="shared" ref="P50:Q50" si="41">SUM(P46,P48,P49,P47)</f>
        <v>237.45</v>
      </c>
      <c r="Q50" s="728">
        <f t="shared" si="41"/>
        <v>125</v>
      </c>
      <c r="R50" s="1558">
        <f t="shared" ref="R50" si="42">SUM(R46,R48,R49,R47)</f>
        <v>125</v>
      </c>
      <c r="S50" s="3195"/>
      <c r="T50" s="3192"/>
      <c r="U50" s="3028"/>
      <c r="V50" s="3028"/>
      <c r="W50" s="3028"/>
      <c r="X50" s="3028"/>
      <c r="Y50" s="3028"/>
      <c r="Z50" s="3028"/>
      <c r="AA50" s="2694"/>
      <c r="AB50" s="3028"/>
    </row>
    <row r="51" spans="1:28" ht="29.4" hidden="1" customHeight="1">
      <c r="A51" s="688" t="s">
        <v>3398</v>
      </c>
      <c r="B51" s="665" t="s">
        <v>3399</v>
      </c>
      <c r="C51" s="1024"/>
      <c r="D51" s="687" t="s">
        <v>470</v>
      </c>
      <c r="E51" s="689"/>
      <c r="F51" s="756"/>
      <c r="G51" s="689"/>
      <c r="H51" s="689"/>
      <c r="I51" s="689"/>
      <c r="J51" s="737">
        <v>15</v>
      </c>
      <c r="K51" s="681">
        <v>15</v>
      </c>
      <c r="L51" s="681">
        <v>15</v>
      </c>
      <c r="M51" s="1559">
        <v>15</v>
      </c>
      <c r="N51" s="1112">
        <f t="shared" si="1"/>
        <v>0</v>
      </c>
      <c r="O51" s="946">
        <v>15</v>
      </c>
      <c r="P51" s="1559">
        <v>15</v>
      </c>
      <c r="Q51" s="946">
        <v>15</v>
      </c>
      <c r="R51" s="1559">
        <v>15</v>
      </c>
      <c r="S51" s="1311"/>
      <c r="T51" s="665"/>
      <c r="U51" s="1105"/>
      <c r="V51" s="1105"/>
      <c r="W51" s="1105"/>
      <c r="X51" s="1105"/>
      <c r="Y51" s="1105"/>
      <c r="Z51" s="1105"/>
      <c r="AA51" s="688"/>
      <c r="AB51" s="3028"/>
    </row>
    <row r="52" spans="1:28" ht="29.4" hidden="1" customHeight="1">
      <c r="A52" s="693" t="s">
        <v>3510</v>
      </c>
      <c r="B52" s="665" t="s">
        <v>3511</v>
      </c>
      <c r="C52" s="1024"/>
      <c r="D52" s="687" t="s">
        <v>470</v>
      </c>
      <c r="E52" s="686"/>
      <c r="F52" s="1112"/>
      <c r="G52" s="686"/>
      <c r="H52" s="686"/>
      <c r="I52" s="686"/>
      <c r="J52" s="681">
        <v>59.64</v>
      </c>
      <c r="K52" s="681">
        <v>59.64</v>
      </c>
      <c r="L52" s="681"/>
      <c r="M52" s="1559">
        <v>55.36</v>
      </c>
      <c r="N52" s="1112">
        <f t="shared" si="1"/>
        <v>-1</v>
      </c>
      <c r="O52" s="946">
        <v>50</v>
      </c>
      <c r="P52" s="1559">
        <v>50</v>
      </c>
      <c r="Q52" s="946">
        <v>50</v>
      </c>
      <c r="R52" s="1559">
        <v>50</v>
      </c>
      <c r="S52" s="1311"/>
      <c r="T52" s="665" t="s">
        <v>3865</v>
      </c>
      <c r="U52" s="1105"/>
      <c r="V52" s="1105"/>
      <c r="W52" s="1105"/>
      <c r="X52" s="1105"/>
      <c r="Y52" s="1105"/>
      <c r="Z52" s="1105"/>
      <c r="AA52" s="688"/>
      <c r="AB52" s="3028"/>
    </row>
    <row r="53" spans="1:28" ht="29.4" hidden="1" customHeight="1">
      <c r="A53" s="693"/>
      <c r="B53" s="2826" t="s">
        <v>3512</v>
      </c>
      <c r="C53" s="1024"/>
      <c r="D53" s="687" t="s">
        <v>1487</v>
      </c>
      <c r="E53" s="686"/>
      <c r="F53" s="1112"/>
      <c r="G53" s="686"/>
      <c r="H53" s="686"/>
      <c r="I53" s="686"/>
      <c r="J53" s="681">
        <v>2.8</v>
      </c>
      <c r="K53" s="681">
        <v>2.8</v>
      </c>
      <c r="L53" s="681"/>
      <c r="M53" s="1559"/>
      <c r="N53" s="1112">
        <f t="shared" si="1"/>
        <v>-1</v>
      </c>
      <c r="O53" s="946"/>
      <c r="P53" s="1559"/>
      <c r="Q53" s="946"/>
      <c r="R53" s="1559"/>
      <c r="S53" s="1384"/>
      <c r="T53" s="1113" t="s">
        <v>3514</v>
      </c>
      <c r="U53" s="1105"/>
      <c r="V53" s="1105"/>
      <c r="W53" s="1105"/>
      <c r="X53" s="1105"/>
      <c r="Y53" s="1105"/>
      <c r="Z53" s="1105"/>
      <c r="AA53" s="688"/>
      <c r="AB53" s="3028"/>
    </row>
    <row r="54" spans="1:28" ht="29.4" hidden="1" customHeight="1">
      <c r="A54" s="693"/>
      <c r="B54" s="2826"/>
      <c r="C54" s="1024"/>
      <c r="D54" s="687" t="s">
        <v>2855</v>
      </c>
      <c r="E54" s="686"/>
      <c r="F54" s="1112"/>
      <c r="G54" s="686"/>
      <c r="H54" s="686"/>
      <c r="I54" s="686"/>
      <c r="J54" s="681">
        <v>7.5</v>
      </c>
      <c r="K54" s="681">
        <v>7.5</v>
      </c>
      <c r="L54" s="681"/>
      <c r="M54" s="1559"/>
      <c r="N54" s="1112">
        <f t="shared" si="1"/>
        <v>-1</v>
      </c>
      <c r="O54" s="946"/>
      <c r="P54" s="1559"/>
      <c r="Q54" s="946"/>
      <c r="R54" s="1559"/>
      <c r="S54" s="1384"/>
      <c r="T54" s="1113"/>
      <c r="U54" s="1105"/>
      <c r="V54" s="1105"/>
      <c r="W54" s="1105"/>
      <c r="X54" s="1105"/>
      <c r="Y54" s="1105"/>
      <c r="Z54" s="1105"/>
      <c r="AA54" s="688"/>
      <c r="AB54" s="3028"/>
    </row>
    <row r="55" spans="1:28" ht="29.4" hidden="1" customHeight="1">
      <c r="A55" s="693"/>
      <c r="B55" s="2826"/>
      <c r="C55" s="1024"/>
      <c r="D55" s="687" t="s">
        <v>470</v>
      </c>
      <c r="E55" s="686"/>
      <c r="F55" s="1112"/>
      <c r="G55" s="686"/>
      <c r="H55" s="686"/>
      <c r="I55" s="686"/>
      <c r="J55" s="681">
        <v>32</v>
      </c>
      <c r="K55" s="681">
        <v>32</v>
      </c>
      <c r="L55" s="681"/>
      <c r="M55" s="1559"/>
      <c r="N55" s="1112">
        <f t="shared" si="1"/>
        <v>-1</v>
      </c>
      <c r="O55" s="946"/>
      <c r="P55" s="1559"/>
      <c r="Q55" s="946"/>
      <c r="R55" s="1559"/>
      <c r="S55" s="1384"/>
      <c r="T55" s="1113"/>
      <c r="U55" s="1105"/>
      <c r="V55" s="1105"/>
      <c r="W55" s="1105"/>
      <c r="X55" s="1105"/>
      <c r="Y55" s="1105"/>
      <c r="Z55" s="1105"/>
      <c r="AA55" s="688"/>
      <c r="AB55" s="3028"/>
    </row>
    <row r="56" spans="1:28" ht="29.4" hidden="1" customHeight="1">
      <c r="A56" s="693" t="s">
        <v>3510</v>
      </c>
      <c r="B56" s="665" t="s">
        <v>3513</v>
      </c>
      <c r="C56" s="1024"/>
      <c r="D56" s="687" t="s">
        <v>470</v>
      </c>
      <c r="E56" s="686"/>
      <c r="F56" s="1112"/>
      <c r="G56" s="686"/>
      <c r="H56" s="686"/>
      <c r="I56" s="686"/>
      <c r="J56" s="681">
        <v>56.52</v>
      </c>
      <c r="K56" s="681">
        <v>56.52</v>
      </c>
      <c r="L56" s="681"/>
      <c r="M56" s="1559">
        <v>0</v>
      </c>
      <c r="N56" s="1112">
        <f t="shared" si="1"/>
        <v>-1</v>
      </c>
      <c r="O56" s="946">
        <v>50</v>
      </c>
      <c r="P56" s="1559">
        <v>50</v>
      </c>
      <c r="Q56" s="946">
        <v>50</v>
      </c>
      <c r="R56" s="1559">
        <v>50</v>
      </c>
      <c r="S56" s="1384"/>
      <c r="T56" s="1472" t="s">
        <v>3515</v>
      </c>
      <c r="U56" s="1105"/>
      <c r="V56" s="1105"/>
      <c r="W56" s="1105"/>
      <c r="X56" s="1105"/>
      <c r="Y56" s="1105"/>
      <c r="Z56" s="1105"/>
      <c r="AA56" s="688"/>
      <c r="AB56" s="3028"/>
    </row>
    <row r="57" spans="1:28" ht="29.4" hidden="1" customHeight="1">
      <c r="A57" s="693" t="s">
        <v>3510</v>
      </c>
      <c r="B57" s="665" t="s">
        <v>3858</v>
      </c>
      <c r="C57" s="1024"/>
      <c r="D57" s="687" t="s">
        <v>470</v>
      </c>
      <c r="E57" s="686"/>
      <c r="F57" s="1112"/>
      <c r="G57" s="686"/>
      <c r="H57" s="686"/>
      <c r="I57" s="686"/>
      <c r="J57" s="681"/>
      <c r="K57" s="681"/>
      <c r="L57" s="681"/>
      <c r="M57" s="1559">
        <v>16</v>
      </c>
      <c r="N57" s="1112" t="e">
        <f t="shared" si="1"/>
        <v>#DIV/0!</v>
      </c>
      <c r="O57" s="946">
        <v>10</v>
      </c>
      <c r="P57" s="1559">
        <v>10</v>
      </c>
      <c r="Q57" s="946">
        <v>10</v>
      </c>
      <c r="R57" s="1559">
        <v>10</v>
      </c>
      <c r="S57" s="1384"/>
      <c r="T57" s="1472"/>
      <c r="U57" s="1105"/>
      <c r="V57" s="1105"/>
      <c r="W57" s="1105"/>
      <c r="X57" s="1105"/>
      <c r="Y57" s="1105"/>
      <c r="Z57" s="1105"/>
      <c r="AA57" s="688"/>
      <c r="AB57" s="3028"/>
    </row>
    <row r="58" spans="1:28" ht="29.4" hidden="1" customHeight="1">
      <c r="A58" s="693" t="s">
        <v>3510</v>
      </c>
      <c r="B58" s="665" t="s">
        <v>3859</v>
      </c>
      <c r="C58" s="1024"/>
      <c r="D58" s="687"/>
      <c r="E58" s="686"/>
      <c r="F58" s="1112"/>
      <c r="G58" s="686"/>
      <c r="H58" s="686"/>
      <c r="I58" s="686"/>
      <c r="J58" s="681"/>
      <c r="K58" s="681"/>
      <c r="L58" s="681"/>
      <c r="M58" s="1559"/>
      <c r="N58" s="1112" t="e">
        <f t="shared" si="1"/>
        <v>#DIV/0!</v>
      </c>
      <c r="O58" s="946"/>
      <c r="P58" s="1559"/>
      <c r="Q58" s="946"/>
      <c r="R58" s="1559"/>
      <c r="S58" s="1384"/>
      <c r="T58" s="1472" t="s">
        <v>3864</v>
      </c>
      <c r="U58" s="1105"/>
      <c r="V58" s="1105"/>
      <c r="W58" s="1105"/>
      <c r="X58" s="1105"/>
      <c r="Y58" s="1105"/>
      <c r="Z58" s="1105"/>
      <c r="AA58" s="688"/>
      <c r="AB58" s="3028"/>
    </row>
    <row r="59" spans="1:28" ht="29.4" hidden="1" customHeight="1">
      <c r="A59" s="693"/>
      <c r="B59" s="665" t="s">
        <v>3860</v>
      </c>
      <c r="C59" s="1024"/>
      <c r="D59" s="687" t="s">
        <v>470</v>
      </c>
      <c r="E59" s="686"/>
      <c r="F59" s="1112"/>
      <c r="G59" s="686"/>
      <c r="H59" s="686"/>
      <c r="I59" s="686"/>
      <c r="J59" s="681"/>
      <c r="K59" s="681"/>
      <c r="L59" s="681">
        <v>196.636</v>
      </c>
      <c r="M59" s="681">
        <v>274.19</v>
      </c>
      <c r="N59" s="1112" t="e">
        <f t="shared" si="1"/>
        <v>#DIV/0!</v>
      </c>
      <c r="O59" s="946"/>
      <c r="P59" s="1559"/>
      <c r="Q59" s="946"/>
      <c r="R59" s="1559"/>
      <c r="S59" s="1384"/>
      <c r="T59" s="1113"/>
      <c r="U59" s="1105"/>
      <c r="V59" s="1105"/>
      <c r="W59" s="1105"/>
      <c r="X59" s="1105"/>
      <c r="Y59" s="1105"/>
      <c r="Z59" s="1105"/>
      <c r="AA59" s="688"/>
      <c r="AB59" s="3028"/>
    </row>
    <row r="60" spans="1:28" ht="29.4" hidden="1" customHeight="1">
      <c r="A60" s="693"/>
      <c r="B60" s="665" t="s">
        <v>3861</v>
      </c>
      <c r="C60" s="1024"/>
      <c r="D60" s="687" t="s">
        <v>470</v>
      </c>
      <c r="E60" s="686"/>
      <c r="F60" s="1112"/>
      <c r="G60" s="686"/>
      <c r="H60" s="686"/>
      <c r="I60" s="686"/>
      <c r="J60" s="681"/>
      <c r="K60" s="681"/>
      <c r="L60" s="681">
        <v>164.9</v>
      </c>
      <c r="M60" s="681">
        <v>164.9</v>
      </c>
      <c r="N60" s="1112" t="e">
        <f t="shared" si="1"/>
        <v>#DIV/0!</v>
      </c>
      <c r="O60" s="946">
        <v>82.45</v>
      </c>
      <c r="P60" s="1559">
        <v>82.45</v>
      </c>
      <c r="Q60" s="946"/>
      <c r="R60" s="1559"/>
      <c r="S60" s="1384"/>
      <c r="T60" s="1113"/>
      <c r="U60" s="1105"/>
      <c r="V60" s="1105"/>
      <c r="W60" s="1105"/>
      <c r="X60" s="1105"/>
      <c r="Y60" s="1105"/>
      <c r="Z60" s="1105"/>
      <c r="AA60" s="688"/>
      <c r="AB60" s="3028"/>
    </row>
    <row r="61" spans="1:28" ht="29.4" hidden="1" customHeight="1">
      <c r="A61" s="693"/>
      <c r="B61" s="665" t="s">
        <v>3862</v>
      </c>
      <c r="C61" s="1024"/>
      <c r="D61" s="687" t="s">
        <v>470</v>
      </c>
      <c r="E61" s="686"/>
      <c r="F61" s="1112"/>
      <c r="G61" s="686"/>
      <c r="H61" s="686"/>
      <c r="I61" s="686"/>
      <c r="J61" s="681"/>
      <c r="K61" s="681"/>
      <c r="L61" s="681">
        <v>0</v>
      </c>
      <c r="M61" s="681">
        <v>70</v>
      </c>
      <c r="N61" s="1112" t="e">
        <f t="shared" si="1"/>
        <v>#DIV/0!</v>
      </c>
      <c r="O61" s="946">
        <v>30</v>
      </c>
      <c r="P61" s="1559">
        <v>30</v>
      </c>
      <c r="Q61" s="946"/>
      <c r="R61" s="1559"/>
      <c r="S61" s="1384"/>
      <c r="T61" s="665" t="s">
        <v>3863</v>
      </c>
      <c r="U61" s="1105"/>
      <c r="V61" s="1105"/>
      <c r="W61" s="1105"/>
      <c r="X61" s="1105"/>
      <c r="Y61" s="1105"/>
      <c r="Z61" s="1105"/>
      <c r="AA61" s="688"/>
      <c r="AB61" s="3028"/>
    </row>
    <row r="62" spans="1:28" ht="29.4" customHeight="1">
      <c r="A62" s="3174" t="s">
        <v>2050</v>
      </c>
      <c r="B62" s="3175" t="s">
        <v>2772</v>
      </c>
      <c r="C62" s="3176">
        <v>188711925</v>
      </c>
      <c r="D62" s="1106" t="s">
        <v>2747</v>
      </c>
      <c r="E62" s="970">
        <v>15.795</v>
      </c>
      <c r="F62" s="973">
        <f t="shared" si="0"/>
        <v>6.6356441911997468</v>
      </c>
      <c r="G62" s="970">
        <v>120.605</v>
      </c>
      <c r="H62" s="974">
        <v>120.605</v>
      </c>
      <c r="I62" s="722"/>
      <c r="J62" s="657"/>
      <c r="K62" s="974">
        <v>24.053999999999998</v>
      </c>
      <c r="L62" s="974">
        <v>190</v>
      </c>
      <c r="M62" s="1557"/>
      <c r="N62" s="2130">
        <f t="shared" si="1"/>
        <v>6.8988941548183256</v>
      </c>
      <c r="O62" s="974"/>
      <c r="P62" s="1557"/>
      <c r="Q62" s="974"/>
      <c r="R62" s="1557"/>
      <c r="S62" s="3195" t="s">
        <v>2359</v>
      </c>
      <c r="T62" s="2704" t="s">
        <v>4262</v>
      </c>
      <c r="U62" s="2694" t="s">
        <v>1535</v>
      </c>
      <c r="V62" s="2694" t="s">
        <v>2773</v>
      </c>
      <c r="W62" s="656" t="s">
        <v>433</v>
      </c>
      <c r="X62" s="2694" t="s">
        <v>433</v>
      </c>
      <c r="Y62" s="2694" t="s">
        <v>433</v>
      </c>
      <c r="Z62" s="2694" t="s">
        <v>4111</v>
      </c>
      <c r="AA62" s="2694"/>
      <c r="AB62" s="3028"/>
    </row>
    <row r="63" spans="1:28" ht="29.4" customHeight="1">
      <c r="A63" s="3174"/>
      <c r="B63" s="3175"/>
      <c r="C63" s="3176"/>
      <c r="D63" s="1106" t="s">
        <v>470</v>
      </c>
      <c r="E63" s="970"/>
      <c r="F63" s="973"/>
      <c r="G63" s="970"/>
      <c r="H63" s="974"/>
      <c r="I63" s="722"/>
      <c r="J63" s="657">
        <v>24.055</v>
      </c>
      <c r="K63" s="974"/>
      <c r="L63" s="974"/>
      <c r="M63" s="1557">
        <v>20.425000000000001</v>
      </c>
      <c r="N63" s="2130"/>
      <c r="O63" s="974"/>
      <c r="P63" s="1557">
        <v>10.852</v>
      </c>
      <c r="Q63" s="974"/>
      <c r="R63" s="1557"/>
      <c r="S63" s="3195"/>
      <c r="T63" s="2704"/>
      <c r="U63" s="2694"/>
      <c r="V63" s="2694"/>
      <c r="W63" s="656"/>
      <c r="X63" s="2694"/>
      <c r="Y63" s="2694"/>
      <c r="Z63" s="2694"/>
      <c r="AA63" s="2694"/>
      <c r="AB63" s="3028"/>
    </row>
    <row r="64" spans="1:28" ht="29.4" customHeight="1">
      <c r="A64" s="3174"/>
      <c r="B64" s="3175"/>
      <c r="C64" s="3176"/>
      <c r="D64" s="1106" t="s">
        <v>246</v>
      </c>
      <c r="E64" s="970"/>
      <c r="F64" s="973"/>
      <c r="G64" s="970"/>
      <c r="H64" s="974"/>
      <c r="I64" s="722"/>
      <c r="J64" s="657">
        <v>136.30799999999999</v>
      </c>
      <c r="K64" s="974">
        <v>136.30799999999999</v>
      </c>
      <c r="L64" s="974">
        <v>211.11799999999999</v>
      </c>
      <c r="M64" s="1557">
        <v>211.11799999999999</v>
      </c>
      <c r="N64" s="2130">
        <f t="shared" si="1"/>
        <v>0.54883058954720199</v>
      </c>
      <c r="O64" s="974">
        <v>61.497</v>
      </c>
      <c r="P64" s="1557">
        <v>61.497</v>
      </c>
      <c r="Q64" s="974"/>
      <c r="R64" s="1557"/>
      <c r="S64" s="3195"/>
      <c r="T64" s="2734"/>
      <c r="U64" s="2694"/>
      <c r="V64" s="656" t="s">
        <v>1741</v>
      </c>
      <c r="W64" s="656" t="s">
        <v>433</v>
      </c>
      <c r="X64" s="656" t="s">
        <v>433</v>
      </c>
      <c r="Y64" s="656" t="s">
        <v>433</v>
      </c>
      <c r="Z64" s="656" t="s">
        <v>4112</v>
      </c>
      <c r="AA64" s="656"/>
      <c r="AB64" s="3028"/>
    </row>
    <row r="65" spans="1:28" ht="29.4" customHeight="1">
      <c r="A65" s="3174"/>
      <c r="B65" s="3175"/>
      <c r="C65" s="3176"/>
      <c r="D65" s="1106" t="s">
        <v>1111</v>
      </c>
      <c r="E65" s="970"/>
      <c r="F65" s="973"/>
      <c r="G65" s="970"/>
      <c r="H65" s="974"/>
      <c r="I65" s="722"/>
      <c r="J65" s="657"/>
      <c r="K65" s="974"/>
      <c r="L65" s="974"/>
      <c r="M65" s="1557"/>
      <c r="N65" s="2130" t="e">
        <f t="shared" si="1"/>
        <v>#DIV/0!</v>
      </c>
      <c r="O65" s="974"/>
      <c r="P65" s="1557"/>
      <c r="Q65" s="974"/>
      <c r="R65" s="1557"/>
      <c r="S65" s="3195"/>
      <c r="T65" s="2734"/>
      <c r="U65" s="2694"/>
      <c r="V65" s="3071" t="s">
        <v>1742</v>
      </c>
      <c r="W65" s="656" t="s">
        <v>433</v>
      </c>
      <c r="X65" s="2694" t="s">
        <v>433</v>
      </c>
      <c r="Y65" s="2903" t="s">
        <v>433</v>
      </c>
      <c r="Z65" s="2903" t="s">
        <v>324</v>
      </c>
      <c r="AA65" s="2903"/>
      <c r="AB65" s="3028"/>
    </row>
    <row r="66" spans="1:28" ht="29.4" customHeight="1">
      <c r="A66" s="3174"/>
      <c r="B66" s="3175"/>
      <c r="C66" s="3176"/>
      <c r="D66" s="1106" t="s">
        <v>1358</v>
      </c>
      <c r="E66" s="970"/>
      <c r="F66" s="973"/>
      <c r="G66" s="970"/>
      <c r="H66" s="974"/>
      <c r="I66" s="722"/>
      <c r="J66" s="657"/>
      <c r="K66" s="974"/>
      <c r="L66" s="974">
        <v>17.373999999999999</v>
      </c>
      <c r="M66" s="1557"/>
      <c r="N66" s="2130"/>
      <c r="O66" s="974">
        <v>10.852</v>
      </c>
      <c r="P66" s="1557"/>
      <c r="Q66" s="974"/>
      <c r="R66" s="1557"/>
      <c r="S66" s="3195"/>
      <c r="T66" s="2734"/>
      <c r="U66" s="2694"/>
      <c r="V66" s="3075"/>
      <c r="W66" s="656"/>
      <c r="X66" s="2694"/>
      <c r="Y66" s="2904"/>
      <c r="Z66" s="2904"/>
      <c r="AA66" s="2904"/>
      <c r="AB66" s="3028"/>
    </row>
    <row r="67" spans="1:28" ht="68.400000000000006" customHeight="1">
      <c r="A67" s="3174"/>
      <c r="B67" s="3175"/>
      <c r="C67" s="3176"/>
      <c r="D67" s="1099" t="s">
        <v>1067</v>
      </c>
      <c r="E67" s="964">
        <f>SUM(E62:E65)</f>
        <v>15.795</v>
      </c>
      <c r="F67" s="965">
        <f t="shared" si="0"/>
        <v>6.6356441911997468</v>
      </c>
      <c r="G67" s="964">
        <f t="shared" ref="G67:O67" si="43">SUM(G62:G65)</f>
        <v>120.605</v>
      </c>
      <c r="H67" s="988">
        <f>SUM(H62:H65)</f>
        <v>120.605</v>
      </c>
      <c r="I67" s="729">
        <f t="shared" ref="I67" si="44">J67/H67-1</f>
        <v>0.32965465776709091</v>
      </c>
      <c r="J67" s="1056">
        <f>SUM(J62:J65)</f>
        <v>160.363</v>
      </c>
      <c r="K67" s="988">
        <f t="shared" si="43"/>
        <v>160.36199999999999</v>
      </c>
      <c r="L67" s="988">
        <f>SUM(L62:L66)</f>
        <v>418.49200000000002</v>
      </c>
      <c r="M67" s="1558">
        <f>SUM(M62:M66)</f>
        <v>231.54300000000001</v>
      </c>
      <c r="N67" s="1243">
        <f t="shared" si="1"/>
        <v>1.6096706202217483</v>
      </c>
      <c r="O67" s="988">
        <f>SUM(O62:O66)</f>
        <v>72.349000000000004</v>
      </c>
      <c r="P67" s="1558">
        <f t="shared" ref="P67:Q67" si="45">SUM(P62:P65)</f>
        <v>72.349000000000004</v>
      </c>
      <c r="Q67" s="988">
        <f t="shared" si="45"/>
        <v>0</v>
      </c>
      <c r="R67" s="1558">
        <f t="shared" ref="R67" si="46">SUM(R62:R65)</f>
        <v>0</v>
      </c>
      <c r="S67" s="3195"/>
      <c r="T67" s="2734"/>
      <c r="U67" s="2694"/>
      <c r="V67" s="3072"/>
      <c r="W67" s="1821"/>
      <c r="X67" s="1821"/>
      <c r="Y67" s="2905"/>
      <c r="Z67" s="2905"/>
      <c r="AA67" s="2905"/>
      <c r="AB67" s="3028"/>
    </row>
    <row r="68" spans="1:28" ht="29.4" customHeight="1">
      <c r="A68" s="3174" t="s">
        <v>2051</v>
      </c>
      <c r="B68" s="3175" t="s">
        <v>1248</v>
      </c>
      <c r="C68" s="3176">
        <v>188711925</v>
      </c>
      <c r="D68" s="1106" t="s">
        <v>470</v>
      </c>
      <c r="E68" s="970"/>
      <c r="F68" s="973" t="e">
        <f t="shared" si="0"/>
        <v>#DIV/0!</v>
      </c>
      <c r="G68" s="970">
        <v>40</v>
      </c>
      <c r="H68" s="974">
        <v>25</v>
      </c>
      <c r="I68" s="722"/>
      <c r="J68" s="657">
        <f>J78</f>
        <v>0</v>
      </c>
      <c r="K68" s="722">
        <f>K76</f>
        <v>25</v>
      </c>
      <c r="L68" s="722">
        <f>SUM(L76,L78)</f>
        <v>45</v>
      </c>
      <c r="M68" s="1496">
        <f>SUM(M76,M78)</f>
        <v>65</v>
      </c>
      <c r="N68" s="2130">
        <f t="shared" si="1"/>
        <v>0.8</v>
      </c>
      <c r="O68" s="722">
        <v>65</v>
      </c>
      <c r="P68" s="1557">
        <f t="shared" ref="P68:R68" si="47">SUM(P76,P78)</f>
        <v>65</v>
      </c>
      <c r="Q68" s="722">
        <f>SUM(Q76,Q78)</f>
        <v>65</v>
      </c>
      <c r="R68" s="1557">
        <f t="shared" si="47"/>
        <v>65</v>
      </c>
      <c r="S68" s="3195" t="s">
        <v>2354</v>
      </c>
      <c r="T68" s="3027" t="s">
        <v>4263</v>
      </c>
      <c r="U68" s="3028" t="s">
        <v>1536</v>
      </c>
      <c r="V68" s="3028" t="s">
        <v>662</v>
      </c>
      <c r="W68" s="3028" t="s">
        <v>142</v>
      </c>
      <c r="X68" s="3028" t="s">
        <v>142</v>
      </c>
      <c r="Y68" s="3028" t="s">
        <v>142</v>
      </c>
      <c r="Z68" s="3028" t="s">
        <v>142</v>
      </c>
      <c r="AA68" s="2694" t="s">
        <v>142</v>
      </c>
      <c r="AB68" s="3028" t="s">
        <v>2355</v>
      </c>
    </row>
    <row r="69" spans="1:28" ht="29.4" customHeight="1">
      <c r="A69" s="3174"/>
      <c r="B69" s="3175"/>
      <c r="C69" s="3176"/>
      <c r="D69" s="1106" t="s">
        <v>1487</v>
      </c>
      <c r="E69" s="970">
        <v>12.627000000000001</v>
      </c>
      <c r="F69" s="973">
        <f t="shared" si="0"/>
        <v>0.42551674982181042</v>
      </c>
      <c r="G69" s="970">
        <v>16</v>
      </c>
      <c r="H69" s="974">
        <v>18</v>
      </c>
      <c r="I69" s="722"/>
      <c r="J69" s="657">
        <f>SUM(J73,J74,J80)</f>
        <v>11.038</v>
      </c>
      <c r="K69" s="722">
        <f>SUM(K73,K74,K80)</f>
        <v>11.038</v>
      </c>
      <c r="L69" s="722">
        <f>SUM(L73,L74,L80,L84)</f>
        <v>12.082000000000001</v>
      </c>
      <c r="M69" s="1557">
        <f>SUM(M73,M74,M80,M84)</f>
        <v>20.082000000000001</v>
      </c>
      <c r="N69" s="2130">
        <f t="shared" si="1"/>
        <v>9.4582351875339782E-2</v>
      </c>
      <c r="O69" s="722">
        <v>20</v>
      </c>
      <c r="P69" s="1557">
        <f t="shared" ref="P69:R69" si="48">SUM(P73,P74,P80,P84)</f>
        <v>20.112000000000002</v>
      </c>
      <c r="Q69" s="722">
        <v>20</v>
      </c>
      <c r="R69" s="1557">
        <f t="shared" si="48"/>
        <v>20.082000000000001</v>
      </c>
      <c r="S69" s="3195"/>
      <c r="T69" s="3192"/>
      <c r="U69" s="3028"/>
      <c r="V69" s="3028"/>
      <c r="W69" s="3028"/>
      <c r="X69" s="3028"/>
      <c r="Y69" s="3028"/>
      <c r="Z69" s="3028"/>
      <c r="AA69" s="2694"/>
      <c r="AB69" s="3028"/>
    </row>
    <row r="70" spans="1:28" ht="29.4" customHeight="1">
      <c r="A70" s="3174"/>
      <c r="B70" s="3175"/>
      <c r="C70" s="3176"/>
      <c r="D70" s="1106" t="s">
        <v>2855</v>
      </c>
      <c r="E70" s="970"/>
      <c r="F70" s="973"/>
      <c r="G70" s="970"/>
      <c r="H70" s="974"/>
      <c r="I70" s="722"/>
      <c r="J70" s="657">
        <f>SUM(J72,J75,J77,J81)</f>
        <v>17.112000000000002</v>
      </c>
      <c r="K70" s="722">
        <f t="shared" ref="K70:O70" si="49">SUM(K72,K75,K77,K81)</f>
        <v>17.112000000000002</v>
      </c>
      <c r="L70" s="722">
        <f t="shared" si="49"/>
        <v>3</v>
      </c>
      <c r="M70" s="1557">
        <f t="shared" ref="M70" si="50">SUM(M72,M75,M77,M81)</f>
        <v>0</v>
      </c>
      <c r="N70" s="2130">
        <f t="shared" si="1"/>
        <v>-0.82468443197755958</v>
      </c>
      <c r="O70" s="722">
        <f t="shared" si="49"/>
        <v>0</v>
      </c>
      <c r="P70" s="1557">
        <f t="shared" ref="P70:Q70" si="51">SUM(P72,P75,P77,P81)</f>
        <v>0</v>
      </c>
      <c r="Q70" s="722">
        <f t="shared" si="51"/>
        <v>0</v>
      </c>
      <c r="R70" s="1557">
        <f t="shared" ref="R70" si="52">SUM(R72,R75,R77,R81)</f>
        <v>0</v>
      </c>
      <c r="S70" s="3195"/>
      <c r="T70" s="3192"/>
      <c r="U70" s="3028"/>
      <c r="V70" s="3028"/>
      <c r="W70" s="3028"/>
      <c r="X70" s="3028"/>
      <c r="Y70" s="3028"/>
      <c r="Z70" s="3028"/>
      <c r="AA70" s="2694"/>
      <c r="AB70" s="3028"/>
    </row>
    <row r="71" spans="1:28" ht="29.4" customHeight="1">
      <c r="A71" s="3174"/>
      <c r="B71" s="3175"/>
      <c r="C71" s="3176"/>
      <c r="D71" s="1099" t="s">
        <v>1067</v>
      </c>
      <c r="E71" s="964">
        <f>SUM(E68:E69)</f>
        <v>12.627000000000001</v>
      </c>
      <c r="F71" s="965">
        <f t="shared" si="0"/>
        <v>2.4054011245743245</v>
      </c>
      <c r="G71" s="964">
        <f t="shared" ref="G71:H71" si="53">SUM(G68:G69)</f>
        <v>56</v>
      </c>
      <c r="H71" s="988">
        <f t="shared" si="53"/>
        <v>43</v>
      </c>
      <c r="I71" s="729">
        <f t="shared" ref="I71" si="54">J71/H71-1</f>
        <v>-0.34534883720930232</v>
      </c>
      <c r="J71" s="1056">
        <f>SUM(J68:J70)</f>
        <v>28.150000000000002</v>
      </c>
      <c r="K71" s="728">
        <f t="shared" ref="K71:O71" si="55">SUM(K68:K70)</f>
        <v>53.15</v>
      </c>
      <c r="L71" s="728">
        <f t="shared" si="55"/>
        <v>60.082000000000001</v>
      </c>
      <c r="M71" s="1558">
        <f t="shared" ref="M71" si="56">SUM(M68:M70)</f>
        <v>85.081999999999994</v>
      </c>
      <c r="N71" s="1243">
        <f t="shared" si="1"/>
        <v>0.13042333019755414</v>
      </c>
      <c r="O71" s="728">
        <f>SUM(O68:O70)</f>
        <v>85</v>
      </c>
      <c r="P71" s="1558">
        <f t="shared" ref="P71:Q71" si="57">SUM(P68:P70)</f>
        <v>85.111999999999995</v>
      </c>
      <c r="Q71" s="728">
        <f t="shared" si="57"/>
        <v>85</v>
      </c>
      <c r="R71" s="1558">
        <f t="shared" ref="R71" si="58">SUM(R68:R70)</f>
        <v>85.081999999999994</v>
      </c>
      <c r="S71" s="3195"/>
      <c r="T71" s="3192"/>
      <c r="U71" s="3028"/>
      <c r="V71" s="3028"/>
      <c r="W71" s="3028"/>
      <c r="X71" s="3028"/>
      <c r="Y71" s="3028"/>
      <c r="Z71" s="3028"/>
      <c r="AA71" s="2694"/>
      <c r="AB71" s="3028"/>
    </row>
    <row r="72" spans="1:28" ht="29.4" hidden="1" customHeight="1">
      <c r="A72" s="3220" t="s">
        <v>3087</v>
      </c>
      <c r="B72" s="2826" t="s">
        <v>3060</v>
      </c>
      <c r="C72" s="1115"/>
      <c r="D72" s="780" t="s">
        <v>2855</v>
      </c>
      <c r="E72" s="1011"/>
      <c r="F72" s="1012"/>
      <c r="G72" s="1011"/>
      <c r="H72" s="1104"/>
      <c r="I72" s="689"/>
      <c r="J72" s="734">
        <v>5</v>
      </c>
      <c r="K72" s="681">
        <v>5</v>
      </c>
      <c r="L72" s="681"/>
      <c r="M72" s="1559"/>
      <c r="N72" s="1112">
        <f t="shared" si="1"/>
        <v>-1</v>
      </c>
      <c r="O72" s="681"/>
      <c r="P72" s="1559"/>
      <c r="Q72" s="681"/>
      <c r="R72" s="1559"/>
      <c r="S72" s="1311"/>
      <c r="T72" s="665" t="s">
        <v>3064</v>
      </c>
      <c r="U72" s="1105"/>
      <c r="V72" s="1105"/>
      <c r="W72" s="1105"/>
      <c r="X72" s="1105"/>
      <c r="Y72" s="1105"/>
      <c r="Z72" s="1105"/>
      <c r="AA72" s="688"/>
      <c r="AB72" s="1105"/>
    </row>
    <row r="73" spans="1:28" ht="29.4" hidden="1" customHeight="1">
      <c r="A73" s="3221"/>
      <c r="B73" s="2826"/>
      <c r="C73" s="1115"/>
      <c r="D73" s="1116" t="s">
        <v>1487</v>
      </c>
      <c r="E73" s="1011"/>
      <c r="F73" s="1012"/>
      <c r="G73" s="1011"/>
      <c r="H73" s="1104"/>
      <c r="I73" s="689"/>
      <c r="J73" s="734">
        <v>5</v>
      </c>
      <c r="K73" s="681">
        <v>5</v>
      </c>
      <c r="L73" s="681">
        <v>4</v>
      </c>
      <c r="M73" s="1559">
        <v>5</v>
      </c>
      <c r="N73" s="1112">
        <f t="shared" si="1"/>
        <v>-0.2</v>
      </c>
      <c r="O73" s="681">
        <v>10</v>
      </c>
      <c r="P73" s="1559">
        <v>5</v>
      </c>
      <c r="Q73" s="681">
        <v>5</v>
      </c>
      <c r="R73" s="1559">
        <v>5</v>
      </c>
      <c r="S73" s="1311"/>
      <c r="T73" s="665"/>
      <c r="U73" s="1105"/>
      <c r="V73" s="1105"/>
      <c r="W73" s="1105"/>
      <c r="X73" s="1105"/>
      <c r="Y73" s="1105"/>
      <c r="Z73" s="1105"/>
      <c r="AA73" s="688"/>
      <c r="AB73" s="1105"/>
    </row>
    <row r="74" spans="1:28" ht="29.4" hidden="1" customHeight="1">
      <c r="A74" s="3221"/>
      <c r="B74" s="2826" t="s">
        <v>3061</v>
      </c>
      <c r="C74" s="1115"/>
      <c r="D74" s="1116" t="s">
        <v>1487</v>
      </c>
      <c r="E74" s="1011"/>
      <c r="F74" s="1012"/>
      <c r="G74" s="1011"/>
      <c r="H74" s="1104"/>
      <c r="I74" s="689"/>
      <c r="J74" s="734">
        <v>4</v>
      </c>
      <c r="K74" s="681">
        <v>4</v>
      </c>
      <c r="L74" s="681">
        <v>3</v>
      </c>
      <c r="M74" s="1559">
        <v>10</v>
      </c>
      <c r="N74" s="1112">
        <f t="shared" si="1"/>
        <v>-0.25</v>
      </c>
      <c r="O74" s="681">
        <v>10</v>
      </c>
      <c r="P74" s="1559">
        <v>10</v>
      </c>
      <c r="Q74" s="681">
        <v>10</v>
      </c>
      <c r="R74" s="1559">
        <v>10</v>
      </c>
      <c r="S74" s="1311"/>
      <c r="T74" s="665" t="s">
        <v>3065</v>
      </c>
      <c r="U74" s="1105"/>
      <c r="V74" s="1105"/>
      <c r="W74" s="1105"/>
      <c r="X74" s="1105"/>
      <c r="Y74" s="1105"/>
      <c r="Z74" s="1105"/>
      <c r="AA74" s="688"/>
      <c r="AB74" s="1105"/>
    </row>
    <row r="75" spans="1:28" ht="29.4" hidden="1" customHeight="1">
      <c r="A75" s="3222"/>
      <c r="B75" s="2826"/>
      <c r="C75" s="1115"/>
      <c r="D75" s="780" t="s">
        <v>2855</v>
      </c>
      <c r="E75" s="1011"/>
      <c r="F75" s="1012"/>
      <c r="G75" s="1011"/>
      <c r="H75" s="1104"/>
      <c r="I75" s="689"/>
      <c r="J75" s="734">
        <v>7</v>
      </c>
      <c r="K75" s="681">
        <v>7</v>
      </c>
      <c r="L75" s="681">
        <v>3</v>
      </c>
      <c r="M75" s="1559"/>
      <c r="N75" s="1112">
        <f t="shared" si="1"/>
        <v>-0.5714285714285714</v>
      </c>
      <c r="O75" s="681"/>
      <c r="P75" s="1559"/>
      <c r="Q75" s="681"/>
      <c r="R75" s="1559"/>
      <c r="S75" s="1311"/>
      <c r="T75" s="665"/>
      <c r="U75" s="1105"/>
      <c r="V75" s="1105"/>
      <c r="W75" s="1105"/>
      <c r="X75" s="1105"/>
      <c r="Y75" s="1105"/>
      <c r="Z75" s="1105"/>
      <c r="AA75" s="688"/>
      <c r="AB75" s="1105"/>
    </row>
    <row r="76" spans="1:28" ht="29.4" hidden="1" customHeight="1">
      <c r="A76" s="1850" t="s">
        <v>3398</v>
      </c>
      <c r="B76" s="1472" t="s">
        <v>3085</v>
      </c>
      <c r="C76" s="1851"/>
      <c r="D76" s="1740" t="s">
        <v>470</v>
      </c>
      <c r="E76" s="1498"/>
      <c r="F76" s="1524"/>
      <c r="G76" s="1498"/>
      <c r="H76" s="1470"/>
      <c r="I76" s="1470"/>
      <c r="J76" s="1470">
        <v>50</v>
      </c>
      <c r="K76" s="1470">
        <v>25</v>
      </c>
      <c r="L76" s="681">
        <v>40</v>
      </c>
      <c r="M76" s="1470">
        <v>60</v>
      </c>
      <c r="N76" s="1112">
        <f t="shared" si="1"/>
        <v>0.6</v>
      </c>
      <c r="O76" s="1470">
        <v>25</v>
      </c>
      <c r="P76" s="1470">
        <v>60</v>
      </c>
      <c r="Q76" s="681">
        <v>60</v>
      </c>
      <c r="R76" s="1470">
        <v>60</v>
      </c>
      <c r="S76" s="1441"/>
      <c r="T76" s="1852" t="s">
        <v>3086</v>
      </c>
      <c r="U76" s="1105"/>
      <c r="V76" s="1105"/>
      <c r="W76" s="1105"/>
      <c r="X76" s="1105"/>
      <c r="Y76" s="1105"/>
      <c r="Z76" s="1105"/>
      <c r="AA76" s="688"/>
      <c r="AB76" s="1105"/>
    </row>
    <row r="77" spans="1:28" ht="29.4" hidden="1" customHeight="1">
      <c r="A77" s="3220"/>
      <c r="B77" s="2826" t="s">
        <v>3062</v>
      </c>
      <c r="C77" s="1115"/>
      <c r="D77" s="1116" t="s">
        <v>3492</v>
      </c>
      <c r="E77" s="1011"/>
      <c r="F77" s="1012"/>
      <c r="G77" s="1011"/>
      <c r="H77" s="1104"/>
      <c r="I77" s="689"/>
      <c r="J77" s="734"/>
      <c r="K77" s="681"/>
      <c r="L77" s="681"/>
      <c r="M77" s="1559"/>
      <c r="N77" s="1112" t="e">
        <f t="shared" si="1"/>
        <v>#DIV/0!</v>
      </c>
      <c r="O77" s="681"/>
      <c r="P77" s="1559"/>
      <c r="Q77" s="681"/>
      <c r="R77" s="1559"/>
      <c r="S77" s="1311"/>
      <c r="T77" s="665" t="s">
        <v>3066</v>
      </c>
      <c r="U77" s="1105"/>
      <c r="V77" s="1105"/>
      <c r="W77" s="1105"/>
      <c r="X77" s="1105"/>
      <c r="Y77" s="1105"/>
      <c r="Z77" s="1105"/>
      <c r="AA77" s="688"/>
      <c r="AB77" s="1105"/>
    </row>
    <row r="78" spans="1:28" ht="29.4" hidden="1" customHeight="1">
      <c r="A78" s="3221"/>
      <c r="B78" s="2826"/>
      <c r="C78" s="1132"/>
      <c r="D78" s="1133" t="s">
        <v>470</v>
      </c>
      <c r="E78" s="757"/>
      <c r="F78" s="915"/>
      <c r="G78" s="757"/>
      <c r="H78" s="757"/>
      <c r="I78" s="689"/>
      <c r="J78" s="1117"/>
      <c r="K78" s="734"/>
      <c r="L78" s="681">
        <v>5</v>
      </c>
      <c r="M78" s="1559">
        <v>5</v>
      </c>
      <c r="N78" s="1112" t="e">
        <f t="shared" si="1"/>
        <v>#DIV/0!</v>
      </c>
      <c r="O78" s="734"/>
      <c r="P78" s="1559">
        <v>5</v>
      </c>
      <c r="Q78" s="681">
        <v>5</v>
      </c>
      <c r="R78" s="1559">
        <v>5</v>
      </c>
      <c r="S78" s="1384"/>
      <c r="T78" s="1113"/>
      <c r="U78" s="1008"/>
      <c r="V78" s="1008"/>
      <c r="W78" s="1008"/>
      <c r="X78" s="1008"/>
      <c r="Y78" s="1008"/>
      <c r="Z78" s="1008"/>
      <c r="AA78" s="688"/>
      <c r="AB78" s="1008"/>
    </row>
    <row r="79" spans="1:28" ht="29.4" hidden="1" customHeight="1">
      <c r="A79" s="3221"/>
      <c r="B79" s="2826"/>
      <c r="C79" s="1115"/>
      <c r="D79" s="1116" t="s">
        <v>1487</v>
      </c>
      <c r="E79" s="1011"/>
      <c r="F79" s="1012"/>
      <c r="G79" s="1011"/>
      <c r="H79" s="1104"/>
      <c r="I79" s="689"/>
      <c r="J79" s="734"/>
      <c r="K79" s="681"/>
      <c r="L79" s="681"/>
      <c r="M79" s="1559"/>
      <c r="N79" s="1112" t="e">
        <f t="shared" si="1"/>
        <v>#DIV/0!</v>
      </c>
      <c r="O79" s="681"/>
      <c r="P79" s="1559"/>
      <c r="Q79" s="681"/>
      <c r="R79" s="1559"/>
      <c r="S79" s="1311"/>
      <c r="T79" s="665"/>
      <c r="U79" s="1105"/>
      <c r="V79" s="1105"/>
      <c r="W79" s="1105"/>
      <c r="X79" s="1105"/>
      <c r="Y79" s="1105"/>
      <c r="Z79" s="1105"/>
      <c r="AA79" s="688"/>
      <c r="AB79" s="1105"/>
    </row>
    <row r="80" spans="1:28" ht="29.4" hidden="1" customHeight="1">
      <c r="A80" s="3222"/>
      <c r="B80" s="2826"/>
      <c r="C80" s="1115"/>
      <c r="D80" s="1116" t="s">
        <v>1487</v>
      </c>
      <c r="E80" s="1011"/>
      <c r="F80" s="1012"/>
      <c r="G80" s="1011"/>
      <c r="H80" s="1104"/>
      <c r="I80" s="689"/>
      <c r="J80" s="734">
        <v>2.0379999999999998</v>
      </c>
      <c r="K80" s="681">
        <v>2.0379999999999998</v>
      </c>
      <c r="L80" s="681"/>
      <c r="M80" s="1559"/>
      <c r="N80" s="1112">
        <f t="shared" si="1"/>
        <v>-1</v>
      </c>
      <c r="O80" s="681"/>
      <c r="P80" s="1559"/>
      <c r="Q80" s="681"/>
      <c r="R80" s="1559"/>
      <c r="S80" s="1311"/>
      <c r="T80" s="665"/>
      <c r="U80" s="1105"/>
      <c r="V80" s="1105"/>
      <c r="W80" s="1105"/>
      <c r="X80" s="1105"/>
      <c r="Y80" s="1105"/>
      <c r="Z80" s="1105"/>
      <c r="AA80" s="688"/>
      <c r="AB80" s="1105"/>
    </row>
    <row r="81" spans="1:28" ht="29.4" hidden="1" customHeight="1">
      <c r="A81" s="1440"/>
      <c r="B81" s="665" t="s">
        <v>3063</v>
      </c>
      <c r="C81" s="1115"/>
      <c r="D81" s="1116" t="s">
        <v>2855</v>
      </c>
      <c r="E81" s="1011"/>
      <c r="F81" s="1012"/>
      <c r="G81" s="1011"/>
      <c r="H81" s="1104"/>
      <c r="I81" s="689"/>
      <c r="J81" s="734">
        <v>5.1120000000000001</v>
      </c>
      <c r="K81" s="734">
        <v>5.1120000000000001</v>
      </c>
      <c r="L81" s="681"/>
      <c r="M81" s="1559"/>
      <c r="N81" s="1112">
        <f t="shared" ref="N81:N144" si="59">(L81-K81)/K81</f>
        <v>-1</v>
      </c>
      <c r="O81" s="681"/>
      <c r="P81" s="1559"/>
      <c r="Q81" s="681"/>
      <c r="R81" s="1559"/>
      <c r="S81" s="1311"/>
      <c r="T81" s="665" t="s">
        <v>3067</v>
      </c>
      <c r="U81" s="1105"/>
      <c r="V81" s="1105"/>
      <c r="W81" s="1105"/>
      <c r="X81" s="1105"/>
      <c r="Y81" s="1105"/>
      <c r="Z81" s="1105"/>
      <c r="AA81" s="688"/>
      <c r="AB81" s="1105"/>
    </row>
    <row r="82" spans="1:28" ht="29.4" hidden="1" customHeight="1">
      <c r="A82" s="3179" t="s">
        <v>402</v>
      </c>
      <c r="B82" s="1460" t="s">
        <v>1249</v>
      </c>
      <c r="C82" s="3177">
        <v>188711925</v>
      </c>
      <c r="D82" s="1116" t="s">
        <v>470</v>
      </c>
      <c r="E82" s="1011"/>
      <c r="F82" s="1012" t="e">
        <f t="shared" si="0"/>
        <v>#DIV/0!</v>
      </c>
      <c r="G82" s="1011"/>
      <c r="H82" s="1104"/>
      <c r="I82" s="689"/>
      <c r="J82" s="751"/>
      <c r="K82" s="1104"/>
      <c r="L82" s="974"/>
      <c r="M82" s="1557"/>
      <c r="N82" s="1112" t="e">
        <f t="shared" si="59"/>
        <v>#DIV/0!</v>
      </c>
      <c r="O82" s="974"/>
      <c r="P82" s="1557"/>
      <c r="Q82" s="722"/>
      <c r="R82" s="1557"/>
      <c r="S82" s="1329"/>
      <c r="T82" s="3027"/>
      <c r="U82" s="3199" t="s">
        <v>1537</v>
      </c>
      <c r="V82" s="3199"/>
      <c r="W82" s="3199"/>
      <c r="X82" s="3199"/>
      <c r="Y82" s="3199"/>
      <c r="Z82" s="1119"/>
      <c r="AA82" s="656"/>
      <c r="AB82" s="1118"/>
    </row>
    <row r="83" spans="1:28" ht="29.4" hidden="1" customHeight="1">
      <c r="A83" s="3179"/>
      <c r="B83" s="1460"/>
      <c r="C83" s="3177"/>
      <c r="D83" s="1103" t="s">
        <v>1067</v>
      </c>
      <c r="E83" s="1011">
        <f>E82</f>
        <v>0</v>
      </c>
      <c r="F83" s="1012" t="e">
        <f t="shared" si="0"/>
        <v>#DIV/0!</v>
      </c>
      <c r="G83" s="1011">
        <f t="shared" ref="G83:L83" si="60">G82</f>
        <v>0</v>
      </c>
      <c r="H83" s="1104">
        <f t="shared" si="60"/>
        <v>0</v>
      </c>
      <c r="I83" s="689"/>
      <c r="J83" s="751"/>
      <c r="K83" s="1104">
        <f t="shared" si="60"/>
        <v>0</v>
      </c>
      <c r="L83" s="988">
        <f t="shared" si="60"/>
        <v>0</v>
      </c>
      <c r="M83" s="1558"/>
      <c r="N83" s="1112" t="e">
        <f t="shared" si="59"/>
        <v>#DIV/0!</v>
      </c>
      <c r="O83" s="988"/>
      <c r="P83" s="1558"/>
      <c r="Q83" s="728"/>
      <c r="R83" s="1558"/>
      <c r="S83" s="1385"/>
      <c r="T83" s="3192"/>
      <c r="U83" s="3199"/>
      <c r="V83" s="3199"/>
      <c r="W83" s="3199"/>
      <c r="X83" s="3199"/>
      <c r="Y83" s="3199"/>
      <c r="Z83" s="1119"/>
      <c r="AA83" s="656"/>
      <c r="AB83" s="1118"/>
    </row>
    <row r="84" spans="1:28" ht="29.4" hidden="1" customHeight="1">
      <c r="A84" s="1101"/>
      <c r="B84" s="1460"/>
      <c r="C84" s="1115"/>
      <c r="D84" s="1103" t="s">
        <v>1487</v>
      </c>
      <c r="E84" s="1011"/>
      <c r="F84" s="1012"/>
      <c r="G84" s="1011"/>
      <c r="H84" s="1104"/>
      <c r="I84" s="689"/>
      <c r="J84" s="751"/>
      <c r="K84" s="1104"/>
      <c r="L84" s="681">
        <v>5.0819999999999999</v>
      </c>
      <c r="M84" s="1559">
        <v>5.0819999999999999</v>
      </c>
      <c r="N84" s="1112" t="e">
        <f t="shared" si="59"/>
        <v>#DIV/0!</v>
      </c>
      <c r="O84" s="681">
        <v>4.2</v>
      </c>
      <c r="P84" s="1559">
        <v>5.1120000000000001</v>
      </c>
      <c r="Q84" s="681">
        <v>5.0819999999999999</v>
      </c>
      <c r="R84" s="1559">
        <v>5.0819999999999999</v>
      </c>
      <c r="S84" s="1311"/>
      <c r="T84" s="1120"/>
      <c r="U84" s="1387"/>
      <c r="V84" s="1387"/>
      <c r="W84" s="1387"/>
      <c r="X84" s="1387"/>
      <c r="Y84" s="1387"/>
      <c r="Z84" s="1387"/>
      <c r="AA84" s="688"/>
      <c r="AB84" s="1105"/>
    </row>
    <row r="85" spans="1:28" ht="29.4" customHeight="1">
      <c r="A85" s="3174" t="s">
        <v>2052</v>
      </c>
      <c r="B85" s="3175" t="s">
        <v>1250</v>
      </c>
      <c r="C85" s="3176">
        <v>188711925</v>
      </c>
      <c r="D85" s="1106" t="s">
        <v>470</v>
      </c>
      <c r="E85" s="970"/>
      <c r="F85" s="973"/>
      <c r="G85" s="970">
        <v>1</v>
      </c>
      <c r="H85" s="974"/>
      <c r="I85" s="722"/>
      <c r="J85" s="657"/>
      <c r="K85" s="974"/>
      <c r="L85" s="974"/>
      <c r="M85" s="1557"/>
      <c r="N85" s="2130"/>
      <c r="O85" s="974"/>
      <c r="P85" s="1557"/>
      <c r="Q85" s="974"/>
      <c r="R85" s="1557"/>
      <c r="S85" s="3195" t="s">
        <v>2357</v>
      </c>
      <c r="T85" s="3027" t="s">
        <v>3752</v>
      </c>
      <c r="U85" s="3028" t="s">
        <v>1538</v>
      </c>
      <c r="V85" s="3028" t="s">
        <v>1680</v>
      </c>
      <c r="W85" s="3028" t="s">
        <v>1372</v>
      </c>
      <c r="X85" s="3028" t="s">
        <v>1372</v>
      </c>
      <c r="Y85" s="3028" t="s">
        <v>1372</v>
      </c>
      <c r="Z85" s="3028" t="s">
        <v>1372</v>
      </c>
      <c r="AA85" s="2694" t="s">
        <v>1372</v>
      </c>
      <c r="AB85" s="3028" t="s">
        <v>2358</v>
      </c>
    </row>
    <row r="86" spans="1:28" ht="29.4" customHeight="1">
      <c r="A86" s="3174"/>
      <c r="B86" s="3175"/>
      <c r="C86" s="3176"/>
      <c r="D86" s="1106" t="s">
        <v>1487</v>
      </c>
      <c r="E86" s="970">
        <v>2</v>
      </c>
      <c r="F86" s="973">
        <f t="shared" si="0"/>
        <v>0</v>
      </c>
      <c r="G86" s="970">
        <v>2</v>
      </c>
      <c r="H86" s="974">
        <v>2</v>
      </c>
      <c r="I86" s="722"/>
      <c r="J86" s="657">
        <f>SUM(J89,J91,J92)</f>
        <v>1.5</v>
      </c>
      <c r="K86" s="722">
        <f>SUM(K89,K91,K92)</f>
        <v>1.5</v>
      </c>
      <c r="L86" s="722">
        <f>SUM(L89,L91,L92)</f>
        <v>8.1999999999999993</v>
      </c>
      <c r="M86" s="1557">
        <v>10.199999999999999</v>
      </c>
      <c r="N86" s="2130">
        <f t="shared" si="59"/>
        <v>4.4666666666666659</v>
      </c>
      <c r="O86" s="722">
        <v>13.2</v>
      </c>
      <c r="P86" s="1557">
        <v>13.2</v>
      </c>
      <c r="Q86" s="722">
        <v>13.2</v>
      </c>
      <c r="R86" s="1557">
        <v>13.2</v>
      </c>
      <c r="S86" s="3195"/>
      <c r="T86" s="3027"/>
      <c r="U86" s="3028"/>
      <c r="V86" s="3028"/>
      <c r="W86" s="3028"/>
      <c r="X86" s="3028"/>
      <c r="Y86" s="3028"/>
      <c r="Z86" s="3028"/>
      <c r="AA86" s="2694"/>
      <c r="AB86" s="3028"/>
    </row>
    <row r="87" spans="1:28" ht="29.4" customHeight="1">
      <c r="A87" s="3174"/>
      <c r="B87" s="3175"/>
      <c r="C87" s="3176"/>
      <c r="D87" s="1106" t="s">
        <v>2855</v>
      </c>
      <c r="E87" s="970"/>
      <c r="F87" s="973"/>
      <c r="G87" s="970"/>
      <c r="H87" s="974"/>
      <c r="I87" s="722"/>
      <c r="J87" s="657">
        <f>SUM(J90)</f>
        <v>3</v>
      </c>
      <c r="K87" s="722">
        <f>SUM(K90,K93)</f>
        <v>10</v>
      </c>
      <c r="L87" s="722">
        <f t="shared" ref="L87:O87" si="61">SUM(L90,L93)</f>
        <v>0</v>
      </c>
      <c r="M87" s="1557">
        <f t="shared" ref="M87" si="62">SUM(M90,M93)</f>
        <v>0</v>
      </c>
      <c r="N87" s="2130">
        <f t="shared" si="59"/>
        <v>-1</v>
      </c>
      <c r="O87" s="722">
        <f t="shared" si="61"/>
        <v>0</v>
      </c>
      <c r="P87" s="1557">
        <f t="shared" ref="P87:Q87" si="63">SUM(P90,P93)</f>
        <v>0</v>
      </c>
      <c r="Q87" s="722">
        <f t="shared" si="63"/>
        <v>0</v>
      </c>
      <c r="R87" s="1557">
        <f t="shared" ref="R87" si="64">SUM(R90,R93)</f>
        <v>0</v>
      </c>
      <c r="S87" s="3195"/>
      <c r="T87" s="3027"/>
      <c r="U87" s="3028"/>
      <c r="V87" s="3028"/>
      <c r="W87" s="3028"/>
      <c r="X87" s="3028"/>
      <c r="Y87" s="3028"/>
      <c r="Z87" s="3028"/>
      <c r="AA87" s="2694"/>
      <c r="AB87" s="3028"/>
    </row>
    <row r="88" spans="1:28" ht="41.4" customHeight="1">
      <c r="A88" s="3174"/>
      <c r="B88" s="3175"/>
      <c r="C88" s="3176"/>
      <c r="D88" s="1099" t="s">
        <v>1067</v>
      </c>
      <c r="E88" s="964">
        <f>SUM(E85:E86,)</f>
        <v>2</v>
      </c>
      <c r="F88" s="965">
        <f t="shared" si="0"/>
        <v>0</v>
      </c>
      <c r="G88" s="964">
        <f t="shared" ref="G88:H88" si="65">SUM(G85:G86,)</f>
        <v>3</v>
      </c>
      <c r="H88" s="988">
        <f t="shared" si="65"/>
        <v>2</v>
      </c>
      <c r="I88" s="728"/>
      <c r="J88" s="1056">
        <f>SUM(J85:J86,J87)</f>
        <v>4.5</v>
      </c>
      <c r="K88" s="728">
        <f t="shared" ref="K88:O88" si="66">SUM(K85:K86,K87)</f>
        <v>11.5</v>
      </c>
      <c r="L88" s="728">
        <f t="shared" si="66"/>
        <v>8.1999999999999993</v>
      </c>
      <c r="M88" s="1464">
        <f t="shared" ref="M88" si="67">SUM(M85:M86,M87)</f>
        <v>10.199999999999999</v>
      </c>
      <c r="N88" s="1243">
        <f t="shared" si="59"/>
        <v>-0.2869565217391305</v>
      </c>
      <c r="O88" s="728">
        <f t="shared" si="66"/>
        <v>13.2</v>
      </c>
      <c r="P88" s="1464">
        <f t="shared" ref="P88:Q88" si="68">SUM(P85:P86,P87)</f>
        <v>13.2</v>
      </c>
      <c r="Q88" s="728">
        <f t="shared" si="68"/>
        <v>13.2</v>
      </c>
      <c r="R88" s="1464">
        <f t="shared" ref="R88" si="69">SUM(R85:R86,R87)</f>
        <v>13.2</v>
      </c>
      <c r="S88" s="3195"/>
      <c r="T88" s="3192"/>
      <c r="U88" s="3028"/>
      <c r="V88" s="3028"/>
      <c r="W88" s="3028"/>
      <c r="X88" s="3028"/>
      <c r="Y88" s="3028"/>
      <c r="Z88" s="3028"/>
      <c r="AA88" s="2694"/>
      <c r="AB88" s="3028"/>
    </row>
    <row r="89" spans="1:28" ht="29.4" hidden="1" customHeight="1">
      <c r="A89" s="1101"/>
      <c r="B89" s="2826" t="s">
        <v>3068</v>
      </c>
      <c r="C89" s="3177"/>
      <c r="D89" s="1116" t="s">
        <v>1487</v>
      </c>
      <c r="E89" s="1011"/>
      <c r="F89" s="1012"/>
      <c r="G89" s="1011"/>
      <c r="H89" s="1104"/>
      <c r="I89" s="681"/>
      <c r="J89" s="734">
        <v>1.3</v>
      </c>
      <c r="K89" s="681">
        <v>1.3</v>
      </c>
      <c r="L89" s="681">
        <v>3</v>
      </c>
      <c r="M89" s="1559"/>
      <c r="N89" s="1112">
        <f t="shared" si="59"/>
        <v>1.3076923076923077</v>
      </c>
      <c r="O89" s="681">
        <v>1.8</v>
      </c>
      <c r="P89" s="1559"/>
      <c r="Q89" s="681"/>
      <c r="R89" s="1559"/>
      <c r="S89" s="1311"/>
      <c r="T89" s="665" t="s">
        <v>3070</v>
      </c>
      <c r="U89" s="1105"/>
      <c r="V89" s="1105"/>
      <c r="W89" s="1105"/>
      <c r="X89" s="1105"/>
      <c r="Y89" s="1105"/>
      <c r="Z89" s="1105"/>
      <c r="AA89" s="688"/>
      <c r="AB89" s="1105"/>
    </row>
    <row r="90" spans="1:28" ht="29.4" hidden="1" customHeight="1">
      <c r="A90" s="1101"/>
      <c r="B90" s="2826"/>
      <c r="C90" s="3177"/>
      <c r="D90" s="1116" t="s">
        <v>2855</v>
      </c>
      <c r="E90" s="1011"/>
      <c r="F90" s="1012"/>
      <c r="G90" s="1011"/>
      <c r="H90" s="1104"/>
      <c r="I90" s="681"/>
      <c r="J90" s="734">
        <v>3</v>
      </c>
      <c r="K90" s="681">
        <v>3</v>
      </c>
      <c r="L90" s="681"/>
      <c r="M90" s="1559"/>
      <c r="N90" s="1112">
        <f t="shared" si="59"/>
        <v>-1</v>
      </c>
      <c r="O90" s="681"/>
      <c r="P90" s="1559"/>
      <c r="Q90" s="681"/>
      <c r="R90" s="1559"/>
      <c r="S90" s="1311"/>
      <c r="T90" s="665"/>
      <c r="U90" s="1105"/>
      <c r="V90" s="1105"/>
      <c r="W90" s="1105"/>
      <c r="X90" s="1105"/>
      <c r="Y90" s="1105"/>
      <c r="Z90" s="1105"/>
      <c r="AA90" s="688"/>
      <c r="AB90" s="1105"/>
    </row>
    <row r="91" spans="1:28" ht="29.4" hidden="1" customHeight="1">
      <c r="A91" s="1101"/>
      <c r="B91" s="665" t="s">
        <v>3491</v>
      </c>
      <c r="C91" s="3177"/>
      <c r="D91" s="1116" t="s">
        <v>1487</v>
      </c>
      <c r="E91" s="1011"/>
      <c r="F91" s="1012"/>
      <c r="G91" s="1011"/>
      <c r="H91" s="1104"/>
      <c r="I91" s="681"/>
      <c r="J91" s="734">
        <v>0.2</v>
      </c>
      <c r="K91" s="681">
        <v>0.2</v>
      </c>
      <c r="L91" s="681">
        <v>0.2</v>
      </c>
      <c r="M91" s="1559"/>
      <c r="N91" s="1112">
        <f t="shared" si="59"/>
        <v>0</v>
      </c>
      <c r="O91" s="681">
        <v>0.2</v>
      </c>
      <c r="P91" s="1559"/>
      <c r="Q91" s="681"/>
      <c r="R91" s="1559"/>
      <c r="S91" s="1311"/>
      <c r="T91" s="665" t="s">
        <v>3071</v>
      </c>
      <c r="U91" s="1105"/>
      <c r="V91" s="1105"/>
      <c r="W91" s="1105"/>
      <c r="X91" s="1105"/>
      <c r="Y91" s="1105"/>
      <c r="Z91" s="1105"/>
      <c r="AA91" s="688"/>
      <c r="AB91" s="1105"/>
    </row>
    <row r="92" spans="1:28" ht="29.4" hidden="1" customHeight="1">
      <c r="A92" s="1101"/>
      <c r="B92" s="2826" t="s">
        <v>3069</v>
      </c>
      <c r="C92" s="3177"/>
      <c r="D92" s="1116" t="s">
        <v>1487</v>
      </c>
      <c r="E92" s="1011"/>
      <c r="F92" s="1012"/>
      <c r="G92" s="1011"/>
      <c r="H92" s="1104"/>
      <c r="I92" s="681"/>
      <c r="J92" s="734">
        <v>0</v>
      </c>
      <c r="K92" s="681"/>
      <c r="L92" s="681">
        <v>5</v>
      </c>
      <c r="M92" s="1559"/>
      <c r="N92" s="1112" t="e">
        <f t="shared" si="59"/>
        <v>#DIV/0!</v>
      </c>
      <c r="O92" s="681">
        <v>7</v>
      </c>
      <c r="P92" s="1559"/>
      <c r="Q92" s="681"/>
      <c r="R92" s="1559"/>
      <c r="S92" s="1311"/>
      <c r="T92" s="1120"/>
      <c r="U92" s="1105"/>
      <c r="V92" s="1105"/>
      <c r="W92" s="1105"/>
      <c r="X92" s="1105"/>
      <c r="Y92" s="1105"/>
      <c r="Z92" s="1105"/>
      <c r="AA92" s="688"/>
      <c r="AB92" s="1105"/>
    </row>
    <row r="93" spans="1:28" ht="29.4" hidden="1" customHeight="1">
      <c r="A93" s="1101"/>
      <c r="B93" s="2826"/>
      <c r="C93" s="3177"/>
      <c r="D93" s="1116" t="s">
        <v>2855</v>
      </c>
      <c r="E93" s="1011"/>
      <c r="F93" s="1012"/>
      <c r="G93" s="1011"/>
      <c r="H93" s="1104"/>
      <c r="I93" s="681"/>
      <c r="J93" s="734"/>
      <c r="K93" s="681">
        <v>7</v>
      </c>
      <c r="L93" s="681"/>
      <c r="M93" s="1559"/>
      <c r="N93" s="1112">
        <f t="shared" si="59"/>
        <v>-1</v>
      </c>
      <c r="O93" s="681"/>
      <c r="P93" s="1559"/>
      <c r="Q93" s="681"/>
      <c r="R93" s="1559"/>
      <c r="S93" s="1311"/>
      <c r="T93" s="1120"/>
      <c r="U93" s="1105"/>
      <c r="V93" s="1105"/>
      <c r="W93" s="1105"/>
      <c r="X93" s="1105"/>
      <c r="Y93" s="1105"/>
      <c r="Z93" s="1105"/>
      <c r="AA93" s="688"/>
      <c r="AB93" s="1105"/>
    </row>
    <row r="94" spans="1:28" ht="29.4" customHeight="1">
      <c r="A94" s="3174" t="s">
        <v>2053</v>
      </c>
      <c r="B94" s="3175" t="s">
        <v>3753</v>
      </c>
      <c r="C94" s="3176">
        <v>188711925</v>
      </c>
      <c r="D94" s="1106" t="s">
        <v>470</v>
      </c>
      <c r="E94" s="970"/>
      <c r="F94" s="973"/>
      <c r="G94" s="970"/>
      <c r="H94" s="974"/>
      <c r="I94" s="722"/>
      <c r="J94" s="657"/>
      <c r="K94" s="974"/>
      <c r="L94" s="974"/>
      <c r="M94" s="1557"/>
      <c r="N94" s="2130" t="e">
        <f t="shared" si="59"/>
        <v>#DIV/0!</v>
      </c>
      <c r="O94" s="974"/>
      <c r="P94" s="1557"/>
      <c r="Q94" s="974"/>
      <c r="R94" s="1557"/>
      <c r="S94" s="3195" t="s">
        <v>2360</v>
      </c>
      <c r="T94" s="3027" t="s">
        <v>3754</v>
      </c>
      <c r="U94" s="3028" t="s">
        <v>1539</v>
      </c>
      <c r="V94" s="3028" t="s">
        <v>1542</v>
      </c>
      <c r="W94" s="3028" t="s">
        <v>324</v>
      </c>
      <c r="X94" s="3028" t="s">
        <v>324</v>
      </c>
      <c r="Y94" s="3028" t="s">
        <v>324</v>
      </c>
      <c r="Z94" s="3028" t="s">
        <v>324</v>
      </c>
      <c r="AA94" s="2694" t="s">
        <v>324</v>
      </c>
      <c r="AB94" s="3028" t="s">
        <v>2355</v>
      </c>
    </row>
    <row r="95" spans="1:28" ht="29.4" customHeight="1">
      <c r="A95" s="3174"/>
      <c r="B95" s="3175"/>
      <c r="C95" s="3176"/>
      <c r="D95" s="1106" t="s">
        <v>1487</v>
      </c>
      <c r="E95" s="970">
        <v>4.798</v>
      </c>
      <c r="F95" s="973">
        <f t="shared" si="0"/>
        <v>-0.4789495623176323</v>
      </c>
      <c r="G95" s="970">
        <v>4.5</v>
      </c>
      <c r="H95" s="974">
        <f>5.87-3.37</f>
        <v>2.5</v>
      </c>
      <c r="I95" s="722"/>
      <c r="J95" s="657">
        <v>2.5</v>
      </c>
      <c r="K95" s="974">
        <v>2.5</v>
      </c>
      <c r="L95" s="974">
        <v>2</v>
      </c>
      <c r="M95" s="1557">
        <v>2</v>
      </c>
      <c r="N95" s="2130">
        <f t="shared" si="59"/>
        <v>-0.2</v>
      </c>
      <c r="O95" s="974">
        <v>2</v>
      </c>
      <c r="P95" s="1557">
        <v>2</v>
      </c>
      <c r="Q95" s="974">
        <v>2</v>
      </c>
      <c r="R95" s="1557">
        <v>2</v>
      </c>
      <c r="S95" s="3195"/>
      <c r="T95" s="3192"/>
      <c r="U95" s="3028"/>
      <c r="V95" s="3028"/>
      <c r="W95" s="3028"/>
      <c r="X95" s="3028"/>
      <c r="Y95" s="3028"/>
      <c r="Z95" s="3028"/>
      <c r="AA95" s="2694"/>
      <c r="AB95" s="3028"/>
    </row>
    <row r="96" spans="1:28" ht="29.4" customHeight="1">
      <c r="A96" s="3174"/>
      <c r="B96" s="3175"/>
      <c r="C96" s="3176"/>
      <c r="D96" s="1106" t="s">
        <v>2855</v>
      </c>
      <c r="E96" s="970"/>
      <c r="F96" s="973"/>
      <c r="G96" s="970"/>
      <c r="H96" s="974">
        <v>3.37</v>
      </c>
      <c r="I96" s="722"/>
      <c r="J96" s="657">
        <v>3.548</v>
      </c>
      <c r="K96" s="974">
        <v>3.548</v>
      </c>
      <c r="L96" s="974">
        <v>3.3490000000000002</v>
      </c>
      <c r="M96" s="1557"/>
      <c r="N96" s="2130">
        <f t="shared" si="59"/>
        <v>-5.6087936865839863E-2</v>
      </c>
      <c r="O96" s="974"/>
      <c r="P96" s="1557"/>
      <c r="Q96" s="974"/>
      <c r="R96" s="1557"/>
      <c r="S96" s="3195"/>
      <c r="T96" s="3192"/>
      <c r="U96" s="3028"/>
      <c r="V96" s="3028"/>
      <c r="W96" s="3028"/>
      <c r="X96" s="3028"/>
      <c r="Y96" s="3028"/>
      <c r="Z96" s="3028"/>
      <c r="AA96" s="2694"/>
      <c r="AB96" s="3028"/>
    </row>
    <row r="97" spans="1:28" ht="63" customHeight="1">
      <c r="A97" s="3174"/>
      <c r="B97" s="3175"/>
      <c r="C97" s="3176"/>
      <c r="D97" s="1099" t="s">
        <v>1067</v>
      </c>
      <c r="E97" s="964">
        <f>SUM(E94:E95)</f>
        <v>4.798</v>
      </c>
      <c r="F97" s="965">
        <f t="shared" si="0"/>
        <v>0.2234264276781992</v>
      </c>
      <c r="G97" s="964">
        <f t="shared" ref="G97" si="70">SUM(G94:G95)</f>
        <v>4.5</v>
      </c>
      <c r="H97" s="988">
        <f>SUM(H94:H96)</f>
        <v>5.87</v>
      </c>
      <c r="I97" s="728"/>
      <c r="J97" s="1056">
        <f>SUM(J94:J96)</f>
        <v>6.048</v>
      </c>
      <c r="K97" s="728">
        <f t="shared" ref="K97:O97" si="71">SUM(K94:K96)</f>
        <v>6.048</v>
      </c>
      <c r="L97" s="728">
        <f t="shared" si="71"/>
        <v>5.3490000000000002</v>
      </c>
      <c r="M97" s="1558">
        <f t="shared" ref="M97" si="72">SUM(M94:M96)</f>
        <v>2</v>
      </c>
      <c r="N97" s="1243">
        <f t="shared" si="59"/>
        <v>-0.1155753968253968</v>
      </c>
      <c r="O97" s="728">
        <f t="shared" si="71"/>
        <v>2</v>
      </c>
      <c r="P97" s="1558">
        <f t="shared" ref="P97:Q97" si="73">SUM(P94:P96)</f>
        <v>2</v>
      </c>
      <c r="Q97" s="728">
        <f t="shared" si="73"/>
        <v>2</v>
      </c>
      <c r="R97" s="1558">
        <f t="shared" ref="R97" si="74">SUM(R94:R96)</f>
        <v>2</v>
      </c>
      <c r="S97" s="3195"/>
      <c r="T97" s="3192"/>
      <c r="U97" s="3028"/>
      <c r="V97" s="3028"/>
      <c r="W97" s="3028"/>
      <c r="X97" s="3028"/>
      <c r="Y97" s="3028"/>
      <c r="Z97" s="3028"/>
      <c r="AA97" s="2694"/>
      <c r="AB97" s="3028"/>
    </row>
    <row r="98" spans="1:28" ht="29.4" customHeight="1">
      <c r="A98" s="3174" t="s">
        <v>2054</v>
      </c>
      <c r="B98" s="3175" t="s">
        <v>1251</v>
      </c>
      <c r="C98" s="3176">
        <v>188711925</v>
      </c>
      <c r="D98" s="1106" t="s">
        <v>2747</v>
      </c>
      <c r="E98" s="970">
        <v>219.44300000000001</v>
      </c>
      <c r="F98" s="973">
        <f t="shared" si="0"/>
        <v>-0.48465888636228993</v>
      </c>
      <c r="G98" s="970">
        <v>219.44399999999999</v>
      </c>
      <c r="H98" s="974">
        <f>H101+H103</f>
        <v>113.08800000000001</v>
      </c>
      <c r="I98" s="722"/>
      <c r="J98" s="657"/>
      <c r="K98" s="974"/>
      <c r="L98" s="974"/>
      <c r="M98" s="1557"/>
      <c r="N98" s="2141" t="e">
        <f t="shared" si="59"/>
        <v>#DIV/0!</v>
      </c>
      <c r="O98" s="974"/>
      <c r="P98" s="1557"/>
      <c r="Q98" s="974"/>
      <c r="R98" s="1557"/>
      <c r="S98" s="3195" t="s">
        <v>2149</v>
      </c>
      <c r="T98" s="3027" t="s">
        <v>3072</v>
      </c>
      <c r="U98" s="3028" t="s">
        <v>1540</v>
      </c>
      <c r="V98" s="3028" t="s">
        <v>1543</v>
      </c>
      <c r="W98" s="3028" t="s">
        <v>432</v>
      </c>
      <c r="X98" s="3028" t="s">
        <v>433</v>
      </c>
      <c r="Y98" s="3028" t="s">
        <v>433</v>
      </c>
      <c r="Z98" s="3028" t="s">
        <v>433</v>
      </c>
      <c r="AA98" s="2694" t="s">
        <v>433</v>
      </c>
      <c r="AB98" s="3028" t="s">
        <v>2361</v>
      </c>
    </row>
    <row r="99" spans="1:28" ht="29.4" customHeight="1">
      <c r="A99" s="3174"/>
      <c r="B99" s="3175"/>
      <c r="C99" s="3176"/>
      <c r="D99" s="1106" t="s">
        <v>412</v>
      </c>
      <c r="E99" s="970">
        <v>164.13300000000001</v>
      </c>
      <c r="F99" s="973">
        <f t="shared" si="0"/>
        <v>-0.13869849451359573</v>
      </c>
      <c r="G99" s="970"/>
      <c r="H99" s="974">
        <f>SUM(H102,H104)</f>
        <v>141.36799999999999</v>
      </c>
      <c r="I99" s="722"/>
      <c r="J99" s="657"/>
      <c r="K99" s="974"/>
      <c r="L99" s="974"/>
      <c r="M99" s="1557"/>
      <c r="N99" s="2141" t="e">
        <f t="shared" si="59"/>
        <v>#DIV/0!</v>
      </c>
      <c r="O99" s="974"/>
      <c r="P99" s="1557"/>
      <c r="Q99" s="974"/>
      <c r="R99" s="1557"/>
      <c r="S99" s="3195"/>
      <c r="T99" s="3192"/>
      <c r="U99" s="3028"/>
      <c r="V99" s="3028"/>
      <c r="W99" s="3028"/>
      <c r="X99" s="3028"/>
      <c r="Y99" s="3028"/>
      <c r="Z99" s="3028"/>
      <c r="AA99" s="2694"/>
      <c r="AB99" s="3028"/>
    </row>
    <row r="100" spans="1:28" ht="29.4" customHeight="1">
      <c r="A100" s="3174"/>
      <c r="B100" s="3175"/>
      <c r="C100" s="3176"/>
      <c r="D100" s="1099" t="s">
        <v>1067</v>
      </c>
      <c r="E100" s="964">
        <f>SUM(E98:E99,)</f>
        <v>383.57600000000002</v>
      </c>
      <c r="F100" s="965">
        <f t="shared" si="0"/>
        <v>-0.33662168644545021</v>
      </c>
      <c r="G100" s="964">
        <f t="shared" ref="G100" si="75">G98</f>
        <v>219.44399999999999</v>
      </c>
      <c r="H100" s="988">
        <f>H98+H99</f>
        <v>254.45600000000002</v>
      </c>
      <c r="I100" s="728"/>
      <c r="J100" s="1056"/>
      <c r="K100" s="988"/>
      <c r="L100" s="988"/>
      <c r="M100" s="1558"/>
      <c r="N100" s="2141" t="e">
        <f t="shared" si="59"/>
        <v>#DIV/0!</v>
      </c>
      <c r="O100" s="988"/>
      <c r="P100" s="1558"/>
      <c r="Q100" s="988"/>
      <c r="R100" s="1558"/>
      <c r="S100" s="3195"/>
      <c r="T100" s="3192"/>
      <c r="U100" s="3028"/>
      <c r="V100" s="3028"/>
      <c r="W100" s="3028"/>
      <c r="X100" s="3028"/>
      <c r="Y100" s="3028"/>
      <c r="Z100" s="3028"/>
      <c r="AA100" s="2694"/>
      <c r="AB100" s="3028"/>
    </row>
    <row r="101" spans="1:28" ht="29.4" hidden="1" customHeight="1">
      <c r="A101" s="3180"/>
      <c r="B101" s="3026" t="s">
        <v>505</v>
      </c>
      <c r="C101" s="1121"/>
      <c r="D101" s="1029" t="s">
        <v>470</v>
      </c>
      <c r="E101" s="1122"/>
      <c r="F101" s="1123"/>
      <c r="G101" s="1030"/>
      <c r="H101" s="1033">
        <v>19.456</v>
      </c>
      <c r="I101" s="1033"/>
      <c r="J101" s="1122"/>
      <c r="K101" s="1031"/>
      <c r="L101" s="1031"/>
      <c r="M101" s="1568"/>
      <c r="N101" s="2141" t="e">
        <f t="shared" si="59"/>
        <v>#DIV/0!</v>
      </c>
      <c r="O101" s="1031"/>
      <c r="P101" s="1568"/>
      <c r="Q101" s="1031"/>
      <c r="R101" s="1568"/>
      <c r="S101" s="502"/>
      <c r="T101" s="1030" t="s">
        <v>3114</v>
      </c>
      <c r="U101" s="1027"/>
      <c r="V101" s="1027"/>
      <c r="W101" s="1124"/>
      <c r="X101" s="1124"/>
      <c r="Y101" s="1124"/>
      <c r="Z101" s="1124"/>
      <c r="AA101" s="1189"/>
      <c r="AB101" s="1124"/>
    </row>
    <row r="102" spans="1:28" ht="29.4" hidden="1" customHeight="1">
      <c r="A102" s="3180"/>
      <c r="B102" s="3026"/>
      <c r="C102" s="1121"/>
      <c r="D102" s="1029" t="s">
        <v>412</v>
      </c>
      <c r="E102" s="1122"/>
      <c r="F102" s="1123"/>
      <c r="G102" s="1030"/>
      <c r="H102" s="1033">
        <v>95.251000000000005</v>
      </c>
      <c r="I102" s="1033"/>
      <c r="J102" s="1122"/>
      <c r="K102" s="1031"/>
      <c r="L102" s="1031"/>
      <c r="M102" s="1568"/>
      <c r="N102" s="2141" t="e">
        <f t="shared" si="59"/>
        <v>#DIV/0!</v>
      </c>
      <c r="O102" s="1031"/>
      <c r="P102" s="1568"/>
      <c r="Q102" s="1031"/>
      <c r="R102" s="1568"/>
      <c r="S102" s="502"/>
      <c r="T102" s="1033"/>
      <c r="U102" s="1027"/>
      <c r="V102" s="1027"/>
      <c r="W102" s="1124"/>
      <c r="X102" s="1124"/>
      <c r="Y102" s="1124"/>
      <c r="Z102" s="1124"/>
      <c r="AA102" s="1189"/>
      <c r="AB102" s="1124"/>
    </row>
    <row r="103" spans="1:28" ht="29.4" hidden="1" customHeight="1">
      <c r="A103" s="3180"/>
      <c r="B103" s="3026" t="s">
        <v>2578</v>
      </c>
      <c r="C103" s="1121"/>
      <c r="D103" s="1029" t="s">
        <v>470</v>
      </c>
      <c r="E103" s="1122"/>
      <c r="F103" s="1123"/>
      <c r="G103" s="1030"/>
      <c r="H103" s="1033">
        <f>25.907+21.608+46.117</f>
        <v>93.632000000000005</v>
      </c>
      <c r="I103" s="1033"/>
      <c r="J103" s="1122"/>
      <c r="K103" s="1031"/>
      <c r="L103" s="1031"/>
      <c r="M103" s="1568"/>
      <c r="N103" s="2141" t="e">
        <f t="shared" si="59"/>
        <v>#DIV/0!</v>
      </c>
      <c r="O103" s="1031"/>
      <c r="P103" s="1568"/>
      <c r="Q103" s="1031"/>
      <c r="R103" s="1568"/>
      <c r="S103" s="502"/>
      <c r="T103" s="1029"/>
      <c r="U103" s="1027"/>
      <c r="V103" s="1027"/>
      <c r="W103" s="1124"/>
      <c r="X103" s="1124"/>
      <c r="Y103" s="1124"/>
      <c r="Z103" s="1124"/>
      <c r="AA103" s="1189"/>
      <c r="AB103" s="1124"/>
    </row>
    <row r="104" spans="1:28" ht="29.4" hidden="1" customHeight="1">
      <c r="A104" s="3180"/>
      <c r="B104" s="3026"/>
      <c r="C104" s="1121"/>
      <c r="D104" s="1029" t="s">
        <v>412</v>
      </c>
      <c r="E104" s="1122"/>
      <c r="F104" s="1123"/>
      <c r="G104" s="1030"/>
      <c r="H104" s="1033">
        <v>46.116999999999997</v>
      </c>
      <c r="I104" s="1033"/>
      <c r="J104" s="1122"/>
      <c r="K104" s="1031"/>
      <c r="L104" s="1031"/>
      <c r="M104" s="1568"/>
      <c r="N104" s="2141" t="e">
        <f t="shared" si="59"/>
        <v>#DIV/0!</v>
      </c>
      <c r="O104" s="1031"/>
      <c r="P104" s="1568"/>
      <c r="Q104" s="1031"/>
      <c r="R104" s="1568"/>
      <c r="S104" s="502"/>
      <c r="T104" s="1033"/>
      <c r="U104" s="1027"/>
      <c r="V104" s="1027"/>
      <c r="W104" s="1124"/>
      <c r="X104" s="1124"/>
      <c r="Y104" s="1124"/>
      <c r="Z104" s="1124"/>
      <c r="AA104" s="1189"/>
      <c r="AB104" s="1124"/>
    </row>
    <row r="105" spans="1:28" ht="29.4" customHeight="1">
      <c r="A105" s="3174" t="s">
        <v>2055</v>
      </c>
      <c r="B105" s="3175" t="s">
        <v>1252</v>
      </c>
      <c r="C105" s="3176">
        <v>188711925</v>
      </c>
      <c r="D105" s="1106" t="s">
        <v>470</v>
      </c>
      <c r="E105" s="970"/>
      <c r="F105" s="973"/>
      <c r="G105" s="970">
        <v>5</v>
      </c>
      <c r="H105" s="974">
        <v>5</v>
      </c>
      <c r="I105" s="722"/>
      <c r="J105" s="657">
        <v>5</v>
      </c>
      <c r="K105" s="722">
        <f>K112</f>
        <v>5</v>
      </c>
      <c r="L105" s="722"/>
      <c r="M105" s="1557">
        <f>M112</f>
        <v>4.093</v>
      </c>
      <c r="N105" s="2130">
        <f t="shared" si="59"/>
        <v>-1</v>
      </c>
      <c r="O105" s="722">
        <v>5</v>
      </c>
      <c r="P105" s="1557">
        <f>P112</f>
        <v>8</v>
      </c>
      <c r="Q105" s="722">
        <v>5</v>
      </c>
      <c r="R105" s="1557">
        <f>R112</f>
        <v>8</v>
      </c>
      <c r="S105" s="3195" t="s">
        <v>1031</v>
      </c>
      <c r="T105" s="3027" t="s">
        <v>4264</v>
      </c>
      <c r="U105" s="3028" t="s">
        <v>1541</v>
      </c>
      <c r="V105" s="3028" t="s">
        <v>1680</v>
      </c>
      <c r="W105" s="3028" t="s">
        <v>432</v>
      </c>
      <c r="X105" s="3028" t="s">
        <v>432</v>
      </c>
      <c r="Y105" s="3028" t="s">
        <v>432</v>
      </c>
      <c r="Z105" s="3028" t="s">
        <v>432</v>
      </c>
      <c r="AA105" s="2694" t="s">
        <v>432</v>
      </c>
      <c r="AB105" s="3028" t="s">
        <v>1032</v>
      </c>
    </row>
    <row r="106" spans="1:28" ht="29.4" customHeight="1">
      <c r="A106" s="3174"/>
      <c r="B106" s="3175"/>
      <c r="C106" s="3176"/>
      <c r="D106" s="1106" t="s">
        <v>1487</v>
      </c>
      <c r="E106" s="970">
        <v>5</v>
      </c>
      <c r="F106" s="973">
        <f t="shared" si="0"/>
        <v>-0.24</v>
      </c>
      <c r="G106" s="970">
        <v>3.8</v>
      </c>
      <c r="H106" s="974">
        <v>3.8</v>
      </c>
      <c r="I106" s="722"/>
      <c r="J106" s="657"/>
      <c r="K106" s="974">
        <v>0</v>
      </c>
      <c r="L106" s="974">
        <f>SUM(L110,L112)</f>
        <v>8.0919999999999987</v>
      </c>
      <c r="M106" s="1557">
        <v>12</v>
      </c>
      <c r="N106" s="2130"/>
      <c r="O106" s="974">
        <v>15</v>
      </c>
      <c r="P106" s="1557">
        <v>15</v>
      </c>
      <c r="Q106" s="974">
        <v>15</v>
      </c>
      <c r="R106" s="1557">
        <v>15</v>
      </c>
      <c r="S106" s="3195"/>
      <c r="T106" s="3192"/>
      <c r="U106" s="3028"/>
      <c r="V106" s="3028"/>
      <c r="W106" s="3028"/>
      <c r="X106" s="3028"/>
      <c r="Y106" s="3028"/>
      <c r="Z106" s="3028"/>
      <c r="AA106" s="2694"/>
      <c r="AB106" s="3028"/>
    </row>
    <row r="107" spans="1:28" ht="29.4" customHeight="1">
      <c r="A107" s="3174"/>
      <c r="B107" s="3175"/>
      <c r="C107" s="3176"/>
      <c r="D107" s="1106" t="s">
        <v>2855</v>
      </c>
      <c r="E107" s="970"/>
      <c r="F107" s="973"/>
      <c r="G107" s="970"/>
      <c r="H107" s="974"/>
      <c r="I107" s="722"/>
      <c r="J107" s="657">
        <v>7.76</v>
      </c>
      <c r="K107" s="974">
        <f>K111</f>
        <v>7.76</v>
      </c>
      <c r="L107" s="974">
        <f>SUM(L111)</f>
        <v>6</v>
      </c>
      <c r="M107" s="1557">
        <f>M111</f>
        <v>12</v>
      </c>
      <c r="N107" s="2130">
        <f t="shared" si="59"/>
        <v>-0.22680412371134018</v>
      </c>
      <c r="O107" s="974"/>
      <c r="P107" s="1557"/>
      <c r="Q107" s="974"/>
      <c r="R107" s="1557"/>
      <c r="S107" s="3195"/>
      <c r="T107" s="3192"/>
      <c r="U107" s="3028"/>
      <c r="V107" s="3028"/>
      <c r="W107" s="3028"/>
      <c r="X107" s="3028"/>
      <c r="Y107" s="3028"/>
      <c r="Z107" s="3028"/>
      <c r="AA107" s="2694"/>
      <c r="AB107" s="3028"/>
    </row>
    <row r="108" spans="1:28" ht="29.4" customHeight="1">
      <c r="A108" s="3174"/>
      <c r="B108" s="3175"/>
      <c r="C108" s="3176"/>
      <c r="D108" s="1106" t="s">
        <v>2747</v>
      </c>
      <c r="E108" s="970"/>
      <c r="F108" s="973"/>
      <c r="G108" s="970"/>
      <c r="H108" s="974"/>
      <c r="I108" s="722"/>
      <c r="J108" s="657">
        <v>4</v>
      </c>
      <c r="K108" s="722">
        <v>0</v>
      </c>
      <c r="L108" s="722"/>
      <c r="M108" s="1557">
        <v>0</v>
      </c>
      <c r="N108" s="2130"/>
      <c r="O108" s="722"/>
      <c r="P108" s="1557"/>
      <c r="Q108" s="722"/>
      <c r="R108" s="1557"/>
      <c r="S108" s="3195"/>
      <c r="T108" s="3192"/>
      <c r="U108" s="3028"/>
      <c r="V108" s="3028"/>
      <c r="W108" s="3028"/>
      <c r="X108" s="3028"/>
      <c r="Y108" s="3028"/>
      <c r="Z108" s="3028"/>
      <c r="AA108" s="2694"/>
      <c r="AB108" s="3028"/>
    </row>
    <row r="109" spans="1:28" ht="29.4" customHeight="1">
      <c r="A109" s="3174"/>
      <c r="B109" s="3175"/>
      <c r="C109" s="3176"/>
      <c r="D109" s="1099" t="s">
        <v>1067</v>
      </c>
      <c r="E109" s="964">
        <f>SUM(E105:E106,)</f>
        <v>5</v>
      </c>
      <c r="F109" s="965">
        <f t="shared" si="0"/>
        <v>0.76000000000000023</v>
      </c>
      <c r="G109" s="964">
        <f t="shared" ref="G109:H109" si="76">SUM(G105:G106,)</f>
        <v>8.8000000000000007</v>
      </c>
      <c r="H109" s="988">
        <f t="shared" si="76"/>
        <v>8.8000000000000007</v>
      </c>
      <c r="I109" s="728"/>
      <c r="J109" s="1056">
        <f>SUM(J105:J108,)</f>
        <v>16.759999999999998</v>
      </c>
      <c r="K109" s="728">
        <f>SUM(K105:K108,)</f>
        <v>12.76</v>
      </c>
      <c r="L109" s="728">
        <f>SUM(L105:L108,)</f>
        <v>14.091999999999999</v>
      </c>
      <c r="M109" s="1558">
        <f t="shared" ref="M109" si="77">SUM(M105:M108,)</f>
        <v>28.093</v>
      </c>
      <c r="N109" s="1243">
        <f t="shared" si="59"/>
        <v>0.10438871473354223</v>
      </c>
      <c r="O109" s="728">
        <f t="shared" ref="O109" si="78">SUM(O105:O108,)</f>
        <v>20</v>
      </c>
      <c r="P109" s="1558">
        <f t="shared" ref="P109:Q109" si="79">SUM(P105:P108,)</f>
        <v>23</v>
      </c>
      <c r="Q109" s="728">
        <f t="shared" si="79"/>
        <v>20</v>
      </c>
      <c r="R109" s="1558">
        <f t="shared" ref="R109" si="80">SUM(R105:R108,)</f>
        <v>23</v>
      </c>
      <c r="S109" s="3195"/>
      <c r="T109" s="3192"/>
      <c r="U109" s="3028"/>
      <c r="V109" s="3028"/>
      <c r="W109" s="3028"/>
      <c r="X109" s="3028"/>
      <c r="Y109" s="3028"/>
      <c r="Z109" s="3028"/>
      <c r="AA109" s="2694"/>
      <c r="AB109" s="3028"/>
    </row>
    <row r="110" spans="1:28" ht="29.4" hidden="1" customHeight="1">
      <c r="A110" s="1101"/>
      <c r="B110" s="3172" t="s">
        <v>3073</v>
      </c>
      <c r="C110" s="1115"/>
      <c r="D110" s="687" t="s">
        <v>1487</v>
      </c>
      <c r="E110" s="1011"/>
      <c r="F110" s="1012"/>
      <c r="G110" s="1011"/>
      <c r="H110" s="1104"/>
      <c r="I110" s="689"/>
      <c r="J110" s="751"/>
      <c r="K110" s="689"/>
      <c r="L110" s="686">
        <v>4</v>
      </c>
      <c r="M110" s="1562"/>
      <c r="N110" s="1112"/>
      <c r="O110" s="689"/>
      <c r="P110" s="1562"/>
      <c r="Q110" s="689"/>
      <c r="R110" s="1562"/>
      <c r="S110" s="1311"/>
      <c r="T110" s="1120"/>
      <c r="U110" s="1105"/>
      <c r="V110" s="1105"/>
      <c r="W110" s="1105"/>
      <c r="X110" s="1105"/>
      <c r="Y110" s="1105"/>
      <c r="Z110" s="1105"/>
      <c r="AA110" s="688"/>
      <c r="AB110" s="1105"/>
    </row>
    <row r="111" spans="1:28" ht="29.4" hidden="1" customHeight="1">
      <c r="A111" s="1101"/>
      <c r="B111" s="3173"/>
      <c r="C111" s="1115"/>
      <c r="D111" s="1116" t="s">
        <v>2855</v>
      </c>
      <c r="E111" s="1011"/>
      <c r="F111" s="1012"/>
      <c r="G111" s="1011"/>
      <c r="H111" s="1104"/>
      <c r="I111" s="689"/>
      <c r="J111" s="734">
        <v>4</v>
      </c>
      <c r="K111" s="681">
        <v>7.76</v>
      </c>
      <c r="L111" s="681">
        <v>6</v>
      </c>
      <c r="M111" s="1559">
        <v>12</v>
      </c>
      <c r="N111" s="1112">
        <f t="shared" si="59"/>
        <v>-0.22680412371134018</v>
      </c>
      <c r="O111" s="681">
        <v>4</v>
      </c>
      <c r="P111" s="1559">
        <v>15</v>
      </c>
      <c r="Q111" s="681"/>
      <c r="R111" s="1559">
        <v>15</v>
      </c>
      <c r="S111" s="1311"/>
      <c r="T111" s="665" t="s">
        <v>3075</v>
      </c>
      <c r="U111" s="1105"/>
      <c r="V111" s="1105"/>
      <c r="W111" s="1105"/>
      <c r="X111" s="1105"/>
      <c r="Y111" s="1105"/>
      <c r="Z111" s="1105"/>
      <c r="AA111" s="688"/>
      <c r="AB111" s="1105"/>
    </row>
    <row r="112" spans="1:28" ht="29.4" hidden="1" customHeight="1">
      <c r="A112" s="1101"/>
      <c r="B112" s="665" t="s">
        <v>3074</v>
      </c>
      <c r="C112" s="1115"/>
      <c r="D112" s="1116" t="s">
        <v>1487</v>
      </c>
      <c r="E112" s="1011"/>
      <c r="F112" s="1012"/>
      <c r="G112" s="1011"/>
      <c r="H112" s="1104"/>
      <c r="I112" s="689"/>
      <c r="J112" s="734">
        <v>5</v>
      </c>
      <c r="K112" s="681">
        <v>5</v>
      </c>
      <c r="L112" s="681">
        <v>4.0919999999999996</v>
      </c>
      <c r="M112" s="1559">
        <v>4.093</v>
      </c>
      <c r="N112" s="1112">
        <f t="shared" si="59"/>
        <v>-0.18160000000000007</v>
      </c>
      <c r="O112" s="681">
        <v>5</v>
      </c>
      <c r="P112" s="1559">
        <v>8</v>
      </c>
      <c r="Q112" s="681"/>
      <c r="R112" s="1559">
        <v>8</v>
      </c>
      <c r="S112" s="1311"/>
      <c r="T112" s="665" t="s">
        <v>3076</v>
      </c>
      <c r="U112" s="1105"/>
      <c r="V112" s="1105"/>
      <c r="W112" s="1105"/>
      <c r="X112" s="1105"/>
      <c r="Y112" s="1105"/>
      <c r="Z112" s="1105"/>
      <c r="AA112" s="688"/>
      <c r="AB112" s="1105"/>
    </row>
    <row r="113" spans="1:29" ht="29.4" customHeight="1">
      <c r="A113" s="3174" t="s">
        <v>2056</v>
      </c>
      <c r="B113" s="3175" t="s">
        <v>2770</v>
      </c>
      <c r="C113" s="3176">
        <v>188711925</v>
      </c>
      <c r="D113" s="1106" t="s">
        <v>470</v>
      </c>
      <c r="E113" s="970"/>
      <c r="F113" s="973"/>
      <c r="G113" s="970"/>
      <c r="H113" s="974"/>
      <c r="I113" s="722"/>
      <c r="J113" s="657">
        <v>10.602</v>
      </c>
      <c r="K113" s="722"/>
      <c r="L113" s="974"/>
      <c r="M113" s="1557">
        <f>4.6+6</f>
        <v>10.6</v>
      </c>
      <c r="N113" s="2130"/>
      <c r="O113" s="974">
        <v>4.5999999999999996</v>
      </c>
      <c r="P113" s="1991">
        <v>4.5999999999999996</v>
      </c>
      <c r="Q113" s="974">
        <v>4.5999999999999996</v>
      </c>
      <c r="R113" s="1991">
        <v>4.5999999999999996</v>
      </c>
      <c r="S113" s="3195" t="s">
        <v>2363</v>
      </c>
      <c r="T113" s="3218" t="s">
        <v>4265</v>
      </c>
      <c r="U113" s="3225" t="s">
        <v>1544</v>
      </c>
      <c r="V113" s="3225" t="s">
        <v>1441</v>
      </c>
      <c r="W113" s="3225" t="s">
        <v>433</v>
      </c>
      <c r="X113" s="3225" t="s">
        <v>433</v>
      </c>
      <c r="Y113" s="3225" t="s">
        <v>324</v>
      </c>
      <c r="Z113" s="3028" t="s">
        <v>433</v>
      </c>
      <c r="AA113" s="2694" t="s">
        <v>433</v>
      </c>
      <c r="AB113" s="3028" t="s">
        <v>2362</v>
      </c>
    </row>
    <row r="114" spans="1:29" ht="29.4" customHeight="1">
      <c r="A114" s="3174"/>
      <c r="B114" s="3175"/>
      <c r="C114" s="3176"/>
      <c r="D114" s="1106" t="s">
        <v>2747</v>
      </c>
      <c r="E114" s="970"/>
      <c r="F114" s="973"/>
      <c r="G114" s="970"/>
      <c r="H114" s="974"/>
      <c r="I114" s="722"/>
      <c r="J114" s="657"/>
      <c r="K114" s="722">
        <v>10.602</v>
      </c>
      <c r="L114" s="974">
        <v>10.6</v>
      </c>
      <c r="M114" s="1557"/>
      <c r="N114" s="2130">
        <f t="shared" si="59"/>
        <v>-1.8864365214116844E-4</v>
      </c>
      <c r="O114" s="974"/>
      <c r="P114" s="1557"/>
      <c r="Q114" s="974"/>
      <c r="R114" s="1557"/>
      <c r="S114" s="3195"/>
      <c r="T114" s="3218"/>
      <c r="U114" s="3225"/>
      <c r="V114" s="3225"/>
      <c r="W114" s="3225"/>
      <c r="X114" s="3225"/>
      <c r="Y114" s="3225"/>
      <c r="Z114" s="3028"/>
      <c r="AA114" s="2694"/>
      <c r="AB114" s="3028"/>
    </row>
    <row r="115" spans="1:29" ht="29.4" customHeight="1">
      <c r="A115" s="3174"/>
      <c r="B115" s="3175"/>
      <c r="C115" s="3176"/>
      <c r="D115" s="1106" t="s">
        <v>246</v>
      </c>
      <c r="E115" s="970"/>
      <c r="F115" s="973"/>
      <c r="G115" s="970"/>
      <c r="H115" s="974"/>
      <c r="I115" s="722"/>
      <c r="J115" s="657">
        <v>60.076999999999998</v>
      </c>
      <c r="K115" s="722">
        <v>60.076999999999998</v>
      </c>
      <c r="L115" s="974">
        <v>0</v>
      </c>
      <c r="M115" s="1557">
        <v>0</v>
      </c>
      <c r="N115" s="2130">
        <f t="shared" si="59"/>
        <v>-1</v>
      </c>
      <c r="O115" s="974"/>
      <c r="P115" s="1557"/>
      <c r="Q115" s="974"/>
      <c r="R115" s="1557"/>
      <c r="S115" s="3195"/>
      <c r="T115" s="3218"/>
      <c r="U115" s="3225"/>
      <c r="V115" s="3225"/>
      <c r="W115" s="3225"/>
      <c r="X115" s="3225"/>
      <c r="Y115" s="3225"/>
      <c r="Z115" s="3028"/>
      <c r="AA115" s="2694"/>
      <c r="AB115" s="3028"/>
    </row>
    <row r="116" spans="1:29" ht="29.4" customHeight="1">
      <c r="A116" s="3174"/>
      <c r="B116" s="3175"/>
      <c r="C116" s="3176"/>
      <c r="D116" s="1099" t="s">
        <v>1067</v>
      </c>
      <c r="E116" s="964">
        <f>SUM(E113:E115,)</f>
        <v>0</v>
      </c>
      <c r="F116" s="965"/>
      <c r="G116" s="964">
        <f>SUM(G113:G115,)</f>
        <v>0</v>
      </c>
      <c r="H116" s="988">
        <f>SUM(H113:H115,)</f>
        <v>0</v>
      </c>
      <c r="I116" s="728"/>
      <c r="J116" s="1056">
        <f>SUM(J113:J115,)</f>
        <v>70.679000000000002</v>
      </c>
      <c r="K116" s="728">
        <f>SUM(K113:K115,)</f>
        <v>70.679000000000002</v>
      </c>
      <c r="L116" s="728">
        <f>SUM(L113:L115,)</f>
        <v>10.6</v>
      </c>
      <c r="M116" s="1558">
        <f>SUM(M113:M115,)</f>
        <v>10.6</v>
      </c>
      <c r="N116" s="1243">
        <f t="shared" si="59"/>
        <v>-0.8500261746770611</v>
      </c>
      <c r="O116" s="728">
        <f>SUM(O113,O114,O115)</f>
        <v>4.5999999999999996</v>
      </c>
      <c r="P116" s="1992">
        <f t="shared" ref="P116:R116" si="81">SUM(P113,P114,P115)</f>
        <v>4.5999999999999996</v>
      </c>
      <c r="Q116" s="728">
        <f t="shared" si="81"/>
        <v>4.5999999999999996</v>
      </c>
      <c r="R116" s="1992">
        <f t="shared" si="81"/>
        <v>4.5999999999999996</v>
      </c>
      <c r="S116" s="3195"/>
      <c r="T116" s="3219"/>
      <c r="U116" s="3225"/>
      <c r="V116" s="3225"/>
      <c r="W116" s="3225"/>
      <c r="X116" s="3225"/>
      <c r="Y116" s="3225"/>
      <c r="Z116" s="3028"/>
      <c r="AA116" s="2694"/>
      <c r="AB116" s="3028"/>
    </row>
    <row r="117" spans="1:29" ht="29.4" customHeight="1">
      <c r="A117" s="3174" t="s">
        <v>4384</v>
      </c>
      <c r="B117" s="3175" t="s">
        <v>2771</v>
      </c>
      <c r="C117" s="3186">
        <v>300083878</v>
      </c>
      <c r="D117" s="1106" t="s">
        <v>2747</v>
      </c>
      <c r="E117" s="970"/>
      <c r="F117" s="973"/>
      <c r="G117" s="970"/>
      <c r="H117" s="974">
        <v>115.432</v>
      </c>
      <c r="I117" s="722"/>
      <c r="J117" s="657"/>
      <c r="K117" s="722">
        <v>53.085000000000001</v>
      </c>
      <c r="L117" s="974"/>
      <c r="M117" s="1557"/>
      <c r="N117" s="2130">
        <f t="shared" si="59"/>
        <v>-1</v>
      </c>
      <c r="O117" s="974"/>
      <c r="P117" s="1557"/>
      <c r="Q117" s="974"/>
      <c r="R117" s="1557"/>
      <c r="S117" s="3195" t="s">
        <v>2364</v>
      </c>
      <c r="T117" s="3027" t="s">
        <v>4139</v>
      </c>
      <c r="U117" s="3028" t="s">
        <v>1743</v>
      </c>
      <c r="V117" s="3028" t="s">
        <v>2773</v>
      </c>
      <c r="W117" s="971" t="s">
        <v>433</v>
      </c>
      <c r="X117" s="3028" t="s">
        <v>433</v>
      </c>
      <c r="Y117" s="3028" t="s">
        <v>433</v>
      </c>
      <c r="Z117" s="3028" t="s">
        <v>4113</v>
      </c>
      <c r="AA117" s="2694"/>
      <c r="AB117" s="3028" t="s">
        <v>2353</v>
      </c>
    </row>
    <row r="118" spans="1:29" ht="29.4" customHeight="1">
      <c r="A118" s="3174"/>
      <c r="B118" s="3175"/>
      <c r="C118" s="3186"/>
      <c r="D118" s="1106" t="s">
        <v>470</v>
      </c>
      <c r="E118" s="970"/>
      <c r="F118" s="973"/>
      <c r="G118" s="970"/>
      <c r="H118" s="974"/>
      <c r="I118" s="722"/>
      <c r="J118" s="657">
        <v>53.084000000000003</v>
      </c>
      <c r="K118" s="974"/>
      <c r="L118" s="974"/>
      <c r="M118" s="1557"/>
      <c r="N118" s="2130"/>
      <c r="O118" s="974"/>
      <c r="P118" s="1557"/>
      <c r="Q118" s="974"/>
      <c r="R118" s="1557"/>
      <c r="S118" s="3195"/>
      <c r="T118" s="3027"/>
      <c r="U118" s="3028"/>
      <c r="V118" s="3028"/>
      <c r="W118" s="971"/>
      <c r="X118" s="3028"/>
      <c r="Y118" s="3028"/>
      <c r="Z118" s="3028"/>
      <c r="AA118" s="2694"/>
      <c r="AB118" s="3028"/>
    </row>
    <row r="119" spans="1:29" ht="29.4" customHeight="1">
      <c r="A119" s="3174"/>
      <c r="B119" s="3175"/>
      <c r="C119" s="3186"/>
      <c r="D119" s="1106" t="s">
        <v>246</v>
      </c>
      <c r="E119" s="970"/>
      <c r="F119" s="973"/>
      <c r="G119" s="970"/>
      <c r="H119" s="974"/>
      <c r="I119" s="722"/>
      <c r="J119" s="657">
        <v>300.80799999999999</v>
      </c>
      <c r="K119" s="974">
        <v>300.80799999999999</v>
      </c>
      <c r="L119" s="974">
        <v>530.83699999999999</v>
      </c>
      <c r="M119" s="1557">
        <v>530.83699999999999</v>
      </c>
      <c r="N119" s="2130">
        <f t="shared" si="59"/>
        <v>0.76470373128374247</v>
      </c>
      <c r="O119" s="974">
        <v>884.72699999999998</v>
      </c>
      <c r="P119" s="1557">
        <v>884.72699999999998</v>
      </c>
      <c r="Q119" s="974">
        <v>353.89100000000002</v>
      </c>
      <c r="R119" s="1557">
        <v>353.89100000000002</v>
      </c>
      <c r="S119" s="3195"/>
      <c r="T119" s="3027"/>
      <c r="U119" s="3028"/>
      <c r="V119" s="3170" t="s">
        <v>1741</v>
      </c>
      <c r="W119" s="971" t="s">
        <v>433</v>
      </c>
      <c r="X119" s="971" t="s">
        <v>433</v>
      </c>
      <c r="Y119" s="3170" t="s">
        <v>433</v>
      </c>
      <c r="Z119" s="3170">
        <v>451.01</v>
      </c>
      <c r="AA119" s="3071"/>
      <c r="AB119" s="3028"/>
      <c r="AC119" s="381" t="s">
        <v>2592</v>
      </c>
    </row>
    <row r="120" spans="1:29" ht="29.4" customHeight="1">
      <c r="A120" s="3174"/>
      <c r="B120" s="3175"/>
      <c r="C120" s="3186"/>
      <c r="D120" s="1106" t="s">
        <v>4382</v>
      </c>
      <c r="E120" s="970"/>
      <c r="F120" s="973"/>
      <c r="G120" s="970"/>
      <c r="H120" s="974"/>
      <c r="I120" s="722"/>
      <c r="J120" s="657"/>
      <c r="K120" s="974"/>
      <c r="L120" s="974">
        <v>132.709</v>
      </c>
      <c r="M120" s="1557"/>
      <c r="N120" s="2130"/>
      <c r="O120" s="974">
        <v>132.709</v>
      </c>
      <c r="P120" s="1557"/>
      <c r="Q120" s="974"/>
      <c r="R120" s="1557"/>
      <c r="S120" s="3195"/>
      <c r="T120" s="3027"/>
      <c r="U120" s="3028"/>
      <c r="V120" s="3171"/>
      <c r="W120" s="971"/>
      <c r="X120" s="971"/>
      <c r="Y120" s="3171"/>
      <c r="Z120" s="3171"/>
      <c r="AA120" s="3072"/>
      <c r="AB120" s="3028"/>
      <c r="AC120" s="381"/>
    </row>
    <row r="121" spans="1:29" ht="58.8" customHeight="1">
      <c r="A121" s="3174"/>
      <c r="B121" s="3175"/>
      <c r="C121" s="3186"/>
      <c r="D121" s="1099" t="s">
        <v>1067</v>
      </c>
      <c r="E121" s="964">
        <f>SUM(E117:E119,)</f>
        <v>0</v>
      </c>
      <c r="F121" s="965"/>
      <c r="G121" s="964">
        <f t="shared" ref="G121" si="82">SUM(G117:G119,)</f>
        <v>0</v>
      </c>
      <c r="H121" s="988">
        <f>SUM(H117:H119,)</f>
        <v>115.432</v>
      </c>
      <c r="I121" s="728"/>
      <c r="J121" s="1056">
        <f>SUM(J117:J119,)</f>
        <v>353.892</v>
      </c>
      <c r="K121" s="728">
        <f t="shared" ref="K121:O121" si="83">SUM(K117:K119,)</f>
        <v>353.89299999999997</v>
      </c>
      <c r="L121" s="728">
        <f>SUM(L117:L119,L120)</f>
        <v>663.54600000000005</v>
      </c>
      <c r="M121" s="1558">
        <f t="shared" ref="M121" si="84">SUM(M117:M119,)</f>
        <v>530.83699999999999</v>
      </c>
      <c r="N121" s="1243">
        <f t="shared" si="59"/>
        <v>0.87499046321910889</v>
      </c>
      <c r="O121" s="728">
        <f>SUM(O117:O120,)</f>
        <v>1017.4359999999999</v>
      </c>
      <c r="P121" s="1558">
        <f t="shared" ref="P121:Q121" si="85">SUM(P117:P119,)</f>
        <v>884.72699999999998</v>
      </c>
      <c r="Q121" s="728">
        <f t="shared" si="85"/>
        <v>353.89100000000002</v>
      </c>
      <c r="R121" s="1558">
        <f t="shared" ref="R121" si="86">SUM(R117:R119,)</f>
        <v>353.89100000000002</v>
      </c>
      <c r="S121" s="3195"/>
      <c r="T121" s="3192"/>
      <c r="U121" s="3028"/>
      <c r="V121" s="971" t="s">
        <v>1742</v>
      </c>
      <c r="W121" s="971" t="s">
        <v>433</v>
      </c>
      <c r="X121" s="971" t="s">
        <v>433</v>
      </c>
      <c r="Y121" s="971" t="s">
        <v>433</v>
      </c>
      <c r="Z121" s="971" t="s">
        <v>324</v>
      </c>
      <c r="AA121" s="656"/>
      <c r="AB121" s="3028"/>
    </row>
    <row r="122" spans="1:29" ht="73.2" customHeight="1">
      <c r="A122" s="1091" t="s">
        <v>2057</v>
      </c>
      <c r="B122" s="1092" t="s">
        <v>1692</v>
      </c>
      <c r="C122" s="1091"/>
      <c r="D122" s="1091"/>
      <c r="E122" s="1093">
        <f>SUM(E124)</f>
        <v>152.56</v>
      </c>
      <c r="F122" s="1094">
        <f t="shared" si="0"/>
        <v>0.1921211326691139</v>
      </c>
      <c r="G122" s="1093">
        <f t="shared" ref="G122:Q122" si="87">SUM(G124)</f>
        <v>177.24699999999999</v>
      </c>
      <c r="H122" s="1095">
        <f t="shared" si="87"/>
        <v>181.87000000000003</v>
      </c>
      <c r="I122" s="746"/>
      <c r="J122" s="1055"/>
      <c r="K122" s="1095">
        <f t="shared" si="87"/>
        <v>158.4</v>
      </c>
      <c r="L122" s="1095">
        <f>L144</f>
        <v>80</v>
      </c>
      <c r="M122" s="1095">
        <f t="shared" ref="M122:Q122" si="88">M144</f>
        <v>80</v>
      </c>
      <c r="N122" s="1095">
        <f t="shared" si="88"/>
        <v>-0.31565440547476481</v>
      </c>
      <c r="O122" s="1095">
        <f>O144</f>
        <v>450</v>
      </c>
      <c r="P122" s="1095">
        <f t="shared" si="88"/>
        <v>450</v>
      </c>
      <c r="Q122" s="1095">
        <f t="shared" si="88"/>
        <v>0</v>
      </c>
      <c r="R122" s="1591"/>
      <c r="S122" s="1382" t="s">
        <v>1015</v>
      </c>
      <c r="T122" s="1091"/>
      <c r="U122" s="1096" t="s">
        <v>1545</v>
      </c>
      <c r="V122" s="1096" t="s">
        <v>1687</v>
      </c>
      <c r="W122" s="1096" t="s">
        <v>1685</v>
      </c>
      <c r="X122" s="1096" t="s">
        <v>1686</v>
      </c>
      <c r="Y122" s="1096" t="s">
        <v>585</v>
      </c>
      <c r="Z122" s="1096"/>
      <c r="AA122" s="671"/>
      <c r="AB122" s="1096" t="s">
        <v>1022</v>
      </c>
    </row>
    <row r="123" spans="1:29" ht="29.4" hidden="1" customHeight="1">
      <c r="A123" s="2892" t="s">
        <v>2058</v>
      </c>
      <c r="B123" s="2893" t="s">
        <v>1253</v>
      </c>
      <c r="C123" s="2896" t="s">
        <v>1071</v>
      </c>
      <c r="D123" s="1335" t="s">
        <v>470</v>
      </c>
      <c r="E123" s="720">
        <f>SUM(E125:E140)</f>
        <v>152.56</v>
      </c>
      <c r="F123" s="892">
        <f t="shared" si="0"/>
        <v>0.1921211326691139</v>
      </c>
      <c r="G123" s="720">
        <f t="shared" ref="G123:K123" si="89">SUM(G125:G140)</f>
        <v>177.24699999999999</v>
      </c>
      <c r="H123" s="720">
        <f t="shared" si="89"/>
        <v>181.87000000000003</v>
      </c>
      <c r="I123" s="720"/>
      <c r="J123" s="657"/>
      <c r="K123" s="720">
        <f t="shared" si="89"/>
        <v>158.4</v>
      </c>
      <c r="L123" s="974"/>
      <c r="M123" s="1557"/>
      <c r="N123" s="2130"/>
      <c r="O123" s="974"/>
      <c r="P123" s="1557"/>
      <c r="Q123" s="974"/>
      <c r="R123" s="1557"/>
      <c r="S123" s="3195" t="s">
        <v>2365</v>
      </c>
      <c r="T123" s="3223" t="s">
        <v>4385</v>
      </c>
      <c r="U123" s="3028" t="s">
        <v>1547</v>
      </c>
      <c r="V123" s="3028" t="s">
        <v>1546</v>
      </c>
      <c r="W123" s="3028" t="s">
        <v>1548</v>
      </c>
      <c r="X123" s="3028" t="s">
        <v>1548</v>
      </c>
      <c r="Y123" s="3028" t="s">
        <v>1548</v>
      </c>
      <c r="Z123" s="3028" t="s">
        <v>1548</v>
      </c>
      <c r="AA123" s="2694" t="s">
        <v>1548</v>
      </c>
      <c r="AB123" s="3227" t="s">
        <v>2366</v>
      </c>
    </row>
    <row r="124" spans="1:29" ht="29.4" hidden="1" customHeight="1">
      <c r="A124" s="2892"/>
      <c r="B124" s="2893"/>
      <c r="C124" s="2896"/>
      <c r="D124" s="1355" t="s">
        <v>1067</v>
      </c>
      <c r="E124" s="726">
        <f>E123</f>
        <v>152.56</v>
      </c>
      <c r="F124" s="911">
        <f t="shared" si="0"/>
        <v>0.1921211326691139</v>
      </c>
      <c r="G124" s="726">
        <f t="shared" ref="G124:L124" si="90">G123</f>
        <v>177.24699999999999</v>
      </c>
      <c r="H124" s="726">
        <f t="shared" si="90"/>
        <v>181.87000000000003</v>
      </c>
      <c r="I124" s="726"/>
      <c r="J124" s="1056"/>
      <c r="K124" s="726">
        <f t="shared" si="90"/>
        <v>158.4</v>
      </c>
      <c r="L124" s="988">
        <f t="shared" si="90"/>
        <v>0</v>
      </c>
      <c r="M124" s="1558">
        <f t="shared" ref="M124" si="91">M123</f>
        <v>0</v>
      </c>
      <c r="N124" s="1243">
        <f t="shared" si="59"/>
        <v>-1</v>
      </c>
      <c r="O124" s="988">
        <f>O123</f>
        <v>0</v>
      </c>
      <c r="P124" s="1558">
        <f>P123</f>
        <v>0</v>
      </c>
      <c r="Q124" s="988">
        <f>Q123</f>
        <v>0</v>
      </c>
      <c r="R124" s="988">
        <f>R123</f>
        <v>0</v>
      </c>
      <c r="S124" s="3195"/>
      <c r="T124" s="3224"/>
      <c r="U124" s="3028"/>
      <c r="V124" s="3028"/>
      <c r="W124" s="3028"/>
      <c r="X124" s="3028"/>
      <c r="Y124" s="3028"/>
      <c r="Z124" s="3028"/>
      <c r="AA124" s="2694"/>
      <c r="AB124" s="3227"/>
    </row>
    <row r="125" spans="1:29" ht="29.4" hidden="1" customHeight="1">
      <c r="A125" s="1386"/>
      <c r="B125" s="990" t="s">
        <v>505</v>
      </c>
      <c r="C125" s="1125"/>
      <c r="D125" s="1126"/>
      <c r="E125" s="983">
        <v>135.71</v>
      </c>
      <c r="F125" s="1127"/>
      <c r="G125" s="966">
        <v>161.80699999999999</v>
      </c>
      <c r="H125" s="946">
        <v>161.81</v>
      </c>
      <c r="I125" s="681"/>
      <c r="J125" s="966">
        <v>140.93</v>
      </c>
      <c r="K125" s="946">
        <v>140.93</v>
      </c>
      <c r="L125" s="946"/>
      <c r="M125" s="946"/>
      <c r="N125" s="1112"/>
      <c r="O125" s="946"/>
      <c r="P125" s="946"/>
      <c r="Q125" s="946"/>
      <c r="R125" s="946"/>
      <c r="S125" s="1311"/>
      <c r="T125" s="1120"/>
      <c r="U125" s="1128"/>
      <c r="V125" s="1387"/>
      <c r="W125" s="1128"/>
      <c r="X125" s="1128"/>
      <c r="Y125" s="1128"/>
      <c r="Z125" s="1128"/>
      <c r="AA125" s="925"/>
      <c r="AB125" s="3227"/>
    </row>
    <row r="126" spans="1:29" ht="29.4" hidden="1" customHeight="1">
      <c r="A126" s="1386"/>
      <c r="B126" s="990" t="s">
        <v>1517</v>
      </c>
      <c r="C126" s="1125"/>
      <c r="D126" s="1126"/>
      <c r="E126" s="983">
        <v>1.7</v>
      </c>
      <c r="F126" s="1127"/>
      <c r="G126" s="966">
        <v>2</v>
      </c>
      <c r="H126" s="946">
        <v>2.02</v>
      </c>
      <c r="I126" s="681"/>
      <c r="J126" s="966">
        <v>2.02</v>
      </c>
      <c r="K126" s="946">
        <v>1.76</v>
      </c>
      <c r="L126" s="946"/>
      <c r="M126" s="1559"/>
      <c r="N126" s="1112"/>
      <c r="O126" s="946"/>
      <c r="P126" s="1559"/>
      <c r="Q126" s="946"/>
      <c r="R126" s="1559"/>
      <c r="S126" s="1311"/>
      <c r="T126" s="1120"/>
      <c r="U126" s="1128"/>
      <c r="V126" s="1387"/>
      <c r="W126" s="1128"/>
      <c r="X126" s="1128"/>
      <c r="Y126" s="1128"/>
      <c r="Z126" s="1128"/>
      <c r="AA126" s="925"/>
      <c r="AB126" s="3227"/>
    </row>
    <row r="127" spans="1:29" ht="29.4" hidden="1" customHeight="1">
      <c r="A127" s="1386"/>
      <c r="B127" s="990" t="s">
        <v>1518</v>
      </c>
      <c r="C127" s="1125"/>
      <c r="D127" s="1126"/>
      <c r="E127" s="1388">
        <v>0.88</v>
      </c>
      <c r="F127" s="1127"/>
      <c r="G127" s="1388">
        <v>0.88</v>
      </c>
      <c r="H127" s="946">
        <v>1.05</v>
      </c>
      <c r="I127" s="681"/>
      <c r="J127" s="966">
        <v>1.05</v>
      </c>
      <c r="K127" s="1129">
        <v>0.91</v>
      </c>
      <c r="L127" s="1129"/>
      <c r="M127" s="1593"/>
      <c r="N127" s="1112"/>
      <c r="O127" s="1129"/>
      <c r="P127" s="1593"/>
      <c r="Q127" s="1129"/>
      <c r="R127" s="1593"/>
      <c r="S127" s="1389"/>
      <c r="T127" s="1120"/>
      <c r="U127" s="1128"/>
      <c r="V127" s="1387"/>
      <c r="W127" s="1128"/>
      <c r="X127" s="1128"/>
      <c r="Y127" s="1128"/>
      <c r="Z127" s="1128"/>
      <c r="AA127" s="925"/>
      <c r="AB127" s="3227"/>
    </row>
    <row r="128" spans="1:29" ht="29.4" hidden="1" customHeight="1">
      <c r="A128" s="1386"/>
      <c r="B128" s="990" t="s">
        <v>1076</v>
      </c>
      <c r="C128" s="1125"/>
      <c r="D128" s="1126"/>
      <c r="E128" s="983">
        <v>1.74</v>
      </c>
      <c r="F128" s="1127"/>
      <c r="G128" s="966">
        <v>1.9550000000000001</v>
      </c>
      <c r="H128" s="946">
        <v>2.0699999999999998</v>
      </c>
      <c r="I128" s="681"/>
      <c r="J128" s="966">
        <v>2</v>
      </c>
      <c r="K128" s="946">
        <v>1.8</v>
      </c>
      <c r="L128" s="946"/>
      <c r="M128" s="1559"/>
      <c r="N128" s="1112"/>
      <c r="O128" s="946"/>
      <c r="P128" s="1559"/>
      <c r="Q128" s="946"/>
      <c r="R128" s="1559"/>
      <c r="S128" s="1311"/>
      <c r="T128" s="1120"/>
      <c r="U128" s="1128"/>
      <c r="V128" s="1387"/>
      <c r="W128" s="1128"/>
      <c r="X128" s="1128"/>
      <c r="Y128" s="1128"/>
      <c r="Z128" s="1128"/>
      <c r="AA128" s="925"/>
      <c r="AB128" s="3227"/>
    </row>
    <row r="129" spans="1:28" ht="29.4" hidden="1" customHeight="1">
      <c r="A129" s="1386"/>
      <c r="B129" s="990" t="s">
        <v>1519</v>
      </c>
      <c r="C129" s="1125"/>
      <c r="D129" s="1126"/>
      <c r="E129" s="983">
        <v>1.9</v>
      </c>
      <c r="F129" s="1127"/>
      <c r="G129" s="966">
        <v>2.2650000000000001</v>
      </c>
      <c r="H129" s="946">
        <v>2.27</v>
      </c>
      <c r="I129" s="681"/>
      <c r="J129" s="966">
        <v>2.4900000000000002</v>
      </c>
      <c r="K129" s="946">
        <v>1.97</v>
      </c>
      <c r="L129" s="946"/>
      <c r="M129" s="1559"/>
      <c r="N129" s="1112"/>
      <c r="O129" s="946"/>
      <c r="P129" s="1559"/>
      <c r="Q129" s="946"/>
      <c r="R129" s="1559"/>
      <c r="S129" s="1311"/>
      <c r="T129" s="1120"/>
      <c r="U129" s="1128"/>
      <c r="V129" s="1387"/>
      <c r="W129" s="1128"/>
      <c r="X129" s="1128"/>
      <c r="Y129" s="1128"/>
      <c r="Z129" s="1128"/>
      <c r="AA129" s="925"/>
      <c r="AB129" s="3227"/>
    </row>
    <row r="130" spans="1:28" ht="29.4" hidden="1" customHeight="1">
      <c r="A130" s="1386"/>
      <c r="B130" s="990" t="s">
        <v>1520</v>
      </c>
      <c r="C130" s="1125"/>
      <c r="D130" s="1126"/>
      <c r="E130" s="1390">
        <v>1.2</v>
      </c>
      <c r="F130" s="1127"/>
      <c r="G130" s="966">
        <v>1.35</v>
      </c>
      <c r="H130" s="946">
        <v>1.42</v>
      </c>
      <c r="I130" s="681"/>
      <c r="J130" s="966">
        <v>1.42</v>
      </c>
      <c r="K130" s="946">
        <v>1.24</v>
      </c>
      <c r="L130" s="946"/>
      <c r="M130" s="1559"/>
      <c r="N130" s="1112"/>
      <c r="O130" s="946"/>
      <c r="P130" s="1559"/>
      <c r="Q130" s="946"/>
      <c r="R130" s="1559"/>
      <c r="S130" s="1311"/>
      <c r="T130" s="1120"/>
      <c r="U130" s="1128"/>
      <c r="V130" s="1387"/>
      <c r="W130" s="1128"/>
      <c r="X130" s="1128"/>
      <c r="Y130" s="1128"/>
      <c r="Z130" s="1128"/>
      <c r="AA130" s="925"/>
      <c r="AB130" s="3227"/>
    </row>
    <row r="131" spans="1:28" ht="29.4" hidden="1" customHeight="1">
      <c r="A131" s="1386"/>
      <c r="B131" s="990" t="s">
        <v>1521</v>
      </c>
      <c r="C131" s="1125"/>
      <c r="D131" s="1126"/>
      <c r="E131" s="983">
        <v>1.1200000000000001</v>
      </c>
      <c r="F131" s="1127"/>
      <c r="G131" s="983">
        <v>1.1200000000000001</v>
      </c>
      <c r="H131" s="946">
        <v>1.33</v>
      </c>
      <c r="I131" s="681"/>
      <c r="J131" s="966">
        <v>1.45</v>
      </c>
      <c r="K131" s="946">
        <v>1.1599999999999999</v>
      </c>
      <c r="L131" s="946"/>
      <c r="M131" s="1559"/>
      <c r="N131" s="1112"/>
      <c r="O131" s="946"/>
      <c r="P131" s="1559"/>
      <c r="Q131" s="946"/>
      <c r="R131" s="1559"/>
      <c r="S131" s="1311"/>
      <c r="T131" s="1120"/>
      <c r="U131" s="1128"/>
      <c r="V131" s="1387"/>
      <c r="W131" s="1128"/>
      <c r="X131" s="1128"/>
      <c r="Y131" s="1128"/>
      <c r="Z131" s="1128"/>
      <c r="AA131" s="925"/>
      <c r="AB131" s="3227"/>
    </row>
    <row r="132" spans="1:28" ht="29.4" hidden="1" customHeight="1">
      <c r="A132" s="1386"/>
      <c r="B132" s="990" t="s">
        <v>1522</v>
      </c>
      <c r="C132" s="1125"/>
      <c r="D132" s="1126"/>
      <c r="E132" s="1388">
        <v>0.68</v>
      </c>
      <c r="F132" s="1127"/>
      <c r="G132" s="1388">
        <v>0.68</v>
      </c>
      <c r="H132" s="946">
        <v>0.81</v>
      </c>
      <c r="I132" s="681"/>
      <c r="J132" s="966">
        <v>0.81</v>
      </c>
      <c r="K132" s="946">
        <v>0.71</v>
      </c>
      <c r="L132" s="946"/>
      <c r="M132" s="1559"/>
      <c r="N132" s="1112"/>
      <c r="O132" s="946"/>
      <c r="P132" s="1559"/>
      <c r="Q132" s="946"/>
      <c r="R132" s="1559"/>
      <c r="S132" s="1311"/>
      <c r="T132" s="1120"/>
      <c r="U132" s="1128"/>
      <c r="V132" s="1387"/>
      <c r="W132" s="1128"/>
      <c r="X132" s="1128"/>
      <c r="Y132" s="1128"/>
      <c r="Z132" s="1128"/>
      <c r="AA132" s="925"/>
      <c r="AB132" s="3227"/>
    </row>
    <row r="133" spans="1:28" ht="29.4" hidden="1" customHeight="1">
      <c r="A133" s="1386"/>
      <c r="B133" s="990" t="s">
        <v>1523</v>
      </c>
      <c r="C133" s="1125"/>
      <c r="D133" s="1126"/>
      <c r="E133" s="1388">
        <v>0.755</v>
      </c>
      <c r="F133" s="1127"/>
      <c r="G133" s="966">
        <v>0.86</v>
      </c>
      <c r="H133" s="946">
        <v>0.9</v>
      </c>
      <c r="I133" s="681"/>
      <c r="J133" s="966">
        <v>0.9</v>
      </c>
      <c r="K133" s="946">
        <v>0.79</v>
      </c>
      <c r="L133" s="946"/>
      <c r="M133" s="1559"/>
      <c r="N133" s="1112"/>
      <c r="O133" s="946"/>
      <c r="P133" s="1559"/>
      <c r="Q133" s="946"/>
      <c r="R133" s="1559"/>
      <c r="S133" s="1311"/>
      <c r="T133" s="1120"/>
      <c r="U133" s="1128"/>
      <c r="V133" s="1387"/>
      <c r="W133" s="1128"/>
      <c r="X133" s="1128"/>
      <c r="Y133" s="1128"/>
      <c r="Z133" s="1128"/>
      <c r="AA133" s="925"/>
      <c r="AB133" s="3227"/>
    </row>
    <row r="134" spans="1:28" ht="29.4" hidden="1" customHeight="1">
      <c r="A134" s="1386"/>
      <c r="B134" s="990" t="s">
        <v>1524</v>
      </c>
      <c r="C134" s="1125"/>
      <c r="D134" s="1126"/>
      <c r="E134" s="1388">
        <v>0.48</v>
      </c>
      <c r="F134" s="1127"/>
      <c r="G134" s="1388">
        <v>0.48</v>
      </c>
      <c r="H134" s="946">
        <v>0.56999999999999995</v>
      </c>
      <c r="I134" s="681"/>
      <c r="J134" s="966">
        <v>0.6</v>
      </c>
      <c r="K134" s="1129">
        <v>0.5</v>
      </c>
      <c r="L134" s="1129"/>
      <c r="M134" s="1593"/>
      <c r="N134" s="1112"/>
      <c r="O134" s="1129"/>
      <c r="P134" s="1593"/>
      <c r="Q134" s="1129"/>
      <c r="R134" s="1593"/>
      <c r="S134" s="1389"/>
      <c r="T134" s="1120"/>
      <c r="U134" s="1128"/>
      <c r="V134" s="1387"/>
      <c r="W134" s="1128"/>
      <c r="X134" s="1128"/>
      <c r="Y134" s="1128"/>
      <c r="Z134" s="1128"/>
      <c r="AA134" s="925"/>
      <c r="AB134" s="3227"/>
    </row>
    <row r="135" spans="1:28" ht="29.4" hidden="1" customHeight="1">
      <c r="A135" s="1386"/>
      <c r="B135" s="990" t="s">
        <v>1525</v>
      </c>
      <c r="C135" s="1125"/>
      <c r="D135" s="1126"/>
      <c r="E135" s="1388">
        <v>0.44</v>
      </c>
      <c r="F135" s="1127"/>
      <c r="G135" s="966">
        <v>0.5</v>
      </c>
      <c r="H135" s="946">
        <v>0.53</v>
      </c>
      <c r="I135" s="681"/>
      <c r="J135" s="966">
        <v>0.55000000000000004</v>
      </c>
      <c r="K135" s="946">
        <v>0.46</v>
      </c>
      <c r="L135" s="946"/>
      <c r="M135" s="1559"/>
      <c r="N135" s="1112"/>
      <c r="O135" s="946"/>
      <c r="P135" s="1559"/>
      <c r="Q135" s="946"/>
      <c r="R135" s="1559"/>
      <c r="S135" s="1311"/>
      <c r="T135" s="1120"/>
      <c r="U135" s="1128"/>
      <c r="V135" s="1387"/>
      <c r="W135" s="1128"/>
      <c r="X135" s="1128"/>
      <c r="Y135" s="1128"/>
      <c r="Z135" s="1128"/>
      <c r="AA135" s="925"/>
      <c r="AB135" s="3227"/>
    </row>
    <row r="136" spans="1:28" ht="29.4" hidden="1" customHeight="1">
      <c r="A136" s="1386"/>
      <c r="B136" s="990" t="s">
        <v>1526</v>
      </c>
      <c r="C136" s="1125"/>
      <c r="D136" s="1126"/>
      <c r="E136" s="1388">
        <v>0.97</v>
      </c>
      <c r="F136" s="1127"/>
      <c r="G136" s="966">
        <v>1.1000000000000001</v>
      </c>
      <c r="H136" s="946">
        <v>1.1599999999999999</v>
      </c>
      <c r="I136" s="681"/>
      <c r="J136" s="966">
        <v>1.1599999999999999</v>
      </c>
      <c r="K136" s="946">
        <v>1.01</v>
      </c>
      <c r="L136" s="946"/>
      <c r="M136" s="1559"/>
      <c r="N136" s="1112"/>
      <c r="O136" s="946"/>
      <c r="P136" s="1559"/>
      <c r="Q136" s="946"/>
      <c r="R136" s="1559"/>
      <c r="S136" s="1311"/>
      <c r="T136" s="1120"/>
      <c r="U136" s="1128"/>
      <c r="V136" s="1387"/>
      <c r="W136" s="1128"/>
      <c r="X136" s="1128"/>
      <c r="Y136" s="1128"/>
      <c r="Z136" s="1128"/>
      <c r="AA136" s="925"/>
      <c r="AB136" s="3227"/>
    </row>
    <row r="137" spans="1:28" ht="29.4" hidden="1" customHeight="1">
      <c r="A137" s="1386"/>
      <c r="B137" s="990" t="s">
        <v>1355</v>
      </c>
      <c r="C137" s="1125"/>
      <c r="D137" s="1126"/>
      <c r="E137" s="1388">
        <v>1.91</v>
      </c>
      <c r="F137" s="1127"/>
      <c r="G137" s="966">
        <v>1.9</v>
      </c>
      <c r="H137" s="946">
        <v>2.2799999999999998</v>
      </c>
      <c r="I137" s="681"/>
      <c r="J137" s="966"/>
      <c r="K137" s="946">
        <v>1.98</v>
      </c>
      <c r="L137" s="946"/>
      <c r="M137" s="1559"/>
      <c r="N137" s="1112"/>
      <c r="O137" s="946"/>
      <c r="P137" s="1559"/>
      <c r="Q137" s="946"/>
      <c r="R137" s="1559"/>
      <c r="S137" s="1311"/>
      <c r="T137" s="1120"/>
      <c r="U137" s="1128"/>
      <c r="V137" s="1387"/>
      <c r="W137" s="1128"/>
      <c r="X137" s="1128"/>
      <c r="Y137" s="1128"/>
      <c r="Z137" s="1128"/>
      <c r="AA137" s="925"/>
      <c r="AB137" s="3227"/>
    </row>
    <row r="138" spans="1:28" ht="29.4" hidden="1" customHeight="1">
      <c r="A138" s="1386"/>
      <c r="B138" s="990" t="s">
        <v>1409</v>
      </c>
      <c r="C138" s="1125"/>
      <c r="D138" s="1126"/>
      <c r="E138" s="1388">
        <v>0.68</v>
      </c>
      <c r="F138" s="1127"/>
      <c r="G138" s="966"/>
      <c r="H138" s="946">
        <v>0.81</v>
      </c>
      <c r="I138" s="681"/>
      <c r="J138" s="966"/>
      <c r="K138" s="946">
        <v>0.71</v>
      </c>
      <c r="L138" s="946"/>
      <c r="M138" s="1559"/>
      <c r="N138" s="1112"/>
      <c r="O138" s="946"/>
      <c r="P138" s="1559"/>
      <c r="Q138" s="946"/>
      <c r="R138" s="1559"/>
      <c r="S138" s="1311"/>
      <c r="T138" s="1120"/>
      <c r="U138" s="1128"/>
      <c r="V138" s="1387"/>
      <c r="W138" s="1128"/>
      <c r="X138" s="1128"/>
      <c r="Y138" s="1128"/>
      <c r="Z138" s="1128"/>
      <c r="AA138" s="925"/>
      <c r="AB138" s="3227"/>
    </row>
    <row r="139" spans="1:28" ht="29.4" hidden="1" customHeight="1">
      <c r="A139" s="1386"/>
      <c r="B139" s="990" t="s">
        <v>1356</v>
      </c>
      <c r="C139" s="1125"/>
      <c r="D139" s="1126"/>
      <c r="E139" s="1388">
        <v>0.30499999999999999</v>
      </c>
      <c r="F139" s="1127"/>
      <c r="G139" s="966">
        <v>0.35</v>
      </c>
      <c r="H139" s="946">
        <v>0.36</v>
      </c>
      <c r="I139" s="681"/>
      <c r="J139" s="966">
        <v>0.4</v>
      </c>
      <c r="K139" s="946">
        <v>0.31</v>
      </c>
      <c r="L139" s="946"/>
      <c r="M139" s="1559"/>
      <c r="N139" s="1112"/>
      <c r="O139" s="946"/>
      <c r="P139" s="1559"/>
      <c r="Q139" s="946"/>
      <c r="R139" s="1559"/>
      <c r="S139" s="1311"/>
      <c r="T139" s="1120"/>
      <c r="U139" s="1128"/>
      <c r="V139" s="1387"/>
      <c r="W139" s="1128"/>
      <c r="X139" s="1128"/>
      <c r="Y139" s="1128"/>
      <c r="Z139" s="1128"/>
      <c r="AA139" s="925"/>
      <c r="AB139" s="3227"/>
    </row>
    <row r="140" spans="1:28" ht="29.4" hidden="1" customHeight="1">
      <c r="A140" s="1386"/>
      <c r="B140" s="990" t="s">
        <v>339</v>
      </c>
      <c r="C140" s="1125"/>
      <c r="D140" s="1126"/>
      <c r="E140" s="1388">
        <v>2.09</v>
      </c>
      <c r="F140" s="1127"/>
      <c r="G140" s="966"/>
      <c r="H140" s="946">
        <v>2.48</v>
      </c>
      <c r="I140" s="681"/>
      <c r="J140" s="966"/>
      <c r="K140" s="946">
        <v>2.16</v>
      </c>
      <c r="L140" s="946"/>
      <c r="M140" s="1559"/>
      <c r="N140" s="1112"/>
      <c r="O140" s="946"/>
      <c r="P140" s="1559"/>
      <c r="Q140" s="946"/>
      <c r="R140" s="1559"/>
      <c r="S140" s="1311"/>
      <c r="T140" s="1120"/>
      <c r="U140" s="1128"/>
      <c r="V140" s="1387"/>
      <c r="W140" s="1128"/>
      <c r="X140" s="1128"/>
      <c r="Y140" s="1128"/>
      <c r="Z140" s="1128"/>
      <c r="AA140" s="925"/>
      <c r="AB140" s="3227"/>
    </row>
    <row r="141" spans="1:28" ht="29.4" hidden="1" customHeight="1">
      <c r="A141" s="1386"/>
      <c r="B141" s="990" t="s">
        <v>1577</v>
      </c>
      <c r="C141" s="1125"/>
      <c r="D141" s="1126"/>
      <c r="E141" s="1388"/>
      <c r="F141" s="1127"/>
      <c r="G141" s="966"/>
      <c r="H141" s="946"/>
      <c r="I141" s="681"/>
      <c r="J141" s="966"/>
      <c r="K141" s="946"/>
      <c r="L141" s="946"/>
      <c r="M141" s="1559"/>
      <c r="N141" s="1112"/>
      <c r="O141" s="946"/>
      <c r="P141" s="1559"/>
      <c r="Q141" s="946"/>
      <c r="R141" s="1559"/>
      <c r="S141" s="1311"/>
      <c r="T141" s="1120"/>
      <c r="U141" s="1128"/>
      <c r="V141" s="1387"/>
      <c r="W141" s="1128"/>
      <c r="X141" s="1128"/>
      <c r="Y141" s="1128"/>
      <c r="Z141" s="1128"/>
      <c r="AA141" s="925"/>
      <c r="AB141" s="3227"/>
    </row>
    <row r="142" spans="1:28" ht="29.4" customHeight="1">
      <c r="A142" s="2694" t="s">
        <v>3702</v>
      </c>
      <c r="B142" s="2703" t="s">
        <v>3197</v>
      </c>
      <c r="C142" s="2719">
        <v>188711925</v>
      </c>
      <c r="D142" s="706" t="s">
        <v>470</v>
      </c>
      <c r="E142" s="720">
        <f>SUM(E145:E160)</f>
        <v>7677.7240000000011</v>
      </c>
      <c r="F142" s="892">
        <f t="shared" ref="F142:F144" si="92">H142/E142-1</f>
        <v>-1</v>
      </c>
      <c r="G142" s="720">
        <f>SUM(G145:G160)</f>
        <v>9388.492000000002</v>
      </c>
      <c r="H142" s="720"/>
      <c r="I142" s="722"/>
      <c r="J142" s="657">
        <v>511.57799999999997</v>
      </c>
      <c r="K142" s="722">
        <v>116.9</v>
      </c>
      <c r="L142" s="722">
        <v>80</v>
      </c>
      <c r="M142" s="1557">
        <v>80</v>
      </c>
      <c r="N142" s="2130">
        <f t="shared" si="59"/>
        <v>-0.31565440547476481</v>
      </c>
      <c r="O142" s="722">
        <v>450</v>
      </c>
      <c r="P142" s="1557">
        <v>450</v>
      </c>
      <c r="Q142" s="722"/>
      <c r="R142" s="1557"/>
      <c r="S142" s="2729" t="s">
        <v>2365</v>
      </c>
      <c r="T142" s="2698" t="s">
        <v>4268</v>
      </c>
      <c r="U142" s="2951" t="s">
        <v>4266</v>
      </c>
      <c r="V142" s="2951" t="s">
        <v>4079</v>
      </c>
      <c r="W142" s="2951"/>
      <c r="X142" s="2951" t="s">
        <v>324</v>
      </c>
      <c r="Y142" s="2951" t="s">
        <v>432</v>
      </c>
      <c r="Z142" s="2951" t="s">
        <v>433</v>
      </c>
      <c r="AA142" s="2951" t="s">
        <v>433</v>
      </c>
      <c r="AB142" s="3227"/>
    </row>
    <row r="143" spans="1:28" ht="29.4" customHeight="1">
      <c r="A143" s="2694"/>
      <c r="B143" s="2703"/>
      <c r="C143" s="2719"/>
      <c r="D143" s="706" t="s">
        <v>2747</v>
      </c>
      <c r="E143" s="720"/>
      <c r="F143" s="892"/>
      <c r="G143" s="720"/>
      <c r="H143" s="720"/>
      <c r="I143" s="722"/>
      <c r="J143" s="657"/>
      <c r="K143" s="722"/>
      <c r="L143" s="720"/>
      <c r="M143" s="1557"/>
      <c r="N143" s="2130"/>
      <c r="O143" s="722"/>
      <c r="P143" s="1557"/>
      <c r="Q143" s="722"/>
      <c r="R143" s="1557"/>
      <c r="S143" s="2729"/>
      <c r="T143" s="2698"/>
      <c r="U143" s="2951"/>
      <c r="V143" s="2951"/>
      <c r="W143" s="2951"/>
      <c r="X143" s="2951"/>
      <c r="Y143" s="2951"/>
      <c r="Z143" s="2951"/>
      <c r="AA143" s="2951"/>
      <c r="AB143" s="3227"/>
    </row>
    <row r="144" spans="1:28" ht="93.6" customHeight="1">
      <c r="A144" s="2879"/>
      <c r="B144" s="2703"/>
      <c r="C144" s="2719"/>
      <c r="D144" s="725" t="s">
        <v>1067</v>
      </c>
      <c r="E144" s="726">
        <f>E142</f>
        <v>7677.7240000000011</v>
      </c>
      <c r="F144" s="911">
        <f t="shared" si="92"/>
        <v>-1</v>
      </c>
      <c r="G144" s="726">
        <f t="shared" ref="G144" si="93">G142</f>
        <v>9388.492000000002</v>
      </c>
      <c r="H144" s="726"/>
      <c r="I144" s="728"/>
      <c r="J144" s="726">
        <f>J142</f>
        <v>511.57799999999997</v>
      </c>
      <c r="K144" s="728">
        <f t="shared" ref="K144:O144" si="94">K142</f>
        <v>116.9</v>
      </c>
      <c r="L144" s="728">
        <f t="shared" si="94"/>
        <v>80</v>
      </c>
      <c r="M144" s="1558">
        <f>SUM(M142,M143)</f>
        <v>80</v>
      </c>
      <c r="N144" s="1243">
        <f t="shared" si="59"/>
        <v>-0.31565440547476481</v>
      </c>
      <c r="O144" s="728">
        <f t="shared" si="94"/>
        <v>450</v>
      </c>
      <c r="P144" s="1558">
        <f t="shared" ref="P144:Q144" si="95">P142</f>
        <v>450</v>
      </c>
      <c r="Q144" s="728">
        <f t="shared" si="95"/>
        <v>0</v>
      </c>
      <c r="R144" s="1558">
        <f t="shared" ref="R144" si="96">R142</f>
        <v>0</v>
      </c>
      <c r="S144" s="2729"/>
      <c r="T144" s="2836"/>
      <c r="U144" s="2951"/>
      <c r="V144" s="2951"/>
      <c r="W144" s="2951"/>
      <c r="X144" s="2951"/>
      <c r="Y144" s="2951"/>
      <c r="Z144" s="2951"/>
      <c r="AA144" s="2951"/>
      <c r="AB144" s="3227"/>
    </row>
    <row r="145" spans="1:28" ht="71.400000000000006" customHeight="1">
      <c r="A145" s="1091" t="s">
        <v>2059</v>
      </c>
      <c r="B145" s="1092" t="s">
        <v>1691</v>
      </c>
      <c r="C145" s="1091"/>
      <c r="D145" s="1091"/>
      <c r="E145" s="1093">
        <f>SUM(E147)</f>
        <v>0.5</v>
      </c>
      <c r="F145" s="1094">
        <f t="shared" ref="F145:F169" si="97">H145/E145-1</f>
        <v>0</v>
      </c>
      <c r="G145" s="1093">
        <f t="shared" ref="G145:O145" si="98">SUM(G147)</f>
        <v>1</v>
      </c>
      <c r="H145" s="1095">
        <f t="shared" si="98"/>
        <v>0.5</v>
      </c>
      <c r="I145" s="746"/>
      <c r="J145" s="1055"/>
      <c r="K145" s="1095">
        <f t="shared" si="98"/>
        <v>0.5</v>
      </c>
      <c r="L145" s="1095">
        <f t="shared" si="98"/>
        <v>0.5</v>
      </c>
      <c r="M145" s="1591">
        <f t="shared" ref="M145" si="99">SUM(M147)</f>
        <v>0.5</v>
      </c>
      <c r="N145" s="2132">
        <f t="shared" ref="N145:N170" si="100">(L145-K145)/K145</f>
        <v>0</v>
      </c>
      <c r="O145" s="1095">
        <f t="shared" si="98"/>
        <v>0.5</v>
      </c>
      <c r="P145" s="1591">
        <f t="shared" ref="P145:Q145" si="101">SUM(P147)</f>
        <v>0.5</v>
      </c>
      <c r="Q145" s="1095">
        <f t="shared" si="101"/>
        <v>0.5</v>
      </c>
      <c r="R145" s="1591">
        <f t="shared" ref="R145" si="102">SUM(R147)</f>
        <v>0.5</v>
      </c>
      <c r="S145" s="1382" t="s">
        <v>1031</v>
      </c>
      <c r="T145" s="1091"/>
      <c r="U145" s="1096" t="s">
        <v>1549</v>
      </c>
      <c r="V145" s="1096" t="s">
        <v>1688</v>
      </c>
      <c r="W145" s="1096" t="s">
        <v>1685</v>
      </c>
      <c r="X145" s="1096" t="s">
        <v>1686</v>
      </c>
      <c r="Y145" s="1096" t="s">
        <v>1686</v>
      </c>
      <c r="Z145" s="1096" t="s">
        <v>1686</v>
      </c>
      <c r="AA145" s="1096" t="s">
        <v>1686</v>
      </c>
      <c r="AB145" s="1096" t="s">
        <v>1032</v>
      </c>
    </row>
    <row r="146" spans="1:28" ht="29.4" customHeight="1">
      <c r="A146" s="3174" t="s">
        <v>2062</v>
      </c>
      <c r="B146" s="3178" t="s">
        <v>1254</v>
      </c>
      <c r="C146" s="3176">
        <v>188711925</v>
      </c>
      <c r="D146" s="1106" t="s">
        <v>470</v>
      </c>
      <c r="E146" s="970">
        <v>0.5</v>
      </c>
      <c r="F146" s="973">
        <f t="shared" si="97"/>
        <v>0</v>
      </c>
      <c r="G146" s="970">
        <v>1</v>
      </c>
      <c r="H146" s="974">
        <v>0.5</v>
      </c>
      <c r="I146" s="722"/>
      <c r="J146" s="657">
        <v>1</v>
      </c>
      <c r="K146" s="974">
        <v>0.5</v>
      </c>
      <c r="L146" s="974">
        <v>0.5</v>
      </c>
      <c r="M146" s="1557">
        <v>0.5</v>
      </c>
      <c r="N146" s="2130">
        <f t="shared" si="100"/>
        <v>0</v>
      </c>
      <c r="O146" s="974">
        <v>0.5</v>
      </c>
      <c r="P146" s="1557">
        <v>0.5</v>
      </c>
      <c r="Q146" s="974">
        <v>0.5</v>
      </c>
      <c r="R146" s="1557">
        <v>0.5</v>
      </c>
      <c r="S146" s="3195" t="s">
        <v>2367</v>
      </c>
      <c r="T146" s="3027" t="s">
        <v>3755</v>
      </c>
      <c r="U146" s="3028" t="s">
        <v>1550</v>
      </c>
      <c r="V146" s="3028" t="s">
        <v>3869</v>
      </c>
      <c r="W146" s="3028" t="s">
        <v>324</v>
      </c>
      <c r="X146" s="3028" t="s">
        <v>324</v>
      </c>
      <c r="Y146" s="3028" t="s">
        <v>585</v>
      </c>
      <c r="Z146" s="3028" t="s">
        <v>585</v>
      </c>
      <c r="AA146" s="2694" t="s">
        <v>585</v>
      </c>
      <c r="AB146" s="3197" t="s">
        <v>1032</v>
      </c>
    </row>
    <row r="147" spans="1:28" ht="70.8" customHeight="1">
      <c r="A147" s="3174"/>
      <c r="B147" s="3178"/>
      <c r="C147" s="3176"/>
      <c r="D147" s="1099" t="s">
        <v>1067</v>
      </c>
      <c r="E147" s="964">
        <f>E146</f>
        <v>0.5</v>
      </c>
      <c r="F147" s="965">
        <f t="shared" si="97"/>
        <v>0</v>
      </c>
      <c r="G147" s="964">
        <f t="shared" ref="G147:O147" si="103">G146</f>
        <v>1</v>
      </c>
      <c r="H147" s="988">
        <f t="shared" si="103"/>
        <v>0.5</v>
      </c>
      <c r="I147" s="728">
        <f t="shared" si="103"/>
        <v>0</v>
      </c>
      <c r="J147" s="1056">
        <f t="shared" si="103"/>
        <v>1</v>
      </c>
      <c r="K147" s="988">
        <f t="shared" si="103"/>
        <v>0.5</v>
      </c>
      <c r="L147" s="988">
        <f t="shared" si="103"/>
        <v>0.5</v>
      </c>
      <c r="M147" s="1558">
        <f t="shared" ref="M147" si="104">M146</f>
        <v>0.5</v>
      </c>
      <c r="N147" s="1243">
        <f t="shared" si="100"/>
        <v>0</v>
      </c>
      <c r="O147" s="988">
        <f t="shared" si="103"/>
        <v>0.5</v>
      </c>
      <c r="P147" s="1558">
        <f t="shared" ref="P147:Q147" si="105">P146</f>
        <v>0.5</v>
      </c>
      <c r="Q147" s="988">
        <f t="shared" si="105"/>
        <v>0.5</v>
      </c>
      <c r="R147" s="1558">
        <f t="shared" ref="R147" si="106">R146</f>
        <v>0.5</v>
      </c>
      <c r="S147" s="3195"/>
      <c r="T147" s="3192"/>
      <c r="U147" s="3028"/>
      <c r="V147" s="3028"/>
      <c r="W147" s="3028"/>
      <c r="X147" s="3028"/>
      <c r="Y147" s="3028"/>
      <c r="Z147" s="3028"/>
      <c r="AA147" s="2694"/>
      <c r="AB147" s="3197"/>
    </row>
    <row r="148" spans="1:28" ht="62.4" customHeight="1">
      <c r="A148" s="1091" t="s">
        <v>2060</v>
      </c>
      <c r="B148" s="1092" t="s">
        <v>2737</v>
      </c>
      <c r="C148" s="1091"/>
      <c r="D148" s="1091"/>
      <c r="E148" s="1093">
        <f>SUM(E150)</f>
        <v>30</v>
      </c>
      <c r="F148" s="1094">
        <f t="shared" si="97"/>
        <v>1.3333333333333335</v>
      </c>
      <c r="G148" s="1093">
        <f t="shared" ref="G148:O148" si="107">SUM(G150)</f>
        <v>75</v>
      </c>
      <c r="H148" s="1095">
        <f t="shared" si="107"/>
        <v>70</v>
      </c>
      <c r="I148" s="746"/>
      <c r="J148" s="1055"/>
      <c r="K148" s="1095">
        <f t="shared" si="107"/>
        <v>45</v>
      </c>
      <c r="L148" s="1095">
        <f t="shared" si="107"/>
        <v>55</v>
      </c>
      <c r="M148" s="1591">
        <f t="shared" ref="M148" si="108">SUM(M150)</f>
        <v>60</v>
      </c>
      <c r="N148" s="2132">
        <f t="shared" si="100"/>
        <v>0.22222222222222221</v>
      </c>
      <c r="O148" s="1095">
        <f t="shared" si="107"/>
        <v>55</v>
      </c>
      <c r="P148" s="1591">
        <f t="shared" ref="P148:Q148" si="109">SUM(P150)</f>
        <v>55</v>
      </c>
      <c r="Q148" s="1095">
        <f t="shared" si="109"/>
        <v>55</v>
      </c>
      <c r="R148" s="1591">
        <f t="shared" ref="R148" si="110">SUM(R150)</f>
        <v>55</v>
      </c>
      <c r="S148" s="1382" t="s">
        <v>991</v>
      </c>
      <c r="T148" s="1091"/>
      <c r="U148" s="1091" t="s">
        <v>1552</v>
      </c>
      <c r="V148" s="1092" t="s">
        <v>1689</v>
      </c>
      <c r="W148" s="1091" t="s">
        <v>1685</v>
      </c>
      <c r="X148" s="1091" t="s">
        <v>1685</v>
      </c>
      <c r="Y148" s="1091" t="s">
        <v>1686</v>
      </c>
      <c r="Z148" s="1091" t="s">
        <v>1686</v>
      </c>
      <c r="AA148" s="1091" t="s">
        <v>1686</v>
      </c>
      <c r="AB148" s="1092" t="s">
        <v>2458</v>
      </c>
    </row>
    <row r="149" spans="1:28" ht="29.4" customHeight="1">
      <c r="A149" s="3174" t="s">
        <v>2063</v>
      </c>
      <c r="B149" s="3178" t="s">
        <v>3624</v>
      </c>
      <c r="C149" s="3176">
        <v>188711925</v>
      </c>
      <c r="D149" s="1106" t="s">
        <v>470</v>
      </c>
      <c r="E149" s="970">
        <v>30</v>
      </c>
      <c r="F149" s="973">
        <f t="shared" si="97"/>
        <v>1.3333333333333335</v>
      </c>
      <c r="G149" s="970">
        <v>75</v>
      </c>
      <c r="H149" s="974">
        <v>70</v>
      </c>
      <c r="I149" s="722"/>
      <c r="J149" s="657">
        <f>J151+J153</f>
        <v>50</v>
      </c>
      <c r="K149" s="722">
        <f t="shared" ref="K149:L149" si="111">K151+K153</f>
        <v>45</v>
      </c>
      <c r="L149" s="722">
        <f t="shared" si="111"/>
        <v>55</v>
      </c>
      <c r="M149" s="1557">
        <f>SUM(M151,M153)</f>
        <v>60</v>
      </c>
      <c r="N149" s="2130">
        <f t="shared" si="100"/>
        <v>0.22222222222222221</v>
      </c>
      <c r="O149" s="722">
        <f t="shared" ref="O149:R149" si="112">SUM(O151,O153)</f>
        <v>55</v>
      </c>
      <c r="P149" s="1557">
        <f t="shared" si="112"/>
        <v>55</v>
      </c>
      <c r="Q149" s="722">
        <v>55</v>
      </c>
      <c r="R149" s="1557">
        <f t="shared" si="112"/>
        <v>55</v>
      </c>
      <c r="S149" s="3195" t="s">
        <v>2368</v>
      </c>
      <c r="T149" s="2704" t="s">
        <v>4267</v>
      </c>
      <c r="U149" s="2694" t="s">
        <v>1553</v>
      </c>
      <c r="V149" s="2694" t="s">
        <v>1551</v>
      </c>
      <c r="W149" s="2694" t="s">
        <v>1372</v>
      </c>
      <c r="X149" s="2694" t="s">
        <v>1372</v>
      </c>
      <c r="Y149" s="2694" t="s">
        <v>1372</v>
      </c>
      <c r="Z149" s="2694" t="s">
        <v>1372</v>
      </c>
      <c r="AA149" s="2694" t="s">
        <v>1372</v>
      </c>
      <c r="AB149" s="2935" t="s">
        <v>2369</v>
      </c>
    </row>
    <row r="150" spans="1:28" ht="106.2" customHeight="1">
      <c r="A150" s="3174"/>
      <c r="B150" s="3178"/>
      <c r="C150" s="3176"/>
      <c r="D150" s="1099" t="s">
        <v>1067</v>
      </c>
      <c r="E150" s="964">
        <f>E149</f>
        <v>30</v>
      </c>
      <c r="F150" s="965">
        <f t="shared" si="97"/>
        <v>1.3333333333333335</v>
      </c>
      <c r="G150" s="964">
        <f t="shared" ref="G150:O150" si="113">G149</f>
        <v>75</v>
      </c>
      <c r="H150" s="988">
        <f t="shared" si="113"/>
        <v>70</v>
      </c>
      <c r="I150" s="728"/>
      <c r="J150" s="1056"/>
      <c r="K150" s="988">
        <f t="shared" si="113"/>
        <v>45</v>
      </c>
      <c r="L150" s="988">
        <f t="shared" si="113"/>
        <v>55</v>
      </c>
      <c r="M150" s="1558">
        <f t="shared" ref="M150" si="114">M149</f>
        <v>60</v>
      </c>
      <c r="N150" s="1243">
        <f t="shared" si="100"/>
        <v>0.22222222222222221</v>
      </c>
      <c r="O150" s="988">
        <f t="shared" si="113"/>
        <v>55</v>
      </c>
      <c r="P150" s="1558">
        <f t="shared" ref="P150:Q150" si="115">P149</f>
        <v>55</v>
      </c>
      <c r="Q150" s="988">
        <f t="shared" si="115"/>
        <v>55</v>
      </c>
      <c r="R150" s="1558">
        <f t="shared" ref="R150" si="116">R149</f>
        <v>55</v>
      </c>
      <c r="S150" s="3195"/>
      <c r="T150" s="2734"/>
      <c r="U150" s="2694"/>
      <c r="V150" s="2694"/>
      <c r="W150" s="2694"/>
      <c r="X150" s="2694"/>
      <c r="Y150" s="2694"/>
      <c r="Z150" s="2694"/>
      <c r="AA150" s="2694"/>
      <c r="AB150" s="2935"/>
    </row>
    <row r="151" spans="1:28" ht="29.4" hidden="1" customHeight="1">
      <c r="A151" s="475"/>
      <c r="B151" s="460" t="s">
        <v>3077</v>
      </c>
      <c r="C151" s="382"/>
      <c r="D151" s="1931" t="s">
        <v>470</v>
      </c>
      <c r="E151" s="1930"/>
      <c r="F151" s="1932"/>
      <c r="G151" s="1930"/>
      <c r="H151" s="218"/>
      <c r="I151" s="218"/>
      <c r="J151" s="1930">
        <v>45</v>
      </c>
      <c r="K151" s="218">
        <v>45</v>
      </c>
      <c r="L151" s="218">
        <v>50</v>
      </c>
      <c r="M151" s="1837">
        <v>55</v>
      </c>
      <c r="N151" s="1112">
        <f t="shared" si="100"/>
        <v>0.1111111111111111</v>
      </c>
      <c r="O151" s="218">
        <v>55</v>
      </c>
      <c r="P151" s="1837">
        <v>55</v>
      </c>
      <c r="Q151" s="218"/>
      <c r="R151" s="1837">
        <v>55</v>
      </c>
      <c r="S151" s="1311"/>
      <c r="T151" s="460" t="s">
        <v>3866</v>
      </c>
      <c r="U151" s="269"/>
      <c r="V151" s="269"/>
      <c r="W151" s="296"/>
      <c r="X151" s="296"/>
      <c r="Y151" s="296"/>
      <c r="Z151" s="296"/>
      <c r="AA151" s="296"/>
      <c r="AB151" s="269"/>
    </row>
    <row r="152" spans="1:28" ht="29.4" hidden="1" customHeight="1">
      <c r="A152" s="475"/>
      <c r="B152" s="460" t="s">
        <v>3078</v>
      </c>
      <c r="C152" s="382"/>
      <c r="D152" s="383"/>
      <c r="E152" s="343"/>
      <c r="F152" s="342"/>
      <c r="G152" s="343"/>
      <c r="H152" s="384"/>
      <c r="I152" s="445"/>
      <c r="J152" s="447"/>
      <c r="K152" s="445"/>
      <c r="L152" s="1929"/>
      <c r="M152" s="1594"/>
      <c r="N152" s="1112" t="e">
        <f t="shared" si="100"/>
        <v>#DIV/0!</v>
      </c>
      <c r="O152" s="445"/>
      <c r="P152" s="1602"/>
      <c r="Q152" s="445"/>
      <c r="R152" s="1602"/>
      <c r="S152" s="1312"/>
      <c r="T152" s="460"/>
      <c r="U152" s="269"/>
      <c r="V152" s="269"/>
      <c r="W152" s="296"/>
      <c r="X152" s="296"/>
      <c r="Y152" s="296"/>
      <c r="Z152" s="296"/>
      <c r="AA152" s="296"/>
      <c r="AB152" s="269"/>
    </row>
    <row r="153" spans="1:28" ht="29.4" hidden="1" customHeight="1">
      <c r="A153" s="475"/>
      <c r="B153" s="460" t="s">
        <v>3867</v>
      </c>
      <c r="C153" s="382"/>
      <c r="D153" s="1931" t="s">
        <v>470</v>
      </c>
      <c r="E153" s="1930"/>
      <c r="F153" s="1932"/>
      <c r="G153" s="1930"/>
      <c r="H153" s="218"/>
      <c r="I153" s="445"/>
      <c r="J153" s="447">
        <v>5</v>
      </c>
      <c r="K153" s="445">
        <v>0</v>
      </c>
      <c r="L153" s="1929">
        <v>5</v>
      </c>
      <c r="M153" s="1933">
        <v>5</v>
      </c>
      <c r="N153" s="1112" t="e">
        <f t="shared" si="100"/>
        <v>#DIV/0!</v>
      </c>
      <c r="O153" s="445">
        <v>0</v>
      </c>
      <c r="P153" s="1529">
        <v>0</v>
      </c>
      <c r="Q153" s="445">
        <v>0</v>
      </c>
      <c r="R153" s="1529">
        <v>0</v>
      </c>
      <c r="S153" s="1312"/>
      <c r="T153" s="460" t="s">
        <v>3868</v>
      </c>
      <c r="U153" s="269"/>
      <c r="V153" s="269"/>
      <c r="W153" s="296"/>
      <c r="X153" s="296"/>
      <c r="Y153" s="296"/>
      <c r="Z153" s="296"/>
      <c r="AA153" s="296"/>
      <c r="AB153" s="269"/>
    </row>
    <row r="154" spans="1:28" ht="29.4" hidden="1" customHeight="1">
      <c r="A154" s="366" t="s">
        <v>2061</v>
      </c>
      <c r="B154" s="367" t="s">
        <v>1255</v>
      </c>
      <c r="C154" s="366"/>
      <c r="D154" s="366"/>
      <c r="E154" s="334">
        <f>SUM(E157)</f>
        <v>0</v>
      </c>
      <c r="F154" s="335"/>
      <c r="G154" s="334">
        <f t="shared" ref="G154:L154" si="117">SUM(G157)</f>
        <v>0</v>
      </c>
      <c r="H154" s="368">
        <f t="shared" si="117"/>
        <v>0</v>
      </c>
      <c r="I154" s="206"/>
      <c r="J154" s="592"/>
      <c r="K154" s="368">
        <f t="shared" si="117"/>
        <v>0</v>
      </c>
      <c r="L154" s="405">
        <f t="shared" si="117"/>
        <v>0</v>
      </c>
      <c r="M154" s="1595">
        <f t="shared" ref="M154" si="118">SUM(M157)</f>
        <v>0</v>
      </c>
      <c r="N154" s="2141" t="e">
        <f t="shared" si="100"/>
        <v>#DIV/0!</v>
      </c>
      <c r="O154" s="368"/>
      <c r="P154" s="1608"/>
      <c r="Q154" s="368"/>
      <c r="R154" s="1608"/>
      <c r="S154" s="1310" t="s">
        <v>1005</v>
      </c>
      <c r="T154" s="366"/>
      <c r="U154" s="369" t="s">
        <v>1554</v>
      </c>
      <c r="V154" s="369" t="s">
        <v>1690</v>
      </c>
      <c r="W154" s="369" t="s">
        <v>433</v>
      </c>
      <c r="X154" s="369" t="s">
        <v>433</v>
      </c>
      <c r="Y154" s="369" t="s">
        <v>432</v>
      </c>
      <c r="Z154" s="369"/>
      <c r="AA154" s="215"/>
      <c r="AB154" s="369" t="s">
        <v>2352</v>
      </c>
    </row>
    <row r="155" spans="1:28" ht="29.4" hidden="1" customHeight="1">
      <c r="A155" s="3213" t="s">
        <v>2525</v>
      </c>
      <c r="B155" s="3215" t="s">
        <v>1256</v>
      </c>
      <c r="C155" s="3202">
        <v>188711925</v>
      </c>
      <c r="D155" s="378" t="s">
        <v>470</v>
      </c>
      <c r="E155" s="336"/>
      <c r="F155" s="339"/>
      <c r="G155" s="336"/>
      <c r="H155" s="370"/>
      <c r="I155" s="217"/>
      <c r="J155" s="471"/>
      <c r="K155" s="379"/>
      <c r="L155" s="380"/>
      <c r="M155" s="1596"/>
      <c r="N155" s="2141" t="e">
        <f t="shared" si="100"/>
        <v>#DIV/0!</v>
      </c>
      <c r="O155" s="371"/>
      <c r="P155" s="1601"/>
      <c r="Q155" s="371"/>
      <c r="R155" s="1601"/>
      <c r="S155" s="3209" t="s">
        <v>2360</v>
      </c>
      <c r="T155" s="3211" t="s">
        <v>1527</v>
      </c>
      <c r="U155" s="3171" t="s">
        <v>1555</v>
      </c>
      <c r="V155" s="3171" t="s">
        <v>357</v>
      </c>
      <c r="W155" s="3171" t="s">
        <v>433</v>
      </c>
      <c r="X155" s="3171" t="s">
        <v>433</v>
      </c>
      <c r="Y155" s="3171" t="s">
        <v>324</v>
      </c>
      <c r="Z155" s="399"/>
      <c r="AA155" s="1849"/>
      <c r="AB155" s="3200" t="s">
        <v>2355</v>
      </c>
    </row>
    <row r="156" spans="1:28" ht="29.4" hidden="1" customHeight="1">
      <c r="A156" s="3214"/>
      <c r="B156" s="3216"/>
      <c r="C156" s="3203"/>
      <c r="D156" s="375" t="s">
        <v>246</v>
      </c>
      <c r="E156" s="337"/>
      <c r="F156" s="341"/>
      <c r="G156" s="337"/>
      <c r="H156" s="371"/>
      <c r="I156" s="217"/>
      <c r="J156" s="471"/>
      <c r="K156" s="373"/>
      <c r="L156" s="372"/>
      <c r="M156" s="1597"/>
      <c r="N156" s="2141" t="e">
        <f t="shared" si="100"/>
        <v>#DIV/0!</v>
      </c>
      <c r="O156" s="371"/>
      <c r="P156" s="1601"/>
      <c r="Q156" s="371"/>
      <c r="R156" s="1601"/>
      <c r="S156" s="3210"/>
      <c r="T156" s="3211"/>
      <c r="U156" s="3171"/>
      <c r="V156" s="3171"/>
      <c r="W156" s="3171"/>
      <c r="X156" s="3171"/>
      <c r="Y156" s="3171"/>
      <c r="Z156" s="399"/>
      <c r="AA156" s="1849"/>
      <c r="AB156" s="3200"/>
    </row>
    <row r="157" spans="1:28" ht="29.4" hidden="1" customHeight="1">
      <c r="A157" s="3214"/>
      <c r="B157" s="3216"/>
      <c r="C157" s="3203"/>
      <c r="D157" s="376" t="s">
        <v>1067</v>
      </c>
      <c r="E157" s="338">
        <f>E155</f>
        <v>0</v>
      </c>
      <c r="F157" s="340"/>
      <c r="G157" s="338">
        <f t="shared" ref="G157:H157" si="119">G155</f>
        <v>0</v>
      </c>
      <c r="H157" s="374">
        <f t="shared" si="119"/>
        <v>0</v>
      </c>
      <c r="I157" s="212"/>
      <c r="J157" s="593"/>
      <c r="K157" s="374">
        <f>SUM(K155:K156)</f>
        <v>0</v>
      </c>
      <c r="L157" s="377">
        <f>SUM(L155:L156)</f>
        <v>0</v>
      </c>
      <c r="M157" s="1598">
        <f>SUM(M155:M156)</f>
        <v>0</v>
      </c>
      <c r="N157" s="2141" t="e">
        <f t="shared" si="100"/>
        <v>#DIV/0!</v>
      </c>
      <c r="O157" s="374"/>
      <c r="P157" s="1609"/>
      <c r="Q157" s="374"/>
      <c r="R157" s="1609"/>
      <c r="S157" s="3210"/>
      <c r="T157" s="3212"/>
      <c r="U157" s="3170"/>
      <c r="V157" s="3170"/>
      <c r="W157" s="3170"/>
      <c r="X157" s="3170"/>
      <c r="Y157" s="3170"/>
      <c r="Z157" s="399"/>
      <c r="AA157" s="1849"/>
      <c r="AB157" s="3200"/>
    </row>
    <row r="158" spans="1:28" ht="71.400000000000006" customHeight="1">
      <c r="A158" s="3205"/>
      <c r="B158" s="3205"/>
      <c r="C158" s="3205"/>
      <c r="D158" s="3205"/>
      <c r="E158" s="344" t="s">
        <v>1081</v>
      </c>
      <c r="F158" s="344"/>
      <c r="G158" s="344" t="str">
        <f>G14</f>
        <v>2024  m. išlaidų projektas (lėšų poreikis), tūkst. Eur</v>
      </c>
      <c r="H158" s="385" t="str">
        <f>H14</f>
        <v>2024  m. asignavimai ir kitos lėšos, tūkst. Eur</v>
      </c>
      <c r="I158" s="184" t="s">
        <v>2882</v>
      </c>
      <c r="J158" s="594" t="s">
        <v>2883</v>
      </c>
      <c r="K158" s="385" t="str">
        <f>K14</f>
        <v>2025 m. asignavimai ir kitos lėšos, tūkst. Eur</v>
      </c>
      <c r="L158" s="386" t="str">
        <f>L14</f>
        <v>2026 m. asignavimai ir kitos lėšos, tūkst. Eur</v>
      </c>
      <c r="M158" s="1599" t="str">
        <f>M14</f>
        <v>2026 m.asignavimai ir kitos lėšos, tūkst. Eur
(poreikis)</v>
      </c>
      <c r="N158" s="2182"/>
      <c r="O158" s="385" t="s">
        <v>2881</v>
      </c>
      <c r="P158" s="1610" t="str">
        <f>P14</f>
        <v>2027 m.asignavimai ir kitos lėšos, tūkst. Eur
(poreikis)</v>
      </c>
      <c r="Q158" s="385" t="str">
        <f>Q14</f>
        <v>2028 m.asignavimai ir kitos lėšos, tūkst. Eur</v>
      </c>
      <c r="R158" s="1610" t="str">
        <f>R14</f>
        <v>2028 m.asignavimai ir kitos lėšos, tūkst. Eur
(poreikis)</v>
      </c>
      <c r="S158" s="3226"/>
      <c r="T158" s="3226"/>
      <c r="U158" s="3226"/>
      <c r="V158" s="3226"/>
      <c r="W158" s="3226"/>
      <c r="X158" s="3226"/>
      <c r="Y158" s="3226"/>
      <c r="Z158" s="3226"/>
      <c r="AA158" s="3226"/>
      <c r="AB158" s="3226"/>
    </row>
    <row r="159" spans="1:28" ht="40.799999999999997" customHeight="1">
      <c r="A159" s="3206"/>
      <c r="B159" s="3201" t="s">
        <v>720</v>
      </c>
      <c r="C159" s="3201"/>
      <c r="D159" s="3201"/>
      <c r="E159" s="345">
        <f>SUM(E160:E167)</f>
        <v>3793.1120000000005</v>
      </c>
      <c r="F159" s="346">
        <f t="shared" si="97"/>
        <v>0.12254449644513543</v>
      </c>
      <c r="G159" s="345">
        <f>SUM(G160,G163,G164,G165,G166,G167,)</f>
        <v>4580.246000000001</v>
      </c>
      <c r="H159" s="387">
        <f>SUM(H160,H163,H164,H165,H166,H167,)</f>
        <v>4257.9370000000008</v>
      </c>
      <c r="I159" s="224">
        <f>J159/H159-1</f>
        <v>5.1433358455045042E-2</v>
      </c>
      <c r="J159" s="558">
        <f t="shared" ref="J159" si="120">SUM(J160,J163,J164,J165,J166,J167,)</f>
        <v>4476.9369999999999</v>
      </c>
      <c r="K159" s="387">
        <f>SUM(K160,K163,K164,K165,K166,K167,)</f>
        <v>5190.3639999999996</v>
      </c>
      <c r="L159" s="387">
        <f t="shared" ref="L159:O159" si="121">SUM(L160,L163,L164,L165,L166,L167,)</f>
        <v>5985.2150000000001</v>
      </c>
      <c r="M159" s="1600">
        <f t="shared" ref="M159" si="122">SUM(M160,M163,M164,M165,M166,M167,)</f>
        <v>6110.0829999999996</v>
      </c>
      <c r="N159" s="2130">
        <f t="shared" si="100"/>
        <v>0.15313974125899468</v>
      </c>
      <c r="O159" s="390">
        <f t="shared" si="121"/>
        <v>6453.375</v>
      </c>
      <c r="P159" s="1604">
        <f t="shared" ref="P159:Q159" si="123">SUM(P160,P163,P164,P165,P166,P167,)</f>
        <v>6463.6180000000004</v>
      </c>
      <c r="Q159" s="390">
        <f t="shared" si="123"/>
        <v>5514.7174500000001</v>
      </c>
      <c r="R159" s="1604">
        <f t="shared" ref="R159" si="124">SUM(R160,R163,R164,R165,R166,R167,)</f>
        <v>5509.7430000000004</v>
      </c>
      <c r="S159" s="1313"/>
      <c r="T159" s="388"/>
      <c r="U159" s="388"/>
      <c r="V159" s="388"/>
      <c r="W159" s="388"/>
      <c r="X159" s="388"/>
      <c r="Y159" s="388"/>
      <c r="Z159" s="388"/>
      <c r="AA159" s="223"/>
      <c r="AB159" s="388"/>
    </row>
    <row r="160" spans="1:28" ht="42" customHeight="1">
      <c r="A160" s="3207"/>
      <c r="B160" s="3204" t="s">
        <v>1913</v>
      </c>
      <c r="C160" s="3204"/>
      <c r="D160" s="3204"/>
      <c r="E160" s="337">
        <f>SUM(E17,E21,E26,E28,E37,E46,E62,E68,E82,E85,E94,E98,E105,E113,E123,E146,E149,E155,E106,E95,E86,E69,E38,E18)</f>
        <v>3793.1120000000005</v>
      </c>
      <c r="F160" s="346">
        <f t="shared" si="97"/>
        <v>2.2624694446143456E-2</v>
      </c>
      <c r="G160" s="337">
        <f>SUM(G17,G21,G26,G28,G37,G46,G62,G68,G82,G85,G94,G98,G105,G113,G123,G146,G149,G155,)</f>
        <v>4580.246000000001</v>
      </c>
      <c r="H160" s="371">
        <f>SUM(H17,H21,H26,H28,H37,H46,H68,H82,H85,H94,H105,H113,H123,H146,H149,H155,H161)</f>
        <v>3878.9300000000003</v>
      </c>
      <c r="I160" s="442">
        <f t="shared" ref="I160:I170" si="125">J160/H160-1</f>
        <v>0.101335677622437</v>
      </c>
      <c r="J160" s="526">
        <f>SUM(J17,J21,J26,J28,J37,J46,J68,J82,J85,J94,J105,J113,J123,J146,J149,J155,J161)</f>
        <v>4272.0039999999999</v>
      </c>
      <c r="K160" s="371">
        <f>SUM(K17,K21,K26,K28,K37,K46,K68,K82,K85,K94,K105,K113,K123,K146,K149,K155,K161,K34,K63,K118,K142,K162)</f>
        <v>4422.2699999999995</v>
      </c>
      <c r="L160" s="371">
        <f>SUM(L17,L21,L26,L28,L37,L46,L68,L82,L85,L94,L105,L113,L123,L146,L149,L155,L161,L34,L63,L118,L142,L162)</f>
        <v>4648.75</v>
      </c>
      <c r="M160" s="1601">
        <f>SUM(M17,M21,M26,M28,M37,M46,M68,M82,M85,M94,M105,M113,M123,M146,M149,M155,M161,M63,M118,M142,M162,)</f>
        <v>5368.1279999999997</v>
      </c>
      <c r="N160" s="2130">
        <f t="shared" si="100"/>
        <v>5.1213517039891389E-2</v>
      </c>
      <c r="O160" s="371">
        <f>SUM(O17,O21,O26,O28,O37,O46,O68,O82,O85,O94,O105,O113,O123,O146,O149,O155,O161,O34,O63,O118,O142,O162)</f>
        <v>5496.299</v>
      </c>
      <c r="P160" s="1601">
        <f>SUM(P17,P21,P26,P28,P37,P46,P68,P82,P85,P94,P105,P113,P123,P146,P149,P155,P161,P34,P63,P118,P142,P162)</f>
        <v>5517.3940000000002</v>
      </c>
      <c r="Q160" s="371">
        <f>SUM(Q17,Q21,Q26,Q28,Q37,Q46,Q68,Q82,Q85,Q94,Q105,Q113,Q123,Q146,Q149,Q155,Q161,Q34,Q63,Q118,Q142,Q162)</f>
        <v>5160.8264500000005</v>
      </c>
      <c r="R160" s="1601">
        <f>SUM(R17,R21,R26,R28,R37,R46,R68,R82,R85,R94,R105,R113,R123,R146,R149,R155,R161,R34,R63,R118,R142,R162)</f>
        <v>5155.8520000000008</v>
      </c>
      <c r="S160" s="1314"/>
      <c r="T160" s="388"/>
      <c r="U160" s="388"/>
      <c r="V160" s="388"/>
      <c r="W160" s="388"/>
      <c r="X160" s="388"/>
      <c r="Y160" s="388"/>
      <c r="Z160" s="388"/>
      <c r="AA160" s="223"/>
      <c r="AB160" s="388"/>
    </row>
    <row r="161" spans="1:28" ht="29.4" hidden="1" customHeight="1">
      <c r="A161" s="3207"/>
      <c r="B161" s="2737" t="s">
        <v>4117</v>
      </c>
      <c r="C161" s="2738"/>
      <c r="D161" s="2739"/>
      <c r="E161" s="446"/>
      <c r="F161" s="642"/>
      <c r="G161" s="446"/>
      <c r="H161" s="445">
        <f>SUM(H69,H38,H18,H106,H95,H86,)</f>
        <v>46.9</v>
      </c>
      <c r="I161" s="557">
        <f t="shared" si="125"/>
        <v>-1</v>
      </c>
      <c r="J161" s="445"/>
      <c r="K161" s="445">
        <f>SUM(K18,K38,K69,K86,K106,K95,K48,)</f>
        <v>50.099999999999994</v>
      </c>
      <c r="L161" s="445">
        <f>SUM(L18,L38,L69,L86,L106,L95,L48,)</f>
        <v>50</v>
      </c>
      <c r="M161" s="445">
        <f>SUM(M18,M38,M69,M86,M106,M95,)</f>
        <v>88.649999999999991</v>
      </c>
      <c r="N161" s="1112">
        <f t="shared" si="100"/>
        <v>-1.9960079840318228E-3</v>
      </c>
      <c r="O161" s="445">
        <f>SUM(O18,O38,O69,O86,O106,O95,)</f>
        <v>75.2</v>
      </c>
      <c r="P161" s="445">
        <f>SUM(P18,P38,P69,P86,P106,P95,)</f>
        <v>75.311999999999998</v>
      </c>
      <c r="Q161" s="445">
        <f>SUM(Q18,Q38,Q69,Q86,Q106,Q95,)</f>
        <v>75.2</v>
      </c>
      <c r="R161" s="445">
        <f>SUM(R18,R38,R69,R86,R106,R95,)</f>
        <v>75.281999999999996</v>
      </c>
      <c r="S161" s="1314"/>
      <c r="T161" s="388"/>
      <c r="U161" s="388"/>
      <c r="V161" s="388"/>
      <c r="W161" s="388"/>
      <c r="X161" s="388"/>
      <c r="Y161" s="388"/>
      <c r="Z161" s="388"/>
      <c r="AA161" s="223"/>
      <c r="AB161" s="388"/>
    </row>
    <row r="162" spans="1:28" ht="29.4" hidden="1" customHeight="1">
      <c r="A162" s="3207"/>
      <c r="B162" s="2737" t="s">
        <v>4118</v>
      </c>
      <c r="C162" s="2738"/>
      <c r="D162" s="2739"/>
      <c r="E162" s="446"/>
      <c r="F162" s="642"/>
      <c r="G162" s="446"/>
      <c r="H162" s="445"/>
      <c r="I162" s="557"/>
      <c r="J162" s="445"/>
      <c r="K162" s="445">
        <f>SUM(K19,K39,K70,K87,K96,K107,K49,)</f>
        <v>52.92</v>
      </c>
      <c r="L162" s="445">
        <f>SUM(L19,L39,L70,L87,L96,L107,L49,)</f>
        <v>30.87</v>
      </c>
      <c r="M162" s="445">
        <f>SUM(M19,M39,M70,M87,M96,M107,)</f>
        <v>12</v>
      </c>
      <c r="N162" s="1112">
        <f t="shared" si="100"/>
        <v>-0.41666666666666669</v>
      </c>
      <c r="O162" s="445">
        <f>SUM(O19,O39,O70,O87,O96,O107,)</f>
        <v>0</v>
      </c>
      <c r="P162" s="445">
        <f>SUM(P19,P39,P70,P87,P96,P107,)</f>
        <v>0</v>
      </c>
      <c r="Q162" s="445">
        <f>SUM(Q19,Q39,Q70,Q87,Q96,Q107,)</f>
        <v>0</v>
      </c>
      <c r="R162" s="445">
        <f>SUM(R19,R39,R70,R87,R96,R107,)</f>
        <v>0</v>
      </c>
      <c r="S162" s="1314"/>
      <c r="T162" s="388"/>
      <c r="U162" s="388"/>
      <c r="V162" s="388"/>
      <c r="W162" s="388"/>
      <c r="X162" s="388"/>
      <c r="Y162" s="388"/>
      <c r="Z162" s="388"/>
      <c r="AA162" s="223"/>
      <c r="AB162" s="388"/>
    </row>
    <row r="163" spans="1:28" ht="29.4" customHeight="1">
      <c r="A163" s="3207"/>
      <c r="B163" s="3204" t="s">
        <v>722</v>
      </c>
      <c r="C163" s="3204"/>
      <c r="D163" s="3204"/>
      <c r="E163" s="337">
        <v>0</v>
      </c>
      <c r="F163" s="346"/>
      <c r="G163" s="337">
        <v>0</v>
      </c>
      <c r="H163" s="371">
        <f>H30</f>
        <v>12.686</v>
      </c>
      <c r="I163" s="442">
        <f t="shared" si="125"/>
        <v>-1</v>
      </c>
      <c r="J163" s="526">
        <f>J30</f>
        <v>0</v>
      </c>
      <c r="K163" s="371">
        <f>K30</f>
        <v>0</v>
      </c>
      <c r="L163" s="371">
        <f>L30</f>
        <v>0</v>
      </c>
      <c r="M163" s="1601">
        <f>M30</f>
        <v>0</v>
      </c>
      <c r="N163" s="2130"/>
      <c r="O163" s="371">
        <f>O30</f>
        <v>0</v>
      </c>
      <c r="P163" s="1601">
        <f>P30</f>
        <v>0</v>
      </c>
      <c r="Q163" s="371">
        <f>Q30</f>
        <v>0</v>
      </c>
      <c r="R163" s="1601">
        <f>R30</f>
        <v>0</v>
      </c>
      <c r="S163" s="1315"/>
      <c r="T163" s="388"/>
      <c r="U163" s="388"/>
      <c r="V163" s="388"/>
      <c r="W163" s="388"/>
      <c r="X163" s="388"/>
      <c r="Y163" s="388"/>
      <c r="Z163" s="388"/>
      <c r="AA163" s="223"/>
      <c r="AB163" s="388"/>
    </row>
    <row r="164" spans="1:28" ht="29.4" customHeight="1">
      <c r="A164" s="3207"/>
      <c r="B164" s="3204" t="s">
        <v>723</v>
      </c>
      <c r="C164" s="3204"/>
      <c r="D164" s="3204"/>
      <c r="E164" s="337">
        <v>0</v>
      </c>
      <c r="F164" s="346"/>
      <c r="G164" s="337">
        <v>0</v>
      </c>
      <c r="H164" s="371">
        <v>0</v>
      </c>
      <c r="I164" s="442">
        <v>0</v>
      </c>
      <c r="J164" s="526">
        <v>0</v>
      </c>
      <c r="K164" s="371">
        <v>0</v>
      </c>
      <c r="L164" s="371">
        <v>0</v>
      </c>
      <c r="M164" s="1601">
        <v>0</v>
      </c>
      <c r="N164" s="2130"/>
      <c r="O164" s="371">
        <v>0</v>
      </c>
      <c r="P164" s="1601">
        <v>0</v>
      </c>
      <c r="Q164" s="371">
        <v>0</v>
      </c>
      <c r="R164" s="1601">
        <v>0</v>
      </c>
      <c r="S164" s="1315"/>
      <c r="T164" s="388"/>
      <c r="U164" s="388"/>
      <c r="V164" s="388"/>
      <c r="W164" s="388"/>
      <c r="X164" s="388"/>
      <c r="Y164" s="388"/>
      <c r="Z164" s="388"/>
      <c r="AA164" s="223"/>
      <c r="AB164" s="388"/>
    </row>
    <row r="165" spans="1:28" ht="29.4" customHeight="1">
      <c r="A165" s="3207"/>
      <c r="B165" s="3204" t="s">
        <v>2687</v>
      </c>
      <c r="C165" s="3204"/>
      <c r="D165" s="3204"/>
      <c r="E165" s="337">
        <v>0</v>
      </c>
      <c r="F165" s="346"/>
      <c r="G165" s="337">
        <f>SUM(G115,G64,)</f>
        <v>0</v>
      </c>
      <c r="H165" s="371">
        <f>SUM(H115,H64,)</f>
        <v>0</v>
      </c>
      <c r="I165" s="442" t="e">
        <f t="shared" si="125"/>
        <v>#DIV/0!</v>
      </c>
      <c r="J165" s="526">
        <f>SUM(J115,J64,)</f>
        <v>196.38499999999999</v>
      </c>
      <c r="K165" s="371">
        <f>SUM(K115,K64,K119,)</f>
        <v>497.19299999999998</v>
      </c>
      <c r="L165" s="371">
        <f>SUM(L115,L64,L119,)</f>
        <v>741.95499999999993</v>
      </c>
      <c r="M165" s="1601">
        <f>SUM(M115,M64,M119,)</f>
        <v>741.95499999999993</v>
      </c>
      <c r="N165" s="2130">
        <f t="shared" si="100"/>
        <v>0.49228770316557141</v>
      </c>
      <c r="O165" s="371">
        <f>SUM(O115,O64,O119,)</f>
        <v>946.22399999999993</v>
      </c>
      <c r="P165" s="1601">
        <f>SUM(P115,P64,P119,)</f>
        <v>946.22399999999993</v>
      </c>
      <c r="Q165" s="371">
        <f>SUM(Q115,Q64,Q119,)</f>
        <v>353.89100000000002</v>
      </c>
      <c r="R165" s="1601">
        <f>SUM(R115,R64,R119,)</f>
        <v>353.89100000000002</v>
      </c>
      <c r="S165" s="1315"/>
      <c r="T165" s="388"/>
      <c r="U165" s="388"/>
      <c r="V165" s="388"/>
      <c r="W165" s="388"/>
      <c r="X165" s="388"/>
      <c r="Y165" s="388"/>
      <c r="Z165" s="388"/>
      <c r="AA165" s="223"/>
      <c r="AB165" s="388"/>
    </row>
    <row r="166" spans="1:28" ht="29.4" customHeight="1">
      <c r="A166" s="3207"/>
      <c r="B166" s="3204" t="s">
        <v>724</v>
      </c>
      <c r="C166" s="3204"/>
      <c r="D166" s="3204"/>
      <c r="E166" s="337">
        <v>0</v>
      </c>
      <c r="F166" s="346"/>
      <c r="G166" s="337">
        <v>0</v>
      </c>
      <c r="H166" s="371">
        <v>0</v>
      </c>
      <c r="I166" s="442" t="e">
        <f t="shared" si="125"/>
        <v>#DIV/0!</v>
      </c>
      <c r="J166" s="526">
        <v>0</v>
      </c>
      <c r="K166" s="371">
        <f>SUM(K66)</f>
        <v>0</v>
      </c>
      <c r="L166" s="371">
        <f>SUM(L66)</f>
        <v>17.373999999999999</v>
      </c>
      <c r="M166" s="1601">
        <f>SUM(M66)</f>
        <v>0</v>
      </c>
      <c r="N166" s="2130"/>
      <c r="O166" s="371">
        <f>SUM(O66)</f>
        <v>10.852</v>
      </c>
      <c r="P166" s="1601">
        <f>SUM(P66)</f>
        <v>0</v>
      </c>
      <c r="Q166" s="371">
        <f>SUM(Q66)</f>
        <v>0</v>
      </c>
      <c r="R166" s="1601">
        <f>SUM(R66)</f>
        <v>0</v>
      </c>
      <c r="S166" s="1315"/>
      <c r="T166" s="388"/>
      <c r="U166" s="388"/>
      <c r="V166" s="388"/>
      <c r="W166" s="388"/>
      <c r="X166" s="388"/>
      <c r="Y166" s="388"/>
      <c r="Z166" s="388"/>
      <c r="AA166" s="223"/>
      <c r="AB166" s="388"/>
    </row>
    <row r="167" spans="1:28" ht="29.4" customHeight="1">
      <c r="A167" s="3207"/>
      <c r="B167" s="3204" t="s">
        <v>725</v>
      </c>
      <c r="C167" s="3204"/>
      <c r="D167" s="3204"/>
      <c r="E167" s="337">
        <v>0</v>
      </c>
      <c r="F167" s="346"/>
      <c r="G167" s="337">
        <v>0</v>
      </c>
      <c r="H167" s="371">
        <f>SUM(H62,H98,H117,H19,H96,H39)</f>
        <v>366.32099999999997</v>
      </c>
      <c r="I167" s="442">
        <f t="shared" si="125"/>
        <v>-0.97666527444509055</v>
      </c>
      <c r="J167" s="526">
        <f>SUM(J62,J98,J117,J19,J96,J39)</f>
        <v>8.548</v>
      </c>
      <c r="K167" s="371">
        <f>SUM(K62,K98,K114,K117,K47,K29)</f>
        <v>270.90100000000001</v>
      </c>
      <c r="L167" s="371">
        <f>SUM(L117,L114,L47,L62,)</f>
        <v>577.13599999999997</v>
      </c>
      <c r="M167" s="1601">
        <f>SUM(M117,M114,M47,)</f>
        <v>0</v>
      </c>
      <c r="N167" s="2130">
        <f t="shared" si="100"/>
        <v>1.1304314122133177</v>
      </c>
      <c r="O167" s="371">
        <f>SUM(O62,O98,O114,O117,O47)</f>
        <v>0</v>
      </c>
      <c r="P167" s="1601">
        <f>SUM(P62,P98,P114,P117,P47)</f>
        <v>0</v>
      </c>
      <c r="Q167" s="371">
        <f>SUM(Q62,Q98,Q114,Q117,Q47)</f>
        <v>0</v>
      </c>
      <c r="R167" s="1601">
        <f>SUM(R62,R98,R114,R117,R47)</f>
        <v>0</v>
      </c>
      <c r="S167" s="1315"/>
      <c r="T167" s="388"/>
      <c r="U167" s="388"/>
      <c r="V167" s="388"/>
      <c r="W167" s="388"/>
      <c r="X167" s="388"/>
      <c r="Y167" s="388"/>
      <c r="Z167" s="388"/>
      <c r="AA167" s="223"/>
      <c r="AB167" s="388"/>
    </row>
    <row r="168" spans="1:28" ht="46.2" customHeight="1">
      <c r="A168" s="3207"/>
      <c r="B168" s="3201" t="s">
        <v>726</v>
      </c>
      <c r="C168" s="3201"/>
      <c r="D168" s="3201"/>
      <c r="E168" s="348">
        <v>164.13300000000001</v>
      </c>
      <c r="F168" s="349">
        <f t="shared" si="97"/>
        <v>-0.13869849451359573</v>
      </c>
      <c r="G168" s="350"/>
      <c r="H168" s="389">
        <f>H99</f>
        <v>141.36799999999999</v>
      </c>
      <c r="I168" s="621">
        <f t="shared" si="125"/>
        <v>-1</v>
      </c>
      <c r="J168" s="596">
        <f>J99</f>
        <v>0</v>
      </c>
      <c r="K168" s="389">
        <f>K99</f>
        <v>0</v>
      </c>
      <c r="L168" s="389">
        <f>SUM(L120)</f>
        <v>132.709</v>
      </c>
      <c r="M168" s="1603">
        <f>M99</f>
        <v>0</v>
      </c>
      <c r="N168" s="2130"/>
      <c r="O168" s="389">
        <f>SUM(O120)</f>
        <v>132.709</v>
      </c>
      <c r="P168" s="1603">
        <f>P99</f>
        <v>0</v>
      </c>
      <c r="Q168" s="389">
        <f>SUM(Q120)</f>
        <v>0</v>
      </c>
      <c r="R168" s="1603">
        <f>R99</f>
        <v>0</v>
      </c>
      <c r="S168" s="1315"/>
      <c r="T168" s="388"/>
      <c r="U168" s="388"/>
      <c r="V168" s="388"/>
      <c r="W168" s="388"/>
      <c r="X168" s="388"/>
      <c r="Y168" s="388"/>
      <c r="Z168" s="388"/>
      <c r="AA168" s="223"/>
      <c r="AB168" s="388"/>
    </row>
    <row r="169" spans="1:28" ht="29.4" customHeight="1">
      <c r="A169" s="3207"/>
      <c r="B169" s="3201" t="s">
        <v>1082</v>
      </c>
      <c r="C169" s="3201"/>
      <c r="D169" s="3201"/>
      <c r="E169" s="351">
        <f>SUM(E159,E168)</f>
        <v>3957.2450000000003</v>
      </c>
      <c r="F169" s="352">
        <f t="shared" si="97"/>
        <v>0.11170902989327192</v>
      </c>
      <c r="G169" s="353">
        <f>G159+G168</f>
        <v>4580.246000000001</v>
      </c>
      <c r="H169" s="390">
        <f>H159+H168</f>
        <v>4399.3050000000012</v>
      </c>
      <c r="I169" s="315">
        <f t="shared" si="125"/>
        <v>1.7646423696469959E-2</v>
      </c>
      <c r="J169" s="559">
        <f t="shared" ref="J169" si="126">J159+J168</f>
        <v>4476.9369999999999</v>
      </c>
      <c r="K169" s="390">
        <f>K159+K168</f>
        <v>5190.3639999999996</v>
      </c>
      <c r="L169" s="390">
        <f t="shared" ref="L169:O169" si="127">L159+L168</f>
        <v>6117.924</v>
      </c>
      <c r="M169" s="1604">
        <f t="shared" ref="M169" si="128">M159+M168</f>
        <v>6110.0829999999996</v>
      </c>
      <c r="N169" s="2130">
        <f t="shared" si="100"/>
        <v>0.1787080829013149</v>
      </c>
      <c r="O169" s="390">
        <f t="shared" si="127"/>
        <v>6586.0839999999998</v>
      </c>
      <c r="P169" s="1604">
        <f t="shared" ref="P169:Q169" si="129">P159+P168</f>
        <v>6463.6180000000004</v>
      </c>
      <c r="Q169" s="390">
        <f t="shared" si="129"/>
        <v>5514.7174500000001</v>
      </c>
      <c r="R169" s="1604">
        <f t="shared" ref="R169" si="130">R159+R168</f>
        <v>5509.7430000000004</v>
      </c>
      <c r="S169" s="1313"/>
      <c r="T169" s="388"/>
      <c r="U169" s="388"/>
      <c r="V169" s="388"/>
      <c r="W169" s="388"/>
      <c r="X169" s="388"/>
      <c r="Y169" s="388"/>
      <c r="Z169" s="388"/>
      <c r="AA169" s="223"/>
      <c r="AB169" s="388"/>
    </row>
    <row r="170" spans="1:28" ht="29.4" customHeight="1">
      <c r="A170" s="3207"/>
      <c r="B170" s="3201" t="s">
        <v>1914</v>
      </c>
      <c r="C170" s="3201"/>
      <c r="D170" s="3201"/>
      <c r="E170" s="345">
        <v>0</v>
      </c>
      <c r="F170" s="347"/>
      <c r="G170" s="345">
        <f>SUM(G157,G116,G67)</f>
        <v>120.605</v>
      </c>
      <c r="H170" s="387">
        <f>SUM(H157,H116,H67,H121)</f>
        <v>236.03700000000001</v>
      </c>
      <c r="I170" s="224">
        <f t="shared" si="125"/>
        <v>1.4781453755131611</v>
      </c>
      <c r="J170" s="558">
        <f>SUM(J157,J116,J67,J121)</f>
        <v>584.93399999999997</v>
      </c>
      <c r="K170" s="387">
        <f>SUM(K157,K116,K67,K121)</f>
        <v>584.93399999999997</v>
      </c>
      <c r="L170" s="387">
        <f>SUM(L157,L67,L121)</f>
        <v>1082.038</v>
      </c>
      <c r="M170" s="1600">
        <f>SUM(M157,M116,M67,M121)</f>
        <v>772.98</v>
      </c>
      <c r="N170" s="2130">
        <f t="shared" si="100"/>
        <v>0.84984630744665224</v>
      </c>
      <c r="O170" s="387">
        <f>SUM(O157,O116,O67,O121)</f>
        <v>1094.385</v>
      </c>
      <c r="P170" s="1600">
        <f>SUM(P157,P116,P67,P121)</f>
        <v>961.67599999999993</v>
      </c>
      <c r="Q170" s="387">
        <f>SUM(Q157,Q116,Q67,Q121)</f>
        <v>358.49100000000004</v>
      </c>
      <c r="R170" s="1600">
        <f>SUM(R157,R116,R67,R121)</f>
        <v>358.49100000000004</v>
      </c>
      <c r="S170" s="1313"/>
      <c r="T170" s="388"/>
      <c r="U170" s="388"/>
      <c r="V170" s="388"/>
      <c r="W170" s="388"/>
      <c r="X170" s="388"/>
      <c r="Y170" s="388"/>
      <c r="Z170" s="388"/>
      <c r="AA170" s="223"/>
      <c r="AB170" s="388"/>
    </row>
    <row r="171" spans="1:28" ht="41.4" customHeight="1">
      <c r="A171" s="3208"/>
      <c r="B171" s="3201" t="s">
        <v>727</v>
      </c>
      <c r="C171" s="3201"/>
      <c r="D171" s="3201"/>
      <c r="E171" s="345">
        <v>0</v>
      </c>
      <c r="F171" s="347"/>
      <c r="G171" s="345">
        <v>0</v>
      </c>
      <c r="H171" s="391">
        <f>H169/E169-1</f>
        <v>0.11170902989327192</v>
      </c>
      <c r="I171" s="302"/>
      <c r="J171" s="597"/>
      <c r="K171" s="391">
        <f>K169/H169-1</f>
        <v>0.17981453888739196</v>
      </c>
      <c r="L171" s="391">
        <f>(L169-K169)/K169</f>
        <v>0.1787080829013149</v>
      </c>
      <c r="M171" s="1605"/>
      <c r="N171" s="2130"/>
      <c r="O171" s="391">
        <f>(O169-L169)/L169</f>
        <v>7.6522689722853671E-2</v>
      </c>
      <c r="P171" s="1605"/>
      <c r="Q171" s="391">
        <f>(Q169-O169)/O169</f>
        <v>-0.16267125502802574</v>
      </c>
      <c r="R171" s="1605"/>
      <c r="S171" s="1313"/>
      <c r="T171" s="388"/>
      <c r="U171" s="388"/>
      <c r="V171" s="388"/>
      <c r="W171" s="388"/>
      <c r="X171" s="388"/>
      <c r="Y171" s="388"/>
      <c r="Z171" s="388"/>
      <c r="AA171" s="223"/>
      <c r="AB171" s="388"/>
    </row>
    <row r="172" spans="1:28" ht="29.4" customHeight="1">
      <c r="E172" s="364"/>
      <c r="F172" s="364"/>
    </row>
    <row r="173" spans="1:28" ht="29.4" hidden="1" customHeight="1">
      <c r="B173" s="392"/>
      <c r="C173" s="392"/>
      <c r="D173" s="392"/>
      <c r="E173" s="648"/>
      <c r="F173" s="648"/>
      <c r="G173" s="648"/>
      <c r="H173" s="648"/>
      <c r="I173" s="648"/>
      <c r="J173" s="648" t="s">
        <v>3557</v>
      </c>
      <c r="K173" s="648">
        <v>4570.1509999999998</v>
      </c>
      <c r="L173" s="648"/>
      <c r="M173" s="1606"/>
      <c r="N173" s="163"/>
      <c r="O173" s="392"/>
      <c r="P173" s="1611"/>
      <c r="Q173" s="392"/>
      <c r="R173" s="1611"/>
      <c r="S173" s="1316"/>
    </row>
    <row r="174" spans="1:28" ht="29.4" hidden="1" customHeight="1">
      <c r="E174" s="364"/>
      <c r="F174" s="364"/>
      <c r="H174" s="393"/>
      <c r="I174" s="333"/>
      <c r="J174" s="471"/>
      <c r="K174" s="1416">
        <f>K173-K160-K166-K167</f>
        <v>-123.0199999999997</v>
      </c>
      <c r="L174" s="364" t="s">
        <v>3720</v>
      </c>
      <c r="M174" s="1590" t="s">
        <v>3720</v>
      </c>
    </row>
    <row r="175" spans="1:28" ht="29.4" hidden="1" customHeight="1">
      <c r="E175" s="364"/>
      <c r="F175" s="364"/>
      <c r="H175" s="393"/>
      <c r="I175" s="333"/>
      <c r="J175" s="471"/>
    </row>
    <row r="176" spans="1:28" ht="29.4" hidden="1" customHeight="1">
      <c r="E176" s="364"/>
      <c r="F176" s="364"/>
      <c r="H176" s="393"/>
      <c r="I176" s="333"/>
      <c r="J176" s="471"/>
      <c r="K176" s="364">
        <v>4673.1710000000003</v>
      </c>
      <c r="L176" s="364">
        <v>5668.4750000000004</v>
      </c>
      <c r="M176" s="1590">
        <v>5668.4750000000004</v>
      </c>
      <c r="O176" s="364">
        <v>4812.3370000000004</v>
      </c>
      <c r="P176" s="1590">
        <v>4812.3370000000004</v>
      </c>
      <c r="Q176" s="364">
        <v>4812.3370000000004</v>
      </c>
      <c r="R176" s="1590">
        <v>4812.3370000000004</v>
      </c>
    </row>
    <row r="177" spans="5:19" ht="29.4" hidden="1" customHeight="1">
      <c r="E177" s="364"/>
      <c r="F177" s="364"/>
      <c r="J177" s="795" t="s">
        <v>246</v>
      </c>
      <c r="K177" s="796">
        <f t="shared" ref="K177:R177" si="131">K169-K176</f>
        <v>517.1929999999993</v>
      </c>
      <c r="L177" s="393">
        <f t="shared" si="131"/>
        <v>449.44899999999961</v>
      </c>
      <c r="M177" s="1607">
        <f t="shared" si="131"/>
        <v>441.60799999999927</v>
      </c>
      <c r="N177" s="333"/>
      <c r="O177" s="393">
        <f t="shared" si="131"/>
        <v>1773.7469999999994</v>
      </c>
      <c r="P177" s="1607">
        <f t="shared" si="131"/>
        <v>1651.2809999999999</v>
      </c>
      <c r="Q177" s="393">
        <f t="shared" si="131"/>
        <v>702.38044999999966</v>
      </c>
      <c r="R177" s="1607">
        <f t="shared" si="131"/>
        <v>697.40599999999995</v>
      </c>
    </row>
    <row r="178" spans="5:19" ht="29.4" hidden="1" customHeight="1">
      <c r="E178" s="364"/>
      <c r="F178" s="364"/>
      <c r="G178" s="393"/>
    </row>
    <row r="179" spans="5:19" ht="29.4" hidden="1" customHeight="1">
      <c r="E179" s="364"/>
      <c r="F179" s="364"/>
      <c r="G179" s="393"/>
    </row>
    <row r="180" spans="5:19" ht="29.4" hidden="1" customHeight="1">
      <c r="E180" s="364"/>
      <c r="F180" s="364"/>
      <c r="G180" s="393"/>
    </row>
    <row r="181" spans="5:19" ht="29.4" hidden="1" customHeight="1">
      <c r="E181" s="364"/>
      <c r="F181" s="364"/>
      <c r="G181" s="393"/>
    </row>
    <row r="182" spans="5:19" ht="29.4" hidden="1" customHeight="1">
      <c r="E182" s="364"/>
      <c r="F182" s="364"/>
      <c r="M182" s="84"/>
      <c r="N182" s="669"/>
      <c r="O182" s="710"/>
      <c r="P182" s="1923" t="s">
        <v>4157</v>
      </c>
      <c r="Q182" s="1923" t="s">
        <v>4159</v>
      </c>
      <c r="R182" s="1923" t="s">
        <v>4158</v>
      </c>
      <c r="S182" s="278"/>
    </row>
    <row r="183" spans="5:19" ht="29.4" hidden="1" customHeight="1">
      <c r="E183" s="364"/>
      <c r="F183" s="364"/>
      <c r="M183" s="84"/>
      <c r="N183" s="3229" t="s">
        <v>4160</v>
      </c>
      <c r="O183" s="1923" t="s">
        <v>4156</v>
      </c>
      <c r="P183" s="1924">
        <f>SUM(K21,K28,K29,)</f>
        <v>3934.45</v>
      </c>
      <c r="Q183" s="1924">
        <f>SUM(L21,L28,L29,)</f>
        <v>4323.38</v>
      </c>
      <c r="R183" s="1924">
        <f>SUM(M21,M28,M29,)</f>
        <v>4367.41</v>
      </c>
      <c r="S183" s="1900">
        <f>(Q183-P183)/P183</f>
        <v>9.8852444433148293E-2</v>
      </c>
    </row>
    <row r="184" spans="5:19" ht="29.4" hidden="1" customHeight="1">
      <c r="E184" s="364"/>
      <c r="F184" s="364"/>
      <c r="M184" s="84"/>
      <c r="N184" s="3229"/>
      <c r="O184" s="1923" t="s">
        <v>3508</v>
      </c>
      <c r="P184" s="1924">
        <f>SUM(K17,K26,K37,K47,K68,K85,K94,K105,K108,K123,K142,K146,K149,)</f>
        <v>567.96</v>
      </c>
      <c r="Q184" s="1924">
        <f>SUM(L17,L26,L37,L47,L68,L85,L94,L105,L108,L123,L142,L146,L149,L46,)</f>
        <v>621.03600000000006</v>
      </c>
      <c r="R184" s="1924">
        <f>SUM(M17,M26,M37,M47,M68,M85,M94,M105,M108,M123,M142,M146,M149,M46,)</f>
        <v>869.04300000000001</v>
      </c>
      <c r="S184" s="1900">
        <f>(Q184-P184)/P184</f>
        <v>9.345024297485742E-2</v>
      </c>
    </row>
    <row r="185" spans="5:19" ht="29.4" hidden="1" customHeight="1">
      <c r="E185" s="364"/>
      <c r="F185" s="364"/>
      <c r="M185" s="84"/>
      <c r="N185" s="3229"/>
      <c r="O185" s="1923" t="s">
        <v>1487</v>
      </c>
      <c r="P185" s="1925">
        <f>SUM(K18,K19,K38,K39,K48,K49,K69,K70,K86,K87,K95,K96,K106,K107,)</f>
        <v>103.02</v>
      </c>
      <c r="Q185" s="1925">
        <f t="shared" ref="Q185" si="132">SUM(L18,L19,L38,L39,L48,L49,L69,L70,L86,L87,L95,L96,L106,L107,)</f>
        <v>80.87</v>
      </c>
      <c r="R185" s="1925">
        <f>SUM(M18,M19,M38,M39,M48,M49,M69,M70,M86,M87,M95,M96,M106,M107,)</f>
        <v>100.64999999999999</v>
      </c>
      <c r="S185" s="1900">
        <f>(Q185-P185)/P185</f>
        <v>-0.2150067947971267</v>
      </c>
    </row>
    <row r="186" spans="5:19" ht="29.4" hidden="1" customHeight="1" thickBot="1">
      <c r="E186" s="364"/>
      <c r="F186" s="364"/>
      <c r="M186" s="84"/>
      <c r="N186" s="3229"/>
      <c r="O186" s="1923" t="s">
        <v>4155</v>
      </c>
      <c r="P186" s="1925">
        <f>SUM(K113,K114,K117,K118,K62,K63,)</f>
        <v>87.741</v>
      </c>
      <c r="Q186" s="1925">
        <f t="shared" ref="Q186:R186" si="133">SUM(L113,L114,L117,L118,L62,L63,)</f>
        <v>200.6</v>
      </c>
      <c r="R186" s="1925">
        <f t="shared" si="133"/>
        <v>31.024999999999999</v>
      </c>
      <c r="S186" s="1900">
        <f>(Q186-P186)/P186</f>
        <v>1.286274375719447</v>
      </c>
    </row>
    <row r="187" spans="5:19" ht="29.4" hidden="1" customHeight="1" thickBot="1">
      <c r="E187" s="364"/>
      <c r="F187" s="364"/>
      <c r="M187" s="84"/>
      <c r="N187" s="84"/>
      <c r="O187" s="1647" t="s">
        <v>4173</v>
      </c>
      <c r="P187" s="1926">
        <f>SUM(P183,P184,P186,P185)</f>
        <v>4693.1710000000003</v>
      </c>
      <c r="Q187" s="1926">
        <f>SUM(Q183,Q184,Q186,Q185)</f>
        <v>5225.8860000000004</v>
      </c>
      <c r="R187" s="1926">
        <f>SUM(R183,R184,R186,R185)</f>
        <v>5368.1279999999988</v>
      </c>
      <c r="S187" s="1900">
        <f>(Q187-P187)/P187</f>
        <v>0.1135085425184806</v>
      </c>
    </row>
    <row r="188" spans="5:19" ht="29.4" hidden="1" customHeight="1">
      <c r="E188" s="364"/>
      <c r="F188" s="364"/>
      <c r="M188" s="84"/>
      <c r="N188" s="84"/>
      <c r="O188" s="1647"/>
      <c r="P188" s="1920"/>
      <c r="Q188" s="1920"/>
      <c r="R188" s="1920"/>
      <c r="S188" s="84"/>
    </row>
    <row r="189" spans="5:19" ht="29.4" hidden="1" customHeight="1">
      <c r="E189" s="364"/>
      <c r="F189" s="364"/>
      <c r="M189" s="1921" t="s">
        <v>4171</v>
      </c>
      <c r="N189" s="1919">
        <f>Q184-P184</f>
        <v>53.076000000000022</v>
      </c>
      <c r="O189" s="1649"/>
      <c r="P189" s="115">
        <f>P187-K160-K167</f>
        <v>7.3896444519050419E-13</v>
      </c>
      <c r="Q189" s="115">
        <f t="shared" ref="Q189" si="134">Q187-L160-L167</f>
        <v>0</v>
      </c>
      <c r="R189" s="115">
        <f>SUM(M160-M167-R187)</f>
        <v>9.0949470177292824E-13</v>
      </c>
      <c r="S189" s="113"/>
    </row>
    <row r="190" spans="5:19" ht="29.4" hidden="1" customHeight="1">
      <c r="E190" s="364"/>
      <c r="F190" s="364"/>
      <c r="M190" s="1921" t="s">
        <v>4172</v>
      </c>
      <c r="N190" s="1919">
        <f>Q186-P186</f>
        <v>112.85899999999999</v>
      </c>
      <c r="O190" s="1649"/>
      <c r="P190" s="1442"/>
      <c r="Q190" s="84"/>
      <c r="R190" s="1647"/>
      <c r="S190" s="84"/>
    </row>
    <row r="191" spans="5:19" ht="29.4" hidden="1" customHeight="1">
      <c r="E191" s="364"/>
      <c r="F191" s="364"/>
    </row>
    <row r="192" spans="5:19" ht="29.4" hidden="1" customHeight="1">
      <c r="E192" s="364"/>
      <c r="F192" s="364"/>
      <c r="N192" s="2183">
        <f>SUM(N189,N190)</f>
        <v>165.935</v>
      </c>
    </row>
    <row r="193" spans="5:18" ht="29.4" hidden="1" customHeight="1">
      <c r="E193" s="364"/>
      <c r="F193" s="364"/>
      <c r="O193" s="364" t="s">
        <v>4211</v>
      </c>
      <c r="P193" s="1590" t="s">
        <v>4212</v>
      </c>
      <c r="Q193" s="364" t="s">
        <v>4213</v>
      </c>
      <c r="R193" s="1590" t="s">
        <v>4214</v>
      </c>
    </row>
    <row r="194" spans="5:18" ht="29.4" hidden="1" customHeight="1">
      <c r="E194" s="364"/>
      <c r="F194" s="364"/>
      <c r="O194" s="393">
        <f>SUM(O26,O37,O46,O68,O105,O123,O142,O146,O149,)</f>
        <v>876.95</v>
      </c>
      <c r="P194" s="1607">
        <f>SUM(Q26,Q37,Q46,Q68,Q105,Q123,Q142,Q146,Q149,)</f>
        <v>314.5</v>
      </c>
      <c r="Q194" s="393">
        <f>SUM(O21,O28,)</f>
        <v>4539.549</v>
      </c>
      <c r="R194" s="1607">
        <f>SUM(Q21,Q28)</f>
        <v>4766.5264500000003</v>
      </c>
    </row>
    <row r="195" spans="5:18" ht="29.4" hidden="1" customHeight="1">
      <c r="E195" s="364"/>
      <c r="F195" s="364"/>
    </row>
    <row r="196" spans="5:18" ht="29.4" hidden="1" customHeight="1">
      <c r="E196" s="364"/>
      <c r="F196" s="364"/>
    </row>
    <row r="197" spans="5:18" ht="29.4" hidden="1" customHeight="1">
      <c r="E197" s="364"/>
      <c r="F197" s="364"/>
    </row>
    <row r="198" spans="5:18" ht="29.4" hidden="1" customHeight="1">
      <c r="E198" s="364"/>
      <c r="F198" s="364"/>
    </row>
    <row r="199" spans="5:18" ht="29.4" hidden="1" customHeight="1">
      <c r="E199" s="364"/>
      <c r="F199" s="364"/>
    </row>
    <row r="200" spans="5:18" ht="29.4" hidden="1" customHeight="1">
      <c r="E200" s="364"/>
      <c r="F200" s="364"/>
    </row>
    <row r="201" spans="5:18" ht="29.4" hidden="1" customHeight="1">
      <c r="E201" s="364"/>
      <c r="F201" s="364"/>
    </row>
    <row r="202" spans="5:18" ht="29.4" hidden="1" customHeight="1">
      <c r="E202" s="364"/>
      <c r="F202" s="364"/>
    </row>
    <row r="203" spans="5:18" ht="29.4" hidden="1" customHeight="1">
      <c r="E203" s="364"/>
      <c r="F203" s="364"/>
    </row>
    <row r="204" spans="5:18" ht="29.4" hidden="1" customHeight="1">
      <c r="E204" s="364"/>
      <c r="F204" s="364"/>
    </row>
    <row r="205" spans="5:18" ht="29.4" hidden="1" customHeight="1">
      <c r="E205" s="364"/>
      <c r="F205" s="364"/>
    </row>
    <row r="206" spans="5:18" ht="29.4" hidden="1" customHeight="1">
      <c r="E206" s="364"/>
      <c r="F206" s="364"/>
      <c r="L206" s="393">
        <f>SUM(L16,L122,L145,L148,)</f>
        <v>6117.9240000000009</v>
      </c>
      <c r="M206" s="393">
        <f t="shared" ref="M206:Q206" si="135">SUM(M16,M122,M145,M148,)</f>
        <v>6110.0830000000005</v>
      </c>
      <c r="N206" s="393">
        <f t="shared" si="135"/>
        <v>0.13510162388090952</v>
      </c>
      <c r="O206" s="393">
        <f t="shared" si="135"/>
        <v>6586.0839999999998</v>
      </c>
      <c r="P206" s="393">
        <f t="shared" si="135"/>
        <v>6398.6180000000004</v>
      </c>
      <c r="Q206" s="393">
        <f t="shared" si="135"/>
        <v>5514.7174500000001</v>
      </c>
    </row>
    <row r="207" spans="5:18" ht="29.4" hidden="1" customHeight="1">
      <c r="E207" s="364"/>
      <c r="F207" s="364"/>
      <c r="L207" s="393">
        <f>L169-L206</f>
        <v>0</v>
      </c>
      <c r="M207" s="393">
        <f t="shared" ref="M207:Q207" si="136">M169-M206</f>
        <v>0</v>
      </c>
      <c r="N207" s="393">
        <f t="shared" si="136"/>
        <v>4.3606459020405386E-2</v>
      </c>
      <c r="O207" s="393">
        <f t="shared" si="136"/>
        <v>0</v>
      </c>
      <c r="P207" s="393">
        <f t="shared" si="136"/>
        <v>65</v>
      </c>
      <c r="Q207" s="393">
        <f t="shared" si="136"/>
        <v>0</v>
      </c>
    </row>
    <row r="208" spans="5:18" ht="29.4" hidden="1" customHeight="1">
      <c r="E208" s="364"/>
      <c r="F208" s="364"/>
    </row>
    <row r="209" spans="5:6" ht="29.4" customHeight="1">
      <c r="E209" s="364"/>
      <c r="F209" s="364"/>
    </row>
    <row r="210" spans="5:6" ht="29.4" customHeight="1">
      <c r="E210" s="364"/>
      <c r="F210" s="364"/>
    </row>
    <row r="211" spans="5:6" ht="29.4" customHeight="1">
      <c r="E211" s="364"/>
      <c r="F211" s="364"/>
    </row>
    <row r="212" spans="5:6" ht="29.4" customHeight="1">
      <c r="E212" s="364"/>
      <c r="F212" s="364"/>
    </row>
    <row r="213" spans="5:6" ht="29.4" customHeight="1">
      <c r="E213" s="364"/>
      <c r="F213" s="364"/>
    </row>
    <row r="214" spans="5:6" ht="29.4" customHeight="1">
      <c r="E214" s="364"/>
      <c r="F214" s="364"/>
    </row>
    <row r="215" spans="5:6" ht="29.4" customHeight="1">
      <c r="E215" s="364"/>
      <c r="F215" s="364"/>
    </row>
    <row r="216" spans="5:6" ht="29.4" customHeight="1">
      <c r="E216" s="364"/>
      <c r="F216" s="364"/>
    </row>
    <row r="217" spans="5:6" ht="29.4" customHeight="1">
      <c r="E217" s="364"/>
      <c r="F217" s="364"/>
    </row>
    <row r="218" spans="5:6" ht="29.4" customHeight="1">
      <c r="E218" s="364"/>
      <c r="F218" s="364"/>
    </row>
    <row r="219" spans="5:6" ht="29.4" customHeight="1">
      <c r="E219" s="364"/>
      <c r="F219" s="364"/>
    </row>
    <row r="220" spans="5:6" ht="29.4" customHeight="1">
      <c r="E220" s="364"/>
      <c r="F220" s="364"/>
    </row>
    <row r="221" spans="5:6" ht="29.4" customHeight="1">
      <c r="E221" s="364"/>
      <c r="F221" s="364"/>
    </row>
    <row r="222" spans="5:6" ht="29.4" customHeight="1">
      <c r="E222" s="364"/>
      <c r="F222" s="364"/>
    </row>
    <row r="223" spans="5:6" ht="29.4" customHeight="1">
      <c r="E223" s="364"/>
      <c r="F223" s="364"/>
    </row>
    <row r="224" spans="5:6" ht="29.4" customHeight="1">
      <c r="E224" s="364"/>
      <c r="F224" s="364"/>
    </row>
    <row r="225" spans="5:6" ht="29.4" customHeight="1">
      <c r="E225" s="364"/>
      <c r="F225" s="364"/>
    </row>
    <row r="226" spans="5:6" ht="29.4" customHeight="1">
      <c r="E226" s="364"/>
      <c r="F226" s="364"/>
    </row>
    <row r="227" spans="5:6" ht="29.4" customHeight="1">
      <c r="E227" s="364"/>
      <c r="F227" s="364"/>
    </row>
    <row r="228" spans="5:6" ht="29.4" customHeight="1">
      <c r="E228" s="364"/>
      <c r="F228" s="364"/>
    </row>
    <row r="229" spans="5:6" ht="29.4" customHeight="1">
      <c r="E229" s="364"/>
      <c r="F229" s="364"/>
    </row>
    <row r="230" spans="5:6" ht="29.4" customHeight="1">
      <c r="E230" s="364"/>
      <c r="F230" s="364"/>
    </row>
    <row r="231" spans="5:6" ht="29.4" customHeight="1">
      <c r="E231" s="364"/>
      <c r="F231" s="364"/>
    </row>
    <row r="232" spans="5:6" ht="29.4" customHeight="1">
      <c r="E232" s="364"/>
      <c r="F232" s="364"/>
    </row>
    <row r="233" spans="5:6" ht="29.4" customHeight="1">
      <c r="E233" s="364"/>
      <c r="F233" s="364"/>
    </row>
    <row r="234" spans="5:6" ht="29.4" customHeight="1">
      <c r="E234" s="364"/>
      <c r="F234" s="364"/>
    </row>
    <row r="235" spans="5:6" ht="29.4" customHeight="1">
      <c r="E235" s="364"/>
      <c r="F235" s="364"/>
    </row>
    <row r="236" spans="5:6" ht="29.4" customHeight="1">
      <c r="E236" s="364"/>
      <c r="F236" s="364"/>
    </row>
    <row r="237" spans="5:6" ht="29.4" customHeight="1">
      <c r="E237" s="364"/>
      <c r="F237" s="364"/>
    </row>
    <row r="238" spans="5:6" ht="29.4" customHeight="1">
      <c r="E238" s="364"/>
      <c r="F238" s="364"/>
    </row>
    <row r="239" spans="5:6" ht="29.4" customHeight="1">
      <c r="E239" s="364"/>
      <c r="F239" s="364"/>
    </row>
    <row r="240" spans="5:6" ht="29.4" customHeight="1">
      <c r="E240" s="364"/>
      <c r="F240" s="364"/>
    </row>
    <row r="241" spans="5:6" ht="29.4" customHeight="1">
      <c r="E241" s="364"/>
      <c r="F241" s="364"/>
    </row>
    <row r="242" spans="5:6" ht="29.4" customHeight="1">
      <c r="E242" s="364"/>
      <c r="F242" s="364"/>
    </row>
    <row r="243" spans="5:6" ht="29.4" customHeight="1">
      <c r="E243" s="364"/>
      <c r="F243" s="364"/>
    </row>
    <row r="244" spans="5:6" ht="29.4" customHeight="1">
      <c r="E244" s="364"/>
      <c r="F244" s="364"/>
    </row>
    <row r="245" spans="5:6" ht="29.4" customHeight="1">
      <c r="E245" s="364"/>
      <c r="F245" s="364"/>
    </row>
    <row r="246" spans="5:6" ht="29.4" customHeight="1">
      <c r="E246" s="364"/>
      <c r="F246" s="364"/>
    </row>
    <row r="247" spans="5:6" ht="29.4" customHeight="1">
      <c r="E247" s="364"/>
      <c r="F247" s="364"/>
    </row>
    <row r="248" spans="5:6" ht="29.4" customHeight="1">
      <c r="E248" s="364"/>
      <c r="F248" s="364"/>
    </row>
    <row r="249" spans="5:6" ht="29.4" customHeight="1">
      <c r="E249" s="364"/>
      <c r="F249" s="364"/>
    </row>
    <row r="250" spans="5:6" ht="29.4" customHeight="1">
      <c r="E250" s="364"/>
      <c r="F250" s="364"/>
    </row>
    <row r="251" spans="5:6" ht="29.4" customHeight="1">
      <c r="E251" s="364"/>
      <c r="F251" s="364"/>
    </row>
    <row r="252" spans="5:6" ht="29.4" customHeight="1">
      <c r="E252" s="364"/>
      <c r="F252" s="364"/>
    </row>
    <row r="253" spans="5:6" ht="29.4" customHeight="1">
      <c r="E253" s="364"/>
      <c r="F253" s="364"/>
    </row>
    <row r="254" spans="5:6" ht="29.4" customHeight="1">
      <c r="E254" s="364"/>
      <c r="F254" s="364"/>
    </row>
    <row r="255" spans="5:6" ht="29.4" customHeight="1">
      <c r="E255" s="364"/>
      <c r="F255" s="364"/>
    </row>
    <row r="256" spans="5:6" ht="29.4" customHeight="1">
      <c r="E256" s="364"/>
      <c r="F256" s="364"/>
    </row>
    <row r="257" spans="5:6" ht="29.4" customHeight="1">
      <c r="E257" s="364"/>
      <c r="F257" s="364"/>
    </row>
    <row r="258" spans="5:6" ht="29.4" customHeight="1">
      <c r="E258" s="364"/>
      <c r="F258" s="364"/>
    </row>
    <row r="259" spans="5:6" ht="29.4" customHeight="1">
      <c r="E259" s="364"/>
      <c r="F259" s="364"/>
    </row>
    <row r="260" spans="5:6" ht="29.4" customHeight="1">
      <c r="E260" s="364"/>
      <c r="F260" s="364"/>
    </row>
    <row r="261" spans="5:6" ht="29.4" customHeight="1">
      <c r="E261" s="364"/>
      <c r="F261" s="364"/>
    </row>
    <row r="262" spans="5:6" ht="29.4" customHeight="1">
      <c r="E262" s="364"/>
      <c r="F262" s="364"/>
    </row>
    <row r="263" spans="5:6" ht="29.4" customHeight="1">
      <c r="E263" s="364"/>
      <c r="F263" s="364"/>
    </row>
    <row r="264" spans="5:6" ht="29.4" customHeight="1">
      <c r="E264" s="364"/>
      <c r="F264" s="364"/>
    </row>
    <row r="265" spans="5:6" ht="29.4" customHeight="1">
      <c r="E265" s="364"/>
      <c r="F265" s="364"/>
    </row>
    <row r="266" spans="5:6" ht="29.4" customHeight="1">
      <c r="E266" s="364"/>
      <c r="F266" s="364"/>
    </row>
    <row r="267" spans="5:6" ht="29.4" customHeight="1">
      <c r="E267" s="364"/>
      <c r="F267" s="364"/>
    </row>
    <row r="268" spans="5:6" ht="29.4" customHeight="1">
      <c r="E268" s="364"/>
      <c r="F268" s="364"/>
    </row>
    <row r="269" spans="5:6" ht="29.4" customHeight="1">
      <c r="E269" s="364"/>
      <c r="F269" s="364"/>
    </row>
    <row r="270" spans="5:6" ht="29.4" customHeight="1">
      <c r="E270" s="364"/>
      <c r="F270" s="364"/>
    </row>
    <row r="271" spans="5:6" ht="29.4" customHeight="1">
      <c r="E271" s="364"/>
      <c r="F271" s="364"/>
    </row>
    <row r="272" spans="5:6" ht="29.4" customHeight="1">
      <c r="E272" s="364"/>
      <c r="F272" s="364"/>
    </row>
    <row r="273" spans="5:6" ht="29.4" customHeight="1">
      <c r="E273" s="364"/>
      <c r="F273" s="364"/>
    </row>
    <row r="274" spans="5:6" ht="29.4" customHeight="1">
      <c r="E274" s="364"/>
      <c r="F274" s="364"/>
    </row>
    <row r="275" spans="5:6" ht="29.4" customHeight="1">
      <c r="E275" s="364"/>
      <c r="F275" s="364"/>
    </row>
    <row r="276" spans="5:6" ht="29.4" customHeight="1">
      <c r="E276" s="364"/>
      <c r="F276" s="364"/>
    </row>
    <row r="277" spans="5:6" ht="29.4" customHeight="1">
      <c r="E277" s="364"/>
      <c r="F277" s="364"/>
    </row>
    <row r="278" spans="5:6" ht="29.4" customHeight="1">
      <c r="E278" s="364"/>
      <c r="F278" s="364"/>
    </row>
    <row r="279" spans="5:6" ht="29.4" customHeight="1">
      <c r="E279" s="364"/>
      <c r="F279" s="364"/>
    </row>
    <row r="280" spans="5:6" ht="29.4" customHeight="1">
      <c r="E280" s="364"/>
      <c r="F280" s="364"/>
    </row>
    <row r="281" spans="5:6" ht="29.4" customHeight="1">
      <c r="E281" s="364"/>
      <c r="F281" s="364"/>
    </row>
    <row r="282" spans="5:6" ht="29.4" customHeight="1">
      <c r="E282" s="364"/>
      <c r="F282" s="364"/>
    </row>
    <row r="283" spans="5:6" ht="29.4" customHeight="1">
      <c r="E283" s="364"/>
      <c r="F283" s="364"/>
    </row>
    <row r="284" spans="5:6" ht="29.4" customHeight="1">
      <c r="E284" s="364"/>
      <c r="F284" s="364"/>
    </row>
    <row r="285" spans="5:6" ht="29.4" customHeight="1">
      <c r="E285" s="364"/>
      <c r="F285" s="364"/>
    </row>
    <row r="286" spans="5:6" ht="29.4" customHeight="1">
      <c r="E286" s="364"/>
      <c r="F286" s="364"/>
    </row>
    <row r="287" spans="5:6" ht="29.4" customHeight="1">
      <c r="E287" s="364"/>
      <c r="F287" s="364"/>
    </row>
    <row r="288" spans="5:6" ht="29.4" customHeight="1">
      <c r="E288" s="364"/>
      <c r="F288" s="364"/>
    </row>
    <row r="289" spans="5:6" ht="29.4" customHeight="1">
      <c r="E289" s="364"/>
      <c r="F289" s="364"/>
    </row>
    <row r="290" spans="5:6" ht="29.4" customHeight="1">
      <c r="E290" s="364"/>
      <c r="F290" s="364"/>
    </row>
    <row r="291" spans="5:6" ht="29.4" customHeight="1">
      <c r="E291" s="364"/>
      <c r="F291" s="364"/>
    </row>
    <row r="292" spans="5:6" ht="29.4" customHeight="1">
      <c r="E292" s="364"/>
      <c r="F292" s="364"/>
    </row>
    <row r="293" spans="5:6" ht="29.4" customHeight="1">
      <c r="E293" s="364"/>
      <c r="F293" s="364"/>
    </row>
    <row r="294" spans="5:6" ht="29.4" customHeight="1">
      <c r="E294" s="364"/>
      <c r="F294" s="364"/>
    </row>
    <row r="295" spans="5:6" ht="29.4" customHeight="1">
      <c r="E295" s="364"/>
      <c r="F295" s="364"/>
    </row>
    <row r="296" spans="5:6" ht="29.4" customHeight="1">
      <c r="E296" s="364"/>
      <c r="F296" s="364"/>
    </row>
    <row r="297" spans="5:6" ht="29.4" customHeight="1">
      <c r="E297" s="364"/>
      <c r="F297" s="364"/>
    </row>
    <row r="298" spans="5:6" ht="29.4" customHeight="1">
      <c r="E298" s="364"/>
      <c r="F298" s="364"/>
    </row>
    <row r="299" spans="5:6" ht="29.4" customHeight="1">
      <c r="E299" s="364"/>
      <c r="F299" s="364"/>
    </row>
    <row r="300" spans="5:6" ht="29.4" customHeight="1">
      <c r="E300" s="364"/>
      <c r="F300" s="364"/>
    </row>
    <row r="301" spans="5:6" ht="29.4" customHeight="1">
      <c r="E301" s="364"/>
      <c r="F301" s="364"/>
    </row>
    <row r="302" spans="5:6" ht="29.4" customHeight="1">
      <c r="E302" s="364"/>
      <c r="F302" s="364"/>
    </row>
    <row r="303" spans="5:6" ht="29.4" customHeight="1">
      <c r="E303" s="364"/>
      <c r="F303" s="364"/>
    </row>
    <row r="304" spans="5:6" ht="29.4" customHeight="1">
      <c r="E304" s="364"/>
      <c r="F304" s="364"/>
    </row>
    <row r="305" spans="5:6" ht="29.4" customHeight="1">
      <c r="E305" s="364"/>
      <c r="F305" s="364"/>
    </row>
    <row r="306" spans="5:6" ht="29.4" customHeight="1">
      <c r="E306" s="364"/>
      <c r="F306" s="364"/>
    </row>
    <row r="307" spans="5:6" ht="29.4" customHeight="1">
      <c r="E307" s="364"/>
      <c r="F307" s="364"/>
    </row>
    <row r="308" spans="5:6" ht="29.4" customHeight="1">
      <c r="E308" s="364"/>
      <c r="F308" s="364"/>
    </row>
    <row r="309" spans="5:6" ht="29.4" customHeight="1">
      <c r="E309" s="364"/>
      <c r="F309" s="364"/>
    </row>
    <row r="310" spans="5:6" ht="29.4" customHeight="1">
      <c r="E310" s="364"/>
      <c r="F310" s="364"/>
    </row>
    <row r="311" spans="5:6" ht="29.4" customHeight="1">
      <c r="E311" s="364"/>
      <c r="F311" s="364"/>
    </row>
    <row r="312" spans="5:6" ht="29.4" customHeight="1">
      <c r="E312" s="364"/>
      <c r="F312" s="364"/>
    </row>
    <row r="313" spans="5:6" ht="29.4" customHeight="1">
      <c r="E313" s="364"/>
      <c r="F313" s="364"/>
    </row>
    <row r="314" spans="5:6" ht="29.4" customHeight="1">
      <c r="E314" s="364"/>
      <c r="F314" s="364"/>
    </row>
    <row r="315" spans="5:6" ht="29.4" customHeight="1">
      <c r="E315" s="364"/>
      <c r="F315" s="364"/>
    </row>
    <row r="316" spans="5:6" ht="29.4" customHeight="1">
      <c r="E316" s="364"/>
      <c r="F316" s="364"/>
    </row>
    <row r="317" spans="5:6" ht="29.4" customHeight="1">
      <c r="E317" s="364"/>
      <c r="F317" s="364"/>
    </row>
    <row r="318" spans="5:6" ht="29.4" customHeight="1">
      <c r="E318" s="364"/>
      <c r="F318" s="364"/>
    </row>
    <row r="319" spans="5:6" ht="29.4" customHeight="1">
      <c r="E319" s="364"/>
      <c r="F319" s="364"/>
    </row>
    <row r="320" spans="5:6" ht="29.4" customHeight="1">
      <c r="E320" s="364"/>
      <c r="F320" s="364"/>
    </row>
    <row r="321" spans="5:6" ht="29.4" customHeight="1">
      <c r="E321" s="364"/>
      <c r="F321" s="364"/>
    </row>
    <row r="322" spans="5:6" ht="29.4" customHeight="1">
      <c r="E322" s="364"/>
      <c r="F322" s="364"/>
    </row>
    <row r="323" spans="5:6" ht="29.4" customHeight="1">
      <c r="E323" s="364"/>
      <c r="F323" s="364"/>
    </row>
    <row r="324" spans="5:6" ht="29.4" customHeight="1">
      <c r="E324" s="364"/>
      <c r="F324" s="364"/>
    </row>
    <row r="325" spans="5:6" ht="29.4" customHeight="1">
      <c r="E325" s="364"/>
      <c r="F325" s="364"/>
    </row>
    <row r="326" spans="5:6" ht="29.4" customHeight="1">
      <c r="E326" s="364"/>
      <c r="F326" s="364"/>
    </row>
    <row r="327" spans="5:6" ht="29.4" customHeight="1">
      <c r="E327" s="364"/>
      <c r="F327" s="364"/>
    </row>
    <row r="328" spans="5:6" ht="29.4" customHeight="1">
      <c r="E328" s="364"/>
      <c r="F328" s="364"/>
    </row>
    <row r="329" spans="5:6" ht="29.4" customHeight="1">
      <c r="E329" s="364"/>
      <c r="F329" s="364"/>
    </row>
    <row r="330" spans="5:6" ht="29.4" customHeight="1">
      <c r="E330" s="364"/>
      <c r="F330" s="364"/>
    </row>
    <row r="331" spans="5:6" ht="29.4" customHeight="1">
      <c r="E331" s="364"/>
      <c r="F331" s="364"/>
    </row>
    <row r="332" spans="5:6" ht="29.4" customHeight="1">
      <c r="E332" s="364"/>
      <c r="F332" s="364"/>
    </row>
    <row r="333" spans="5:6" ht="29.4" customHeight="1">
      <c r="E333" s="364"/>
      <c r="F333" s="364"/>
    </row>
    <row r="334" spans="5:6" ht="29.4" customHeight="1">
      <c r="E334" s="364"/>
      <c r="F334" s="364"/>
    </row>
    <row r="335" spans="5:6" ht="29.4" customHeight="1">
      <c r="E335" s="364"/>
      <c r="F335" s="364"/>
    </row>
    <row r="336" spans="5:6" ht="29.4" customHeight="1">
      <c r="E336" s="364"/>
      <c r="F336" s="364"/>
    </row>
    <row r="337" spans="5:6" ht="29.4" customHeight="1">
      <c r="E337" s="364"/>
      <c r="F337" s="364"/>
    </row>
    <row r="338" spans="5:6" ht="29.4" customHeight="1">
      <c r="E338" s="364"/>
      <c r="F338" s="364"/>
    </row>
    <row r="339" spans="5:6" ht="29.4" customHeight="1">
      <c r="E339" s="364"/>
      <c r="F339" s="364"/>
    </row>
    <row r="340" spans="5:6" ht="29.4" customHeight="1">
      <c r="E340" s="364"/>
      <c r="F340" s="364"/>
    </row>
    <row r="341" spans="5:6" ht="29.4" customHeight="1">
      <c r="E341" s="364"/>
      <c r="F341" s="364"/>
    </row>
    <row r="342" spans="5:6" ht="29.4" customHeight="1">
      <c r="E342" s="364"/>
      <c r="F342" s="364"/>
    </row>
    <row r="343" spans="5:6" ht="29.4" customHeight="1">
      <c r="E343" s="364"/>
      <c r="F343" s="364"/>
    </row>
    <row r="344" spans="5:6" ht="29.4" customHeight="1">
      <c r="E344" s="364"/>
      <c r="F344" s="364"/>
    </row>
    <row r="345" spans="5:6" ht="29.4" customHeight="1">
      <c r="E345" s="364"/>
      <c r="F345" s="364"/>
    </row>
    <row r="346" spans="5:6" ht="29.4" customHeight="1">
      <c r="E346" s="364"/>
      <c r="F346" s="364"/>
    </row>
    <row r="347" spans="5:6" ht="29.4" customHeight="1">
      <c r="E347" s="364"/>
      <c r="F347" s="364"/>
    </row>
    <row r="348" spans="5:6" ht="29.4" customHeight="1">
      <c r="E348" s="364"/>
      <c r="F348" s="364"/>
    </row>
    <row r="349" spans="5:6" ht="29.4" customHeight="1">
      <c r="E349" s="364"/>
      <c r="F349" s="364"/>
    </row>
    <row r="350" spans="5:6" ht="29.4" customHeight="1">
      <c r="E350" s="364"/>
      <c r="F350" s="364"/>
    </row>
    <row r="351" spans="5:6" ht="29.4" customHeight="1">
      <c r="E351" s="364"/>
      <c r="F351" s="364"/>
    </row>
    <row r="352" spans="5:6" ht="29.4" customHeight="1">
      <c r="E352" s="364"/>
      <c r="F352" s="364"/>
    </row>
    <row r="353" spans="5:6" ht="29.4" customHeight="1">
      <c r="E353" s="364"/>
      <c r="F353" s="364"/>
    </row>
    <row r="354" spans="5:6" ht="29.4" customHeight="1">
      <c r="E354" s="364"/>
      <c r="F354" s="364"/>
    </row>
    <row r="355" spans="5:6" ht="29.4" customHeight="1">
      <c r="E355" s="364"/>
      <c r="F355" s="364"/>
    </row>
    <row r="356" spans="5:6" ht="29.4" customHeight="1">
      <c r="E356" s="364"/>
      <c r="F356" s="364"/>
    </row>
    <row r="357" spans="5:6" ht="29.4" customHeight="1">
      <c r="E357" s="364"/>
      <c r="F357" s="364"/>
    </row>
    <row r="358" spans="5:6" ht="29.4" customHeight="1">
      <c r="E358" s="364"/>
      <c r="F358" s="364"/>
    </row>
    <row r="359" spans="5:6" ht="29.4" customHeight="1">
      <c r="E359" s="364"/>
      <c r="F359" s="364"/>
    </row>
    <row r="360" spans="5:6" ht="29.4" customHeight="1">
      <c r="E360" s="364"/>
      <c r="F360" s="364"/>
    </row>
    <row r="361" spans="5:6" ht="29.4" customHeight="1">
      <c r="E361" s="364"/>
      <c r="F361" s="364"/>
    </row>
    <row r="362" spans="5:6" ht="29.4" customHeight="1">
      <c r="E362" s="364"/>
      <c r="F362" s="364"/>
    </row>
    <row r="363" spans="5:6" ht="29.4" customHeight="1">
      <c r="E363" s="364"/>
      <c r="F363" s="364"/>
    </row>
    <row r="364" spans="5:6" ht="29.4" customHeight="1">
      <c r="E364" s="364"/>
      <c r="F364" s="364"/>
    </row>
    <row r="365" spans="5:6" ht="29.4" customHeight="1">
      <c r="E365" s="364"/>
      <c r="F365" s="364"/>
    </row>
    <row r="366" spans="5:6" ht="29.4" customHeight="1">
      <c r="E366" s="364"/>
      <c r="F366" s="364"/>
    </row>
    <row r="367" spans="5:6" ht="29.4" customHeight="1">
      <c r="E367" s="364"/>
      <c r="F367" s="364"/>
    </row>
    <row r="368" spans="5:6" ht="29.4" customHeight="1">
      <c r="E368" s="364"/>
      <c r="F368" s="364"/>
    </row>
    <row r="369" spans="5:6" ht="29.4" customHeight="1">
      <c r="E369" s="364"/>
      <c r="F369" s="364"/>
    </row>
    <row r="370" spans="5:6" ht="29.4" customHeight="1">
      <c r="E370" s="364"/>
      <c r="F370" s="364"/>
    </row>
    <row r="371" spans="5:6" ht="29.4" customHeight="1">
      <c r="E371" s="364"/>
      <c r="F371" s="364"/>
    </row>
    <row r="372" spans="5:6" ht="29.4" customHeight="1">
      <c r="E372" s="364"/>
      <c r="F372" s="364"/>
    </row>
    <row r="373" spans="5:6" ht="29.4" customHeight="1">
      <c r="E373" s="364"/>
      <c r="F373" s="364"/>
    </row>
    <row r="374" spans="5:6" ht="29.4" customHeight="1">
      <c r="E374" s="364"/>
      <c r="F374" s="364"/>
    </row>
    <row r="375" spans="5:6" ht="29.4" customHeight="1">
      <c r="E375" s="364"/>
      <c r="F375" s="364"/>
    </row>
    <row r="376" spans="5:6" ht="29.4" customHeight="1">
      <c r="E376" s="364"/>
      <c r="F376" s="364"/>
    </row>
    <row r="377" spans="5:6" ht="29.4" customHeight="1">
      <c r="E377" s="364"/>
      <c r="F377" s="364"/>
    </row>
    <row r="378" spans="5:6" ht="29.4" customHeight="1">
      <c r="E378" s="364"/>
      <c r="F378" s="364"/>
    </row>
    <row r="379" spans="5:6" ht="29.4" customHeight="1">
      <c r="E379" s="364"/>
      <c r="F379" s="364"/>
    </row>
    <row r="380" spans="5:6" ht="29.4" customHeight="1">
      <c r="E380" s="364"/>
      <c r="F380" s="364"/>
    </row>
    <row r="381" spans="5:6" ht="29.4" customHeight="1">
      <c r="E381" s="364"/>
      <c r="F381" s="364"/>
    </row>
    <row r="382" spans="5:6" ht="29.4" customHeight="1">
      <c r="E382" s="364"/>
      <c r="F382" s="364"/>
    </row>
    <row r="383" spans="5:6" ht="29.4" customHeight="1">
      <c r="E383" s="364"/>
      <c r="F383" s="364"/>
    </row>
    <row r="384" spans="5:6" ht="29.4" customHeight="1">
      <c r="E384" s="364"/>
      <c r="F384" s="364"/>
    </row>
    <row r="385" spans="5:6" ht="29.4" customHeight="1">
      <c r="E385" s="364"/>
      <c r="F385" s="364"/>
    </row>
    <row r="386" spans="5:6" ht="29.4" customHeight="1">
      <c r="E386" s="364"/>
      <c r="F386" s="364"/>
    </row>
    <row r="387" spans="5:6" ht="29.4" customHeight="1">
      <c r="E387" s="364"/>
      <c r="F387" s="364"/>
    </row>
    <row r="388" spans="5:6" ht="29.4" customHeight="1">
      <c r="E388" s="364"/>
      <c r="F388" s="364"/>
    </row>
    <row r="389" spans="5:6" ht="29.4" customHeight="1">
      <c r="E389" s="364"/>
      <c r="F389" s="364"/>
    </row>
    <row r="390" spans="5:6" ht="29.4" customHeight="1">
      <c r="E390" s="364"/>
      <c r="F390" s="364"/>
    </row>
    <row r="391" spans="5:6" ht="29.4" customHeight="1">
      <c r="E391" s="364"/>
      <c r="F391" s="364"/>
    </row>
    <row r="392" spans="5:6" ht="29.4" customHeight="1">
      <c r="E392" s="364"/>
      <c r="F392" s="364"/>
    </row>
    <row r="393" spans="5:6" ht="29.4" customHeight="1">
      <c r="E393" s="364"/>
      <c r="F393" s="364"/>
    </row>
    <row r="394" spans="5:6" ht="29.4" customHeight="1">
      <c r="E394" s="364"/>
      <c r="F394" s="364"/>
    </row>
    <row r="395" spans="5:6" ht="29.4" customHeight="1">
      <c r="E395" s="364"/>
      <c r="F395" s="364"/>
    </row>
    <row r="396" spans="5:6" ht="29.4" customHeight="1">
      <c r="E396" s="364"/>
      <c r="F396" s="364"/>
    </row>
    <row r="397" spans="5:6" ht="29.4" customHeight="1">
      <c r="E397" s="364"/>
      <c r="F397" s="364"/>
    </row>
    <row r="398" spans="5:6" ht="29.4" customHeight="1">
      <c r="E398" s="364"/>
      <c r="F398" s="364"/>
    </row>
    <row r="399" spans="5:6" ht="29.4" customHeight="1">
      <c r="E399" s="364"/>
      <c r="F399" s="364"/>
    </row>
    <row r="400" spans="5:6" ht="29.4" customHeight="1">
      <c r="E400" s="364"/>
      <c r="F400" s="364"/>
    </row>
    <row r="401" spans="5:6" ht="29.4" customHeight="1">
      <c r="E401" s="364"/>
      <c r="F401" s="364"/>
    </row>
    <row r="402" spans="5:6" ht="29.4" customHeight="1">
      <c r="E402" s="364"/>
      <c r="F402" s="364"/>
    </row>
    <row r="403" spans="5:6" ht="29.4" customHeight="1">
      <c r="E403" s="364"/>
      <c r="F403" s="364"/>
    </row>
    <row r="404" spans="5:6" ht="29.4" customHeight="1">
      <c r="E404" s="364"/>
      <c r="F404" s="364"/>
    </row>
    <row r="405" spans="5:6" ht="29.4" customHeight="1">
      <c r="E405" s="364"/>
      <c r="F405" s="364"/>
    </row>
    <row r="406" spans="5:6" ht="29.4" customHeight="1">
      <c r="E406" s="364"/>
      <c r="F406" s="364"/>
    </row>
    <row r="407" spans="5:6" ht="29.4" customHeight="1">
      <c r="E407" s="364"/>
      <c r="F407" s="364"/>
    </row>
    <row r="408" spans="5:6" ht="29.4" customHeight="1">
      <c r="E408" s="364"/>
      <c r="F408" s="364"/>
    </row>
    <row r="409" spans="5:6" ht="29.4" customHeight="1">
      <c r="E409" s="364"/>
      <c r="F409" s="364"/>
    </row>
    <row r="410" spans="5:6" ht="29.4" customHeight="1">
      <c r="E410" s="364"/>
      <c r="F410" s="364"/>
    </row>
    <row r="411" spans="5:6" ht="29.4" customHeight="1">
      <c r="E411" s="364"/>
      <c r="F411" s="364"/>
    </row>
    <row r="412" spans="5:6" ht="29.4" customHeight="1">
      <c r="E412" s="364"/>
      <c r="F412" s="364"/>
    </row>
    <row r="413" spans="5:6" ht="29.4" customHeight="1">
      <c r="E413" s="364"/>
      <c r="F413" s="364"/>
    </row>
    <row r="414" spans="5:6" ht="29.4" customHeight="1">
      <c r="E414" s="364"/>
      <c r="F414" s="364"/>
    </row>
    <row r="415" spans="5:6" ht="29.4" customHeight="1">
      <c r="E415" s="364"/>
      <c r="F415" s="364"/>
    </row>
    <row r="416" spans="5:6" ht="29.4" customHeight="1">
      <c r="E416" s="364"/>
      <c r="F416" s="364"/>
    </row>
    <row r="417" spans="5:6" ht="29.4" customHeight="1">
      <c r="E417" s="364"/>
      <c r="F417" s="364"/>
    </row>
    <row r="418" spans="5:6" ht="29.4" customHeight="1">
      <c r="E418" s="364"/>
      <c r="F418" s="364"/>
    </row>
    <row r="419" spans="5:6" ht="29.4" customHeight="1">
      <c r="E419" s="364"/>
      <c r="F419" s="364"/>
    </row>
    <row r="420" spans="5:6" ht="29.4" customHeight="1">
      <c r="E420" s="364"/>
      <c r="F420" s="364"/>
    </row>
    <row r="421" spans="5:6" ht="29.4" customHeight="1">
      <c r="E421" s="364"/>
      <c r="F421" s="364"/>
    </row>
    <row r="422" spans="5:6" ht="29.4" customHeight="1">
      <c r="E422" s="364"/>
      <c r="F422" s="364"/>
    </row>
    <row r="423" spans="5:6" ht="29.4" customHeight="1">
      <c r="E423" s="364"/>
      <c r="F423" s="364"/>
    </row>
    <row r="424" spans="5:6" ht="29.4" customHeight="1">
      <c r="E424" s="364"/>
      <c r="F424" s="364"/>
    </row>
    <row r="425" spans="5:6" ht="29.4" customHeight="1">
      <c r="E425" s="364"/>
      <c r="F425" s="364"/>
    </row>
    <row r="426" spans="5:6" ht="29.4" customHeight="1">
      <c r="E426" s="364"/>
      <c r="F426" s="364"/>
    </row>
    <row r="427" spans="5:6" ht="29.4" customHeight="1">
      <c r="E427" s="364"/>
      <c r="F427" s="364"/>
    </row>
    <row r="428" spans="5:6" ht="29.4" customHeight="1">
      <c r="E428" s="364"/>
      <c r="F428" s="364"/>
    </row>
    <row r="429" spans="5:6" ht="29.4" customHeight="1">
      <c r="E429" s="364"/>
      <c r="F429" s="364"/>
    </row>
    <row r="430" spans="5:6" ht="29.4" customHeight="1">
      <c r="E430" s="364"/>
      <c r="F430" s="364"/>
    </row>
    <row r="431" spans="5:6" ht="29.4" customHeight="1">
      <c r="E431" s="364"/>
      <c r="F431" s="364"/>
    </row>
    <row r="432" spans="5:6" ht="29.4" customHeight="1">
      <c r="E432" s="364"/>
      <c r="F432" s="364"/>
    </row>
    <row r="433" spans="5:6" ht="29.4" customHeight="1">
      <c r="E433" s="364"/>
      <c r="F433" s="364"/>
    </row>
    <row r="434" spans="5:6" ht="29.4" customHeight="1">
      <c r="E434" s="364"/>
      <c r="F434" s="364"/>
    </row>
    <row r="435" spans="5:6" ht="29.4" customHeight="1">
      <c r="E435" s="364"/>
      <c r="F435" s="364"/>
    </row>
    <row r="436" spans="5:6" ht="29.4" customHeight="1">
      <c r="E436" s="364"/>
      <c r="F436" s="364"/>
    </row>
    <row r="437" spans="5:6" ht="29.4" customHeight="1">
      <c r="E437" s="364"/>
      <c r="F437" s="364"/>
    </row>
    <row r="438" spans="5:6" ht="29.4" customHeight="1">
      <c r="E438" s="364"/>
      <c r="F438" s="364"/>
    </row>
    <row r="439" spans="5:6" ht="29.4" customHeight="1">
      <c r="E439" s="364"/>
      <c r="F439" s="364"/>
    </row>
    <row r="440" spans="5:6" ht="29.4" customHeight="1">
      <c r="E440" s="364"/>
      <c r="F440" s="364"/>
    </row>
    <row r="441" spans="5:6" ht="29.4" customHeight="1">
      <c r="E441" s="364"/>
      <c r="F441" s="364"/>
    </row>
    <row r="442" spans="5:6" ht="29.4" customHeight="1">
      <c r="E442" s="364"/>
      <c r="F442" s="364"/>
    </row>
    <row r="443" spans="5:6" ht="29.4" customHeight="1">
      <c r="E443" s="364"/>
      <c r="F443" s="364"/>
    </row>
    <row r="444" spans="5:6" ht="29.4" customHeight="1">
      <c r="E444" s="364"/>
      <c r="F444" s="364"/>
    </row>
    <row r="445" spans="5:6" ht="29.4" customHeight="1">
      <c r="E445" s="364"/>
      <c r="F445" s="364"/>
    </row>
    <row r="446" spans="5:6" ht="29.4" customHeight="1">
      <c r="E446" s="364"/>
      <c r="F446" s="364"/>
    </row>
    <row r="447" spans="5:6" ht="29.4" customHeight="1">
      <c r="E447" s="364"/>
      <c r="F447" s="364"/>
    </row>
    <row r="448" spans="5:6" ht="29.4" customHeight="1">
      <c r="E448" s="364"/>
      <c r="F448" s="364"/>
    </row>
    <row r="449" spans="5:6" ht="29.4" customHeight="1">
      <c r="E449" s="364"/>
      <c r="F449" s="364"/>
    </row>
    <row r="450" spans="5:6" ht="29.4" customHeight="1">
      <c r="E450" s="364"/>
      <c r="F450" s="364"/>
    </row>
    <row r="451" spans="5:6" ht="29.4" customHeight="1">
      <c r="E451" s="364"/>
      <c r="F451" s="364"/>
    </row>
    <row r="452" spans="5:6" ht="29.4" customHeight="1">
      <c r="E452" s="364"/>
      <c r="F452" s="364"/>
    </row>
    <row r="453" spans="5:6" ht="29.4" customHeight="1">
      <c r="E453" s="364"/>
      <c r="F453" s="364"/>
    </row>
    <row r="454" spans="5:6" ht="29.4" customHeight="1">
      <c r="E454" s="364"/>
      <c r="F454" s="364"/>
    </row>
    <row r="455" spans="5:6" ht="29.4" customHeight="1">
      <c r="E455" s="364"/>
      <c r="F455" s="364"/>
    </row>
    <row r="456" spans="5:6" ht="29.4" customHeight="1">
      <c r="E456" s="364"/>
      <c r="F456" s="364"/>
    </row>
    <row r="457" spans="5:6" ht="29.4" customHeight="1">
      <c r="E457" s="364"/>
      <c r="F457" s="364"/>
    </row>
    <row r="458" spans="5:6" ht="29.4" customHeight="1">
      <c r="E458" s="364"/>
      <c r="F458" s="364"/>
    </row>
    <row r="459" spans="5:6" ht="29.4" customHeight="1">
      <c r="E459" s="364"/>
      <c r="F459" s="364"/>
    </row>
    <row r="460" spans="5:6" ht="29.4" customHeight="1">
      <c r="E460" s="364"/>
      <c r="F460" s="364"/>
    </row>
    <row r="461" spans="5:6" ht="29.4" customHeight="1">
      <c r="E461" s="364"/>
      <c r="F461" s="364"/>
    </row>
    <row r="462" spans="5:6" ht="29.4" customHeight="1">
      <c r="E462" s="364"/>
      <c r="F462" s="364"/>
    </row>
    <row r="463" spans="5:6" ht="29.4" customHeight="1">
      <c r="E463" s="364"/>
      <c r="F463" s="364"/>
    </row>
    <row r="464" spans="5:6" ht="29.4" customHeight="1">
      <c r="E464" s="364"/>
      <c r="F464" s="364"/>
    </row>
    <row r="465" spans="5:6" ht="29.4" customHeight="1">
      <c r="E465" s="364"/>
      <c r="F465" s="364"/>
    </row>
    <row r="466" spans="5:6" ht="29.4" customHeight="1">
      <c r="E466" s="364"/>
      <c r="F466" s="364"/>
    </row>
    <row r="467" spans="5:6" ht="29.4" customHeight="1">
      <c r="E467" s="364"/>
      <c r="F467" s="364"/>
    </row>
    <row r="468" spans="5:6" ht="29.4" customHeight="1">
      <c r="E468" s="364"/>
      <c r="F468" s="364"/>
    </row>
    <row r="469" spans="5:6" ht="29.4" customHeight="1">
      <c r="E469" s="364"/>
      <c r="F469" s="364"/>
    </row>
    <row r="470" spans="5:6" ht="29.4" customHeight="1">
      <c r="E470" s="364"/>
      <c r="F470" s="364"/>
    </row>
    <row r="471" spans="5:6" ht="29.4" customHeight="1">
      <c r="E471" s="364"/>
      <c r="F471" s="364"/>
    </row>
    <row r="472" spans="5:6" ht="29.4" customHeight="1">
      <c r="E472" s="364"/>
      <c r="F472" s="364"/>
    </row>
    <row r="473" spans="5:6" ht="29.4" customHeight="1">
      <c r="E473" s="364"/>
      <c r="F473" s="364"/>
    </row>
    <row r="474" spans="5:6" ht="29.4" customHeight="1">
      <c r="E474" s="364"/>
      <c r="F474" s="364"/>
    </row>
    <row r="475" spans="5:6" ht="29.4" customHeight="1">
      <c r="E475" s="364"/>
      <c r="F475" s="364"/>
    </row>
    <row r="476" spans="5:6" ht="29.4" customHeight="1">
      <c r="E476" s="364"/>
      <c r="F476" s="364"/>
    </row>
    <row r="477" spans="5:6" ht="29.4" customHeight="1">
      <c r="E477" s="364"/>
      <c r="F477" s="364"/>
    </row>
    <row r="478" spans="5:6" ht="29.4" customHeight="1">
      <c r="E478" s="364"/>
      <c r="F478" s="364"/>
    </row>
    <row r="479" spans="5:6" ht="29.4" customHeight="1">
      <c r="E479" s="364"/>
      <c r="F479" s="364"/>
    </row>
    <row r="480" spans="5:6" ht="29.4" customHeight="1">
      <c r="E480" s="364"/>
      <c r="F480" s="364"/>
    </row>
    <row r="481" spans="5:6" ht="29.4" customHeight="1">
      <c r="E481" s="364"/>
      <c r="F481" s="364"/>
    </row>
    <row r="482" spans="5:6" ht="29.4" customHeight="1">
      <c r="E482" s="364"/>
      <c r="F482" s="364"/>
    </row>
    <row r="483" spans="5:6" ht="29.4" customHeight="1">
      <c r="E483" s="364"/>
      <c r="F483" s="364"/>
    </row>
    <row r="484" spans="5:6" ht="29.4" customHeight="1">
      <c r="E484" s="364"/>
      <c r="F484" s="364"/>
    </row>
    <row r="485" spans="5:6" ht="29.4" customHeight="1">
      <c r="E485" s="364"/>
      <c r="F485" s="364"/>
    </row>
    <row r="486" spans="5:6" ht="29.4" customHeight="1">
      <c r="E486" s="364"/>
      <c r="F486" s="364"/>
    </row>
    <row r="487" spans="5:6" ht="29.4" customHeight="1">
      <c r="E487" s="364"/>
      <c r="F487" s="364"/>
    </row>
    <row r="488" spans="5:6" ht="29.4" customHeight="1">
      <c r="E488" s="364"/>
      <c r="F488" s="364"/>
    </row>
    <row r="489" spans="5:6" ht="29.4" customHeight="1">
      <c r="E489" s="364"/>
      <c r="F489" s="364"/>
    </row>
    <row r="490" spans="5:6" ht="29.4" customHeight="1">
      <c r="E490" s="364"/>
      <c r="F490" s="364"/>
    </row>
    <row r="491" spans="5:6" ht="29.4" customHeight="1">
      <c r="E491" s="364"/>
      <c r="F491" s="364"/>
    </row>
    <row r="492" spans="5:6" ht="29.4" customHeight="1">
      <c r="E492" s="364"/>
      <c r="F492" s="364"/>
    </row>
    <row r="493" spans="5:6" ht="29.4" customHeight="1">
      <c r="E493" s="364"/>
      <c r="F493" s="364"/>
    </row>
    <row r="494" spans="5:6" ht="29.4" customHeight="1">
      <c r="E494" s="364"/>
      <c r="F494" s="364"/>
    </row>
    <row r="495" spans="5:6" ht="29.4" customHeight="1">
      <c r="E495" s="364"/>
      <c r="F495" s="364"/>
    </row>
    <row r="496" spans="5:6" ht="29.4" customHeight="1">
      <c r="E496" s="364"/>
      <c r="F496" s="364"/>
    </row>
    <row r="497" spans="5:6" ht="29.4" customHeight="1">
      <c r="E497" s="364"/>
      <c r="F497" s="364"/>
    </row>
    <row r="498" spans="5:6" ht="29.4" customHeight="1">
      <c r="E498" s="364"/>
      <c r="F498" s="364"/>
    </row>
    <row r="499" spans="5:6" ht="29.4" customHeight="1">
      <c r="E499" s="364"/>
      <c r="F499" s="364"/>
    </row>
    <row r="500" spans="5:6" ht="29.4" customHeight="1">
      <c r="E500" s="364"/>
      <c r="F500" s="364"/>
    </row>
    <row r="501" spans="5:6" ht="29.4" customHeight="1">
      <c r="E501" s="364"/>
      <c r="F501" s="364"/>
    </row>
    <row r="502" spans="5:6" ht="29.4" customHeight="1">
      <c r="E502" s="364"/>
      <c r="F502" s="364"/>
    </row>
    <row r="503" spans="5:6" ht="29.4" customHeight="1">
      <c r="E503" s="364"/>
      <c r="F503" s="364"/>
    </row>
    <row r="504" spans="5:6" ht="29.4" customHeight="1">
      <c r="E504" s="364"/>
      <c r="F504" s="364"/>
    </row>
    <row r="505" spans="5:6" ht="29.4" customHeight="1">
      <c r="E505" s="364"/>
      <c r="F505" s="364"/>
    </row>
    <row r="506" spans="5:6" ht="29.4" customHeight="1">
      <c r="E506" s="364"/>
      <c r="F506" s="364"/>
    </row>
    <row r="507" spans="5:6" ht="29.4" customHeight="1">
      <c r="E507" s="364"/>
      <c r="F507" s="364"/>
    </row>
    <row r="508" spans="5:6" ht="29.4" customHeight="1">
      <c r="E508" s="364"/>
      <c r="F508" s="364"/>
    </row>
    <row r="509" spans="5:6" ht="29.4" customHeight="1">
      <c r="E509" s="364"/>
      <c r="F509" s="364"/>
    </row>
    <row r="510" spans="5:6" ht="29.4" customHeight="1">
      <c r="E510" s="364"/>
      <c r="F510" s="364"/>
    </row>
    <row r="511" spans="5:6" ht="29.4" customHeight="1">
      <c r="E511" s="364"/>
      <c r="F511" s="364"/>
    </row>
    <row r="512" spans="5:6" ht="29.4" customHeight="1">
      <c r="E512" s="364"/>
      <c r="F512" s="364"/>
    </row>
    <row r="513" spans="5:6" ht="29.4" customHeight="1">
      <c r="E513" s="364"/>
      <c r="F513" s="364"/>
    </row>
    <row r="514" spans="5:6" ht="29.4" customHeight="1">
      <c r="E514" s="364"/>
      <c r="F514" s="364"/>
    </row>
    <row r="515" spans="5:6" ht="29.4" customHeight="1">
      <c r="E515" s="364"/>
      <c r="F515" s="364"/>
    </row>
    <row r="516" spans="5:6" ht="29.4" customHeight="1">
      <c r="E516" s="364"/>
      <c r="F516" s="364"/>
    </row>
    <row r="517" spans="5:6" ht="29.4" customHeight="1">
      <c r="E517" s="364"/>
      <c r="F517" s="364"/>
    </row>
    <row r="518" spans="5:6" ht="29.4" customHeight="1">
      <c r="E518" s="364"/>
      <c r="F518" s="364"/>
    </row>
    <row r="519" spans="5:6" ht="29.4" customHeight="1">
      <c r="E519" s="364"/>
      <c r="F519" s="364"/>
    </row>
    <row r="520" spans="5:6" ht="29.4" customHeight="1">
      <c r="E520" s="364"/>
      <c r="F520" s="364"/>
    </row>
    <row r="521" spans="5:6" ht="29.4" customHeight="1">
      <c r="E521" s="364"/>
      <c r="F521" s="364"/>
    </row>
    <row r="522" spans="5:6" ht="29.4" customHeight="1">
      <c r="E522" s="364"/>
      <c r="F522" s="364"/>
    </row>
    <row r="523" spans="5:6" ht="29.4" customHeight="1">
      <c r="E523" s="364"/>
      <c r="F523" s="364"/>
    </row>
    <row r="524" spans="5:6" ht="29.4" customHeight="1">
      <c r="E524" s="364"/>
      <c r="F524" s="364"/>
    </row>
    <row r="525" spans="5:6" ht="29.4" customHeight="1">
      <c r="E525" s="364"/>
      <c r="F525" s="364"/>
    </row>
    <row r="526" spans="5:6" ht="29.4" customHeight="1">
      <c r="E526" s="364"/>
      <c r="F526" s="364"/>
    </row>
    <row r="527" spans="5:6" ht="29.4" customHeight="1">
      <c r="E527" s="364"/>
      <c r="F527" s="364"/>
    </row>
    <row r="528" spans="5:6" ht="29.4" customHeight="1">
      <c r="E528" s="364"/>
      <c r="F528" s="364"/>
    </row>
    <row r="529" spans="5:6" ht="29.4" customHeight="1">
      <c r="E529" s="364"/>
      <c r="F529" s="364"/>
    </row>
    <row r="530" spans="5:6" ht="29.4" customHeight="1">
      <c r="E530" s="364"/>
      <c r="F530" s="364"/>
    </row>
    <row r="531" spans="5:6" ht="29.4" customHeight="1">
      <c r="E531" s="364"/>
      <c r="F531" s="364"/>
    </row>
    <row r="532" spans="5:6" ht="29.4" customHeight="1">
      <c r="E532" s="364"/>
      <c r="F532" s="364"/>
    </row>
    <row r="533" spans="5:6" ht="29.4" customHeight="1">
      <c r="E533" s="364"/>
      <c r="F533" s="364"/>
    </row>
    <row r="534" spans="5:6" ht="29.4" customHeight="1">
      <c r="E534" s="364"/>
      <c r="F534" s="364"/>
    </row>
    <row r="535" spans="5:6" ht="29.4" customHeight="1">
      <c r="E535" s="364"/>
      <c r="F535" s="364"/>
    </row>
    <row r="536" spans="5:6" ht="29.4" customHeight="1">
      <c r="E536" s="364"/>
      <c r="F536" s="364"/>
    </row>
    <row r="537" spans="5:6" ht="29.4" customHeight="1">
      <c r="E537" s="364"/>
      <c r="F537" s="364"/>
    </row>
    <row r="538" spans="5:6" ht="29.4" customHeight="1">
      <c r="E538" s="364"/>
      <c r="F538" s="364"/>
    </row>
    <row r="539" spans="5:6" ht="29.4" customHeight="1">
      <c r="E539" s="364"/>
      <c r="F539" s="364"/>
    </row>
    <row r="540" spans="5:6" ht="29.4" customHeight="1">
      <c r="E540" s="364"/>
      <c r="F540" s="364"/>
    </row>
    <row r="541" spans="5:6" ht="29.4" customHeight="1">
      <c r="E541" s="364"/>
      <c r="F541" s="364"/>
    </row>
    <row r="542" spans="5:6" ht="29.4" customHeight="1">
      <c r="E542" s="364"/>
      <c r="F542" s="364"/>
    </row>
    <row r="543" spans="5:6" ht="29.4" customHeight="1">
      <c r="E543" s="364"/>
      <c r="F543" s="364"/>
    </row>
    <row r="544" spans="5:6" ht="29.4" customHeight="1">
      <c r="E544" s="364"/>
      <c r="F544" s="364"/>
    </row>
    <row r="545" spans="5:6" ht="29.4" customHeight="1">
      <c r="E545" s="364"/>
      <c r="F545" s="364"/>
    </row>
    <row r="546" spans="5:6" ht="29.4" customHeight="1">
      <c r="E546" s="364"/>
      <c r="F546" s="364"/>
    </row>
    <row r="547" spans="5:6" ht="29.4" customHeight="1">
      <c r="E547" s="364"/>
      <c r="F547" s="364"/>
    </row>
    <row r="548" spans="5:6" ht="29.4" customHeight="1">
      <c r="E548" s="364"/>
      <c r="F548" s="364"/>
    </row>
    <row r="549" spans="5:6" ht="29.4" customHeight="1">
      <c r="E549" s="364"/>
      <c r="F549" s="364"/>
    </row>
    <row r="550" spans="5:6" ht="29.4" customHeight="1">
      <c r="E550" s="364"/>
      <c r="F550" s="364"/>
    </row>
    <row r="551" spans="5:6" ht="29.4" customHeight="1">
      <c r="E551" s="364"/>
      <c r="F551" s="364"/>
    </row>
    <row r="552" spans="5:6" ht="29.4" customHeight="1">
      <c r="E552" s="364"/>
      <c r="F552" s="364"/>
    </row>
    <row r="553" spans="5:6" ht="29.4" customHeight="1">
      <c r="E553" s="364"/>
      <c r="F553" s="364"/>
    </row>
    <row r="554" spans="5:6" ht="29.4" customHeight="1">
      <c r="E554" s="364"/>
      <c r="F554" s="364"/>
    </row>
    <row r="555" spans="5:6" ht="29.4" customHeight="1">
      <c r="E555" s="364"/>
      <c r="F555" s="364"/>
    </row>
    <row r="556" spans="5:6" ht="29.4" customHeight="1">
      <c r="E556" s="364"/>
      <c r="F556" s="364"/>
    </row>
    <row r="557" spans="5:6" ht="29.4" customHeight="1">
      <c r="E557" s="364"/>
      <c r="F557" s="364"/>
    </row>
    <row r="558" spans="5:6" ht="29.4" customHeight="1">
      <c r="E558" s="364"/>
      <c r="F558" s="364"/>
    </row>
    <row r="559" spans="5:6" ht="29.4" customHeight="1">
      <c r="E559" s="364"/>
      <c r="F559" s="364"/>
    </row>
    <row r="560" spans="5:6" ht="29.4" customHeight="1">
      <c r="E560" s="364"/>
      <c r="F560" s="364"/>
    </row>
    <row r="561" spans="5:6" ht="29.4" customHeight="1">
      <c r="E561" s="364"/>
      <c r="F561" s="364"/>
    </row>
    <row r="562" spans="5:6" ht="29.4" customHeight="1">
      <c r="E562" s="364"/>
      <c r="F562" s="364"/>
    </row>
    <row r="563" spans="5:6" ht="29.4" customHeight="1">
      <c r="E563" s="364"/>
      <c r="F563" s="364"/>
    </row>
    <row r="564" spans="5:6" ht="29.4" customHeight="1">
      <c r="E564" s="364"/>
      <c r="F564" s="364"/>
    </row>
    <row r="565" spans="5:6" ht="29.4" customHeight="1">
      <c r="E565" s="364"/>
      <c r="F565" s="364"/>
    </row>
    <row r="566" spans="5:6" ht="29.4" customHeight="1">
      <c r="E566" s="364"/>
      <c r="F566" s="364"/>
    </row>
    <row r="567" spans="5:6" ht="29.4" customHeight="1">
      <c r="E567" s="364"/>
      <c r="F567" s="364"/>
    </row>
    <row r="568" spans="5:6" ht="29.4" customHeight="1">
      <c r="E568" s="364"/>
      <c r="F568" s="364"/>
    </row>
    <row r="569" spans="5:6" ht="29.4" customHeight="1">
      <c r="E569" s="364"/>
      <c r="F569" s="364"/>
    </row>
    <row r="570" spans="5:6" ht="29.4" customHeight="1">
      <c r="E570" s="364"/>
      <c r="F570" s="364"/>
    </row>
    <row r="571" spans="5:6" ht="29.4" customHeight="1">
      <c r="E571" s="364"/>
      <c r="F571" s="364"/>
    </row>
    <row r="572" spans="5:6" ht="29.4" customHeight="1">
      <c r="E572" s="364"/>
      <c r="F572" s="364"/>
    </row>
    <row r="573" spans="5:6" ht="29.4" customHeight="1">
      <c r="E573" s="364"/>
      <c r="F573" s="364"/>
    </row>
    <row r="574" spans="5:6" ht="29.4" customHeight="1">
      <c r="E574" s="364"/>
      <c r="F574" s="364"/>
    </row>
    <row r="575" spans="5:6" ht="29.4" customHeight="1">
      <c r="E575" s="364"/>
      <c r="F575" s="364"/>
    </row>
    <row r="576" spans="5:6" ht="29.4" customHeight="1">
      <c r="E576" s="364"/>
      <c r="F576" s="364"/>
    </row>
    <row r="577" spans="5:6" ht="29.4" customHeight="1">
      <c r="E577" s="364"/>
      <c r="F577" s="364"/>
    </row>
    <row r="578" spans="5:6" ht="29.4" customHeight="1">
      <c r="E578" s="364"/>
      <c r="F578" s="364"/>
    </row>
    <row r="579" spans="5:6" ht="29.4" customHeight="1">
      <c r="E579" s="364"/>
      <c r="F579" s="364"/>
    </row>
    <row r="580" spans="5:6" ht="29.4" customHeight="1">
      <c r="E580" s="364"/>
      <c r="F580" s="364"/>
    </row>
    <row r="581" spans="5:6" ht="29.4" customHeight="1">
      <c r="E581" s="364"/>
      <c r="F581" s="364"/>
    </row>
    <row r="582" spans="5:6" ht="29.4" customHeight="1">
      <c r="E582" s="364"/>
      <c r="F582" s="364"/>
    </row>
    <row r="583" spans="5:6" ht="29.4" customHeight="1">
      <c r="E583" s="364"/>
      <c r="F583" s="364"/>
    </row>
    <row r="584" spans="5:6" ht="29.4" customHeight="1">
      <c r="E584" s="364"/>
      <c r="F584" s="364"/>
    </row>
    <row r="585" spans="5:6" ht="29.4" customHeight="1">
      <c r="E585" s="364"/>
      <c r="F585" s="364"/>
    </row>
    <row r="586" spans="5:6" ht="29.4" customHeight="1">
      <c r="E586" s="364"/>
      <c r="F586" s="364"/>
    </row>
    <row r="587" spans="5:6" ht="29.4" customHeight="1">
      <c r="E587" s="364"/>
      <c r="F587" s="364"/>
    </row>
    <row r="588" spans="5:6" ht="29.4" customHeight="1">
      <c r="E588" s="364"/>
      <c r="F588" s="364"/>
    </row>
    <row r="589" spans="5:6" ht="29.4" customHeight="1">
      <c r="E589" s="364"/>
      <c r="F589" s="364"/>
    </row>
    <row r="590" spans="5:6" ht="29.4" customHeight="1">
      <c r="E590" s="364"/>
      <c r="F590" s="364"/>
    </row>
    <row r="591" spans="5:6" ht="29.4" customHeight="1">
      <c r="E591" s="364"/>
      <c r="F591" s="364"/>
    </row>
    <row r="592" spans="5:6" ht="29.4" customHeight="1">
      <c r="E592" s="364"/>
      <c r="F592" s="364"/>
    </row>
    <row r="593" spans="5:6" ht="29.4" customHeight="1">
      <c r="E593" s="364"/>
      <c r="F593" s="364"/>
    </row>
    <row r="594" spans="5:6" ht="29.4" customHeight="1">
      <c r="E594" s="364"/>
      <c r="F594" s="364"/>
    </row>
    <row r="595" spans="5:6" ht="29.4" customHeight="1">
      <c r="E595" s="364"/>
      <c r="F595" s="364"/>
    </row>
    <row r="596" spans="5:6" ht="29.4" customHeight="1">
      <c r="E596" s="364"/>
      <c r="F596" s="364"/>
    </row>
    <row r="597" spans="5:6" ht="29.4" customHeight="1">
      <c r="E597" s="364"/>
      <c r="F597" s="364"/>
    </row>
    <row r="598" spans="5:6" ht="29.4" customHeight="1">
      <c r="E598" s="364"/>
      <c r="F598" s="364"/>
    </row>
    <row r="599" spans="5:6" ht="29.4" customHeight="1">
      <c r="E599" s="364"/>
      <c r="F599" s="364"/>
    </row>
    <row r="600" spans="5:6" ht="29.4" customHeight="1">
      <c r="E600" s="364"/>
      <c r="F600" s="364"/>
    </row>
    <row r="601" spans="5:6" ht="29.4" customHeight="1">
      <c r="E601" s="364"/>
      <c r="F601" s="364"/>
    </row>
    <row r="602" spans="5:6" ht="29.4" customHeight="1">
      <c r="E602" s="364"/>
      <c r="F602" s="364"/>
    </row>
    <row r="603" spans="5:6" ht="29.4" customHeight="1">
      <c r="E603" s="364"/>
      <c r="F603" s="364"/>
    </row>
    <row r="604" spans="5:6" ht="29.4" customHeight="1">
      <c r="E604" s="364"/>
      <c r="F604" s="364"/>
    </row>
    <row r="605" spans="5:6" ht="29.4" customHeight="1">
      <c r="E605" s="364"/>
      <c r="F605" s="364"/>
    </row>
    <row r="606" spans="5:6" ht="29.4" customHeight="1">
      <c r="E606" s="364"/>
      <c r="F606" s="364"/>
    </row>
    <row r="607" spans="5:6" ht="29.4" customHeight="1">
      <c r="E607" s="364"/>
      <c r="F607" s="364"/>
    </row>
    <row r="608" spans="5:6" ht="29.4" customHeight="1">
      <c r="E608" s="364"/>
      <c r="F608" s="364"/>
    </row>
    <row r="609" spans="5:6" ht="29.4" customHeight="1">
      <c r="E609" s="364"/>
      <c r="F609" s="364"/>
    </row>
    <row r="610" spans="5:6" ht="29.4" customHeight="1">
      <c r="E610" s="364"/>
      <c r="F610" s="364"/>
    </row>
    <row r="611" spans="5:6" ht="29.4" customHeight="1">
      <c r="E611" s="364"/>
      <c r="F611" s="364"/>
    </row>
    <row r="612" spans="5:6" ht="29.4" customHeight="1">
      <c r="E612" s="364"/>
      <c r="F612" s="364"/>
    </row>
    <row r="613" spans="5:6" ht="29.4" customHeight="1">
      <c r="E613" s="364"/>
      <c r="F613" s="364"/>
    </row>
    <row r="614" spans="5:6" ht="29.4" customHeight="1">
      <c r="E614" s="364"/>
      <c r="F614" s="364"/>
    </row>
    <row r="615" spans="5:6" ht="29.4" customHeight="1">
      <c r="E615" s="364"/>
      <c r="F615" s="364"/>
    </row>
    <row r="616" spans="5:6" ht="29.4" customHeight="1">
      <c r="E616" s="364"/>
      <c r="F616" s="364"/>
    </row>
    <row r="617" spans="5:6" ht="29.4" customHeight="1">
      <c r="E617" s="364"/>
      <c r="F617" s="364"/>
    </row>
    <row r="618" spans="5:6" ht="29.4" customHeight="1">
      <c r="E618" s="364"/>
      <c r="F618" s="364"/>
    </row>
    <row r="619" spans="5:6" ht="29.4" customHeight="1">
      <c r="E619" s="364"/>
      <c r="F619" s="364"/>
    </row>
    <row r="620" spans="5:6" ht="29.4" customHeight="1">
      <c r="E620" s="364"/>
      <c r="F620" s="364"/>
    </row>
    <row r="621" spans="5:6" ht="29.4" customHeight="1">
      <c r="E621" s="364"/>
      <c r="F621" s="364"/>
    </row>
    <row r="622" spans="5:6" ht="29.4" customHeight="1">
      <c r="E622" s="364"/>
      <c r="F622" s="364"/>
    </row>
    <row r="623" spans="5:6" ht="29.4" customHeight="1">
      <c r="E623" s="364"/>
      <c r="F623" s="364"/>
    </row>
    <row r="624" spans="5:6" ht="29.4" customHeight="1">
      <c r="E624" s="364"/>
      <c r="F624" s="364"/>
    </row>
    <row r="625" spans="5:6" ht="29.4" customHeight="1">
      <c r="E625" s="364"/>
      <c r="F625" s="364"/>
    </row>
    <row r="626" spans="5:6" ht="29.4" customHeight="1">
      <c r="E626" s="364"/>
      <c r="F626" s="364"/>
    </row>
    <row r="627" spans="5:6" ht="29.4" customHeight="1">
      <c r="E627" s="364"/>
      <c r="F627" s="364"/>
    </row>
    <row r="628" spans="5:6" ht="29.4" customHeight="1">
      <c r="E628" s="364"/>
      <c r="F628" s="364"/>
    </row>
    <row r="629" spans="5:6" ht="29.4" customHeight="1">
      <c r="E629" s="364"/>
      <c r="F629" s="364"/>
    </row>
    <row r="630" spans="5:6" ht="29.4" customHeight="1">
      <c r="E630" s="364"/>
      <c r="F630" s="364"/>
    </row>
    <row r="631" spans="5:6" ht="29.4" customHeight="1">
      <c r="E631" s="364"/>
      <c r="F631" s="364"/>
    </row>
    <row r="632" spans="5:6" ht="29.4" customHeight="1">
      <c r="E632" s="364"/>
      <c r="F632" s="364"/>
    </row>
    <row r="633" spans="5:6" ht="29.4" customHeight="1">
      <c r="E633" s="364"/>
      <c r="F633" s="364"/>
    </row>
    <row r="634" spans="5:6" ht="29.4" customHeight="1">
      <c r="E634" s="364"/>
      <c r="F634" s="364"/>
    </row>
    <row r="635" spans="5:6" ht="29.4" customHeight="1">
      <c r="E635" s="364"/>
      <c r="F635" s="364"/>
    </row>
    <row r="636" spans="5:6" ht="29.4" customHeight="1">
      <c r="E636" s="364"/>
      <c r="F636" s="364"/>
    </row>
    <row r="637" spans="5:6" ht="29.4" customHeight="1">
      <c r="E637" s="364"/>
      <c r="F637" s="364"/>
    </row>
    <row r="638" spans="5:6" ht="29.4" customHeight="1">
      <c r="E638" s="364"/>
      <c r="F638" s="364"/>
    </row>
    <row r="639" spans="5:6" ht="29.4" customHeight="1">
      <c r="E639" s="364"/>
      <c r="F639" s="364"/>
    </row>
    <row r="640" spans="5:6" ht="29.4" customHeight="1">
      <c r="E640" s="364"/>
      <c r="F640" s="364"/>
    </row>
    <row r="641" spans="5:6" ht="29.4" customHeight="1">
      <c r="E641" s="364"/>
      <c r="F641" s="364"/>
    </row>
    <row r="642" spans="5:6" ht="29.4" customHeight="1">
      <c r="E642" s="364"/>
      <c r="F642" s="364"/>
    </row>
    <row r="643" spans="5:6" ht="29.4" customHeight="1">
      <c r="E643" s="364"/>
      <c r="F643" s="364"/>
    </row>
    <row r="644" spans="5:6" ht="29.4" customHeight="1">
      <c r="E644" s="364"/>
      <c r="F644" s="364"/>
    </row>
    <row r="645" spans="5:6" ht="29.4" customHeight="1">
      <c r="E645" s="364"/>
      <c r="F645" s="364"/>
    </row>
    <row r="646" spans="5:6" ht="29.4" customHeight="1">
      <c r="E646" s="364"/>
      <c r="F646" s="364"/>
    </row>
    <row r="647" spans="5:6" ht="29.4" customHeight="1">
      <c r="E647" s="364"/>
      <c r="F647" s="364"/>
    </row>
    <row r="648" spans="5:6" ht="29.4" customHeight="1">
      <c r="E648" s="364"/>
      <c r="F648" s="364"/>
    </row>
    <row r="649" spans="5:6" ht="29.4" customHeight="1">
      <c r="E649" s="364"/>
      <c r="F649" s="364"/>
    </row>
    <row r="650" spans="5:6" ht="29.4" customHeight="1">
      <c r="E650" s="364"/>
      <c r="F650" s="364"/>
    </row>
    <row r="651" spans="5:6" ht="29.4" customHeight="1">
      <c r="E651" s="364"/>
      <c r="F651" s="364"/>
    </row>
    <row r="652" spans="5:6" ht="29.4" customHeight="1">
      <c r="E652" s="364"/>
      <c r="F652" s="364"/>
    </row>
    <row r="653" spans="5:6" ht="29.4" customHeight="1">
      <c r="E653" s="364"/>
      <c r="F653" s="364"/>
    </row>
    <row r="654" spans="5:6" ht="29.4" customHeight="1">
      <c r="E654" s="364"/>
      <c r="F654" s="364"/>
    </row>
    <row r="655" spans="5:6" ht="29.4" customHeight="1">
      <c r="E655" s="364"/>
      <c r="F655" s="364"/>
    </row>
    <row r="656" spans="5:6" ht="29.4" customHeight="1">
      <c r="E656" s="364"/>
      <c r="F656" s="364"/>
    </row>
    <row r="657" spans="5:6" ht="29.4" customHeight="1">
      <c r="E657" s="364"/>
      <c r="F657" s="364"/>
    </row>
    <row r="658" spans="5:6" ht="29.4" customHeight="1">
      <c r="E658" s="364"/>
      <c r="F658" s="364"/>
    </row>
    <row r="659" spans="5:6" ht="29.4" customHeight="1">
      <c r="E659" s="364"/>
      <c r="F659" s="364"/>
    </row>
    <row r="660" spans="5:6" ht="29.4" customHeight="1">
      <c r="E660" s="364"/>
      <c r="F660" s="364"/>
    </row>
    <row r="661" spans="5:6" ht="29.4" customHeight="1">
      <c r="E661" s="364"/>
      <c r="F661" s="364"/>
    </row>
    <row r="662" spans="5:6" ht="29.4" customHeight="1">
      <c r="E662" s="364"/>
      <c r="F662" s="364"/>
    </row>
    <row r="663" spans="5:6" ht="29.4" customHeight="1">
      <c r="E663" s="364"/>
      <c r="F663" s="364"/>
    </row>
    <row r="664" spans="5:6" ht="29.4" customHeight="1">
      <c r="E664" s="364"/>
      <c r="F664" s="364"/>
    </row>
    <row r="665" spans="5:6" ht="29.4" customHeight="1">
      <c r="E665" s="364"/>
      <c r="F665" s="364"/>
    </row>
    <row r="666" spans="5:6" ht="29.4" customHeight="1">
      <c r="E666" s="364"/>
      <c r="F666" s="364"/>
    </row>
    <row r="667" spans="5:6" ht="29.4" customHeight="1">
      <c r="E667" s="364"/>
      <c r="F667" s="364"/>
    </row>
    <row r="668" spans="5:6" ht="29.4" customHeight="1">
      <c r="E668" s="364"/>
      <c r="F668" s="364"/>
    </row>
    <row r="669" spans="5:6" ht="29.4" customHeight="1">
      <c r="E669" s="364"/>
      <c r="F669" s="364"/>
    </row>
    <row r="670" spans="5:6" ht="29.4" customHeight="1">
      <c r="E670" s="364"/>
      <c r="F670" s="364"/>
    </row>
    <row r="671" spans="5:6" ht="29.4" customHeight="1">
      <c r="E671" s="364"/>
      <c r="F671" s="364"/>
    </row>
    <row r="672" spans="5:6" ht="29.4" customHeight="1">
      <c r="E672" s="364"/>
      <c r="F672" s="364"/>
    </row>
    <row r="673" spans="5:6" ht="29.4" customHeight="1">
      <c r="E673" s="364"/>
      <c r="F673" s="364"/>
    </row>
    <row r="674" spans="5:6" ht="29.4" customHeight="1">
      <c r="E674" s="364"/>
      <c r="F674" s="364"/>
    </row>
    <row r="675" spans="5:6" ht="29.4" customHeight="1">
      <c r="E675" s="364"/>
      <c r="F675" s="364"/>
    </row>
    <row r="676" spans="5:6" ht="29.4" customHeight="1">
      <c r="E676" s="364"/>
      <c r="F676" s="364"/>
    </row>
    <row r="677" spans="5:6" ht="29.4" customHeight="1">
      <c r="E677" s="364"/>
      <c r="F677" s="364"/>
    </row>
    <row r="678" spans="5:6" ht="29.4" customHeight="1">
      <c r="E678" s="364"/>
      <c r="F678" s="364"/>
    </row>
    <row r="679" spans="5:6" ht="29.4" customHeight="1">
      <c r="E679" s="364"/>
      <c r="F679" s="364"/>
    </row>
    <row r="680" spans="5:6" ht="29.4" customHeight="1">
      <c r="E680" s="364"/>
      <c r="F680" s="364"/>
    </row>
    <row r="681" spans="5:6" ht="29.4" customHeight="1">
      <c r="E681" s="364"/>
      <c r="F681" s="364"/>
    </row>
    <row r="682" spans="5:6" ht="29.4" customHeight="1">
      <c r="E682" s="364"/>
      <c r="F682" s="364"/>
    </row>
    <row r="683" spans="5:6" ht="29.4" customHeight="1">
      <c r="E683" s="364"/>
      <c r="F683" s="364"/>
    </row>
    <row r="684" spans="5:6" ht="29.4" customHeight="1">
      <c r="E684" s="364"/>
      <c r="F684" s="364"/>
    </row>
    <row r="685" spans="5:6" ht="29.4" customHeight="1">
      <c r="E685" s="364"/>
      <c r="F685" s="364"/>
    </row>
    <row r="686" spans="5:6" ht="29.4" customHeight="1">
      <c r="E686" s="364"/>
      <c r="F686" s="364"/>
    </row>
    <row r="687" spans="5:6" ht="29.4" customHeight="1">
      <c r="E687" s="364"/>
      <c r="F687" s="364"/>
    </row>
    <row r="688" spans="5:6" ht="29.4" customHeight="1">
      <c r="E688" s="364"/>
      <c r="F688" s="364"/>
    </row>
    <row r="689" spans="5:6" ht="29.4" customHeight="1">
      <c r="E689" s="364"/>
      <c r="F689" s="364"/>
    </row>
    <row r="690" spans="5:6" ht="29.4" customHeight="1">
      <c r="E690" s="364"/>
      <c r="F690" s="364"/>
    </row>
    <row r="691" spans="5:6" ht="29.4" customHeight="1">
      <c r="E691" s="364"/>
      <c r="F691" s="364"/>
    </row>
    <row r="692" spans="5:6" ht="29.4" customHeight="1">
      <c r="E692" s="364"/>
      <c r="F692" s="364"/>
    </row>
    <row r="693" spans="5:6" ht="29.4" customHeight="1">
      <c r="E693" s="364"/>
      <c r="F693" s="364"/>
    </row>
    <row r="694" spans="5:6" ht="29.4" customHeight="1">
      <c r="E694" s="364"/>
      <c r="F694" s="364"/>
    </row>
    <row r="695" spans="5:6" ht="29.4" customHeight="1">
      <c r="E695" s="364"/>
      <c r="F695" s="364"/>
    </row>
    <row r="696" spans="5:6" ht="29.4" customHeight="1">
      <c r="E696" s="364"/>
      <c r="F696" s="364"/>
    </row>
    <row r="697" spans="5:6" ht="29.4" customHeight="1">
      <c r="E697" s="364"/>
      <c r="F697" s="364"/>
    </row>
    <row r="698" spans="5:6" ht="29.4" customHeight="1">
      <c r="E698" s="364"/>
      <c r="F698" s="364"/>
    </row>
    <row r="699" spans="5:6" ht="29.4" customHeight="1">
      <c r="E699" s="364"/>
      <c r="F699" s="364"/>
    </row>
    <row r="700" spans="5:6" ht="29.4" customHeight="1">
      <c r="E700" s="364"/>
      <c r="F700" s="364"/>
    </row>
    <row r="701" spans="5:6" ht="29.4" customHeight="1">
      <c r="E701" s="364"/>
      <c r="F701" s="364"/>
    </row>
    <row r="702" spans="5:6" ht="29.4" customHeight="1">
      <c r="E702" s="364"/>
      <c r="F702" s="364"/>
    </row>
    <row r="703" spans="5:6" ht="29.4" customHeight="1">
      <c r="E703" s="364"/>
      <c r="F703" s="364"/>
    </row>
    <row r="704" spans="5:6" ht="29.4" customHeight="1">
      <c r="E704" s="364"/>
      <c r="F704" s="364"/>
    </row>
    <row r="705" spans="5:6" ht="29.4" customHeight="1">
      <c r="E705" s="364"/>
      <c r="F705" s="364"/>
    </row>
    <row r="706" spans="5:6" ht="29.4" customHeight="1">
      <c r="E706" s="364"/>
      <c r="F706" s="364"/>
    </row>
    <row r="707" spans="5:6" ht="29.4" customHeight="1">
      <c r="E707" s="364"/>
      <c r="F707" s="364"/>
    </row>
    <row r="708" spans="5:6" ht="29.4" customHeight="1">
      <c r="E708" s="364"/>
      <c r="F708" s="364"/>
    </row>
    <row r="709" spans="5:6" ht="29.4" customHeight="1">
      <c r="E709" s="364"/>
      <c r="F709" s="364"/>
    </row>
    <row r="710" spans="5:6" ht="29.4" customHeight="1">
      <c r="E710" s="364"/>
      <c r="F710" s="364"/>
    </row>
    <row r="711" spans="5:6" ht="29.4" customHeight="1">
      <c r="E711" s="364"/>
      <c r="F711" s="364"/>
    </row>
    <row r="712" spans="5:6" ht="29.4" customHeight="1">
      <c r="E712" s="364"/>
      <c r="F712" s="364"/>
    </row>
    <row r="713" spans="5:6" ht="29.4" customHeight="1">
      <c r="E713" s="364"/>
      <c r="F713" s="364"/>
    </row>
    <row r="714" spans="5:6" ht="29.4" customHeight="1">
      <c r="E714" s="364"/>
      <c r="F714" s="364"/>
    </row>
    <row r="715" spans="5:6" ht="29.4" customHeight="1">
      <c r="E715" s="364"/>
      <c r="F715" s="364"/>
    </row>
    <row r="716" spans="5:6" ht="29.4" customHeight="1">
      <c r="E716" s="364"/>
      <c r="F716" s="364"/>
    </row>
    <row r="717" spans="5:6" ht="29.4" customHeight="1">
      <c r="E717" s="364"/>
      <c r="F717" s="364"/>
    </row>
    <row r="718" spans="5:6" ht="29.4" customHeight="1">
      <c r="E718" s="364"/>
      <c r="F718" s="364"/>
    </row>
    <row r="719" spans="5:6" ht="29.4" customHeight="1">
      <c r="E719" s="364"/>
      <c r="F719" s="364"/>
    </row>
    <row r="720" spans="5:6" ht="29.4" customHeight="1">
      <c r="E720" s="364"/>
      <c r="F720" s="364"/>
    </row>
    <row r="721" spans="5:6" ht="29.4" customHeight="1">
      <c r="E721" s="364"/>
      <c r="F721" s="364"/>
    </row>
    <row r="722" spans="5:6" ht="29.4" customHeight="1">
      <c r="E722" s="364"/>
      <c r="F722" s="364"/>
    </row>
    <row r="723" spans="5:6" ht="29.4" customHeight="1">
      <c r="E723" s="364"/>
      <c r="F723" s="364"/>
    </row>
    <row r="724" spans="5:6" ht="29.4" customHeight="1">
      <c r="E724" s="364"/>
      <c r="F724" s="364"/>
    </row>
    <row r="725" spans="5:6" ht="29.4" customHeight="1">
      <c r="E725" s="364"/>
      <c r="F725" s="364"/>
    </row>
    <row r="726" spans="5:6" ht="29.4" customHeight="1">
      <c r="E726" s="364"/>
      <c r="F726" s="364"/>
    </row>
    <row r="727" spans="5:6" ht="29.4" customHeight="1">
      <c r="E727" s="364"/>
      <c r="F727" s="364"/>
    </row>
    <row r="728" spans="5:6" ht="29.4" customHeight="1">
      <c r="E728" s="364"/>
      <c r="F728" s="364"/>
    </row>
    <row r="729" spans="5:6" ht="29.4" customHeight="1">
      <c r="E729" s="364"/>
      <c r="F729" s="364"/>
    </row>
    <row r="730" spans="5:6" ht="29.4" customHeight="1">
      <c r="E730" s="364"/>
      <c r="F730" s="364"/>
    </row>
    <row r="731" spans="5:6" ht="29.4" customHeight="1">
      <c r="E731" s="364"/>
      <c r="F731" s="364"/>
    </row>
    <row r="732" spans="5:6" ht="29.4" customHeight="1">
      <c r="E732" s="364"/>
      <c r="F732" s="364"/>
    </row>
    <row r="733" spans="5:6" ht="29.4" customHeight="1">
      <c r="E733" s="364"/>
      <c r="F733" s="364"/>
    </row>
    <row r="734" spans="5:6" ht="29.4" customHeight="1">
      <c r="E734" s="364"/>
      <c r="F734" s="364"/>
    </row>
    <row r="735" spans="5:6" ht="29.4" customHeight="1">
      <c r="E735" s="364"/>
      <c r="F735" s="364"/>
    </row>
    <row r="736" spans="5:6" ht="29.4" customHeight="1">
      <c r="E736" s="364"/>
      <c r="F736" s="364"/>
    </row>
    <row r="737" spans="5:6" ht="29.4" customHeight="1">
      <c r="E737" s="364"/>
      <c r="F737" s="364"/>
    </row>
    <row r="738" spans="5:6" ht="29.4" customHeight="1">
      <c r="E738" s="364"/>
      <c r="F738" s="364"/>
    </row>
    <row r="739" spans="5:6" ht="29.4" customHeight="1">
      <c r="E739" s="364"/>
      <c r="F739" s="364"/>
    </row>
    <row r="740" spans="5:6" ht="29.4" customHeight="1">
      <c r="E740" s="364"/>
      <c r="F740" s="364"/>
    </row>
    <row r="741" spans="5:6" ht="29.4" customHeight="1">
      <c r="E741" s="364"/>
      <c r="F741" s="364"/>
    </row>
    <row r="742" spans="5:6" ht="29.4" customHeight="1">
      <c r="E742" s="364"/>
      <c r="F742" s="364"/>
    </row>
    <row r="743" spans="5:6" ht="29.4" customHeight="1">
      <c r="E743" s="364"/>
      <c r="F743" s="364"/>
    </row>
    <row r="744" spans="5:6" ht="29.4" customHeight="1">
      <c r="E744" s="364"/>
      <c r="F744" s="364"/>
    </row>
    <row r="745" spans="5:6" ht="29.4" customHeight="1">
      <c r="E745" s="364"/>
      <c r="F745" s="364"/>
    </row>
    <row r="746" spans="5:6" ht="29.4" customHeight="1">
      <c r="E746" s="364"/>
      <c r="F746" s="364"/>
    </row>
    <row r="747" spans="5:6" ht="29.4" customHeight="1">
      <c r="E747" s="364"/>
      <c r="F747" s="364"/>
    </row>
    <row r="748" spans="5:6" ht="29.4" customHeight="1">
      <c r="E748" s="364"/>
      <c r="F748" s="364"/>
    </row>
    <row r="749" spans="5:6" ht="29.4" customHeight="1">
      <c r="E749" s="364"/>
      <c r="F749" s="364"/>
    </row>
    <row r="750" spans="5:6" ht="29.4" customHeight="1">
      <c r="E750" s="364"/>
      <c r="F750" s="364"/>
    </row>
    <row r="751" spans="5:6" ht="29.4" customHeight="1">
      <c r="E751" s="364"/>
      <c r="F751" s="364"/>
    </row>
    <row r="752" spans="5:6" ht="29.4" customHeight="1">
      <c r="E752" s="364"/>
      <c r="F752" s="364"/>
    </row>
    <row r="753" spans="5:6" ht="29.4" customHeight="1">
      <c r="E753" s="364"/>
      <c r="F753" s="364"/>
    </row>
    <row r="754" spans="5:6" ht="29.4" customHeight="1">
      <c r="E754" s="364"/>
      <c r="F754" s="364"/>
    </row>
    <row r="755" spans="5:6" ht="29.4" customHeight="1">
      <c r="E755" s="364"/>
      <c r="F755" s="364"/>
    </row>
    <row r="756" spans="5:6" ht="29.4" customHeight="1">
      <c r="E756" s="364"/>
      <c r="F756" s="364"/>
    </row>
    <row r="757" spans="5:6" ht="29.4" customHeight="1">
      <c r="E757" s="364"/>
      <c r="F757" s="364"/>
    </row>
    <row r="758" spans="5:6" ht="29.4" customHeight="1">
      <c r="E758" s="364"/>
      <c r="F758" s="364"/>
    </row>
    <row r="759" spans="5:6" ht="29.4" customHeight="1">
      <c r="E759" s="364"/>
      <c r="F759" s="364"/>
    </row>
    <row r="760" spans="5:6" ht="29.4" customHeight="1">
      <c r="E760" s="364"/>
      <c r="F760" s="364"/>
    </row>
    <row r="761" spans="5:6" ht="29.4" customHeight="1">
      <c r="E761" s="364"/>
      <c r="F761" s="364"/>
    </row>
    <row r="762" spans="5:6" ht="29.4" customHeight="1">
      <c r="E762" s="364"/>
      <c r="F762" s="364"/>
    </row>
    <row r="763" spans="5:6" ht="29.4" customHeight="1">
      <c r="E763" s="364"/>
      <c r="F763" s="364"/>
    </row>
    <row r="764" spans="5:6" ht="29.4" customHeight="1">
      <c r="E764" s="364"/>
      <c r="F764" s="364"/>
    </row>
    <row r="765" spans="5:6" ht="29.4" customHeight="1">
      <c r="E765" s="364"/>
      <c r="F765" s="364"/>
    </row>
    <row r="766" spans="5:6" ht="29.4" customHeight="1">
      <c r="E766" s="364"/>
      <c r="F766" s="364"/>
    </row>
    <row r="767" spans="5:6" ht="29.4" customHeight="1">
      <c r="E767" s="364"/>
      <c r="F767" s="364"/>
    </row>
    <row r="768" spans="5:6" ht="29.4" customHeight="1">
      <c r="E768" s="364"/>
      <c r="F768" s="364"/>
    </row>
    <row r="769" spans="5:6" ht="29.4" customHeight="1">
      <c r="E769" s="364"/>
      <c r="F769" s="364"/>
    </row>
    <row r="770" spans="5:6" ht="29.4" customHeight="1">
      <c r="E770" s="364"/>
      <c r="F770" s="364"/>
    </row>
    <row r="771" spans="5:6" ht="29.4" customHeight="1">
      <c r="E771" s="364"/>
      <c r="F771" s="364"/>
    </row>
    <row r="772" spans="5:6" ht="29.4" customHeight="1">
      <c r="E772" s="364"/>
      <c r="F772" s="364"/>
    </row>
    <row r="773" spans="5:6" ht="29.4" customHeight="1">
      <c r="E773" s="364"/>
      <c r="F773" s="364"/>
    </row>
    <row r="774" spans="5:6" ht="29.4" customHeight="1">
      <c r="E774" s="364"/>
      <c r="F774" s="364"/>
    </row>
    <row r="775" spans="5:6" ht="29.4" customHeight="1">
      <c r="E775" s="364"/>
      <c r="F775" s="364"/>
    </row>
    <row r="776" spans="5:6" ht="29.4" customHeight="1">
      <c r="E776" s="364"/>
      <c r="F776" s="364"/>
    </row>
    <row r="777" spans="5:6" ht="29.4" customHeight="1">
      <c r="E777" s="364"/>
      <c r="F777" s="364"/>
    </row>
    <row r="778" spans="5:6" ht="29.4" customHeight="1">
      <c r="E778" s="364"/>
      <c r="F778" s="364"/>
    </row>
    <row r="779" spans="5:6" ht="29.4" customHeight="1">
      <c r="E779" s="364"/>
      <c r="F779" s="364"/>
    </row>
    <row r="780" spans="5:6" ht="29.4" customHeight="1">
      <c r="E780" s="364"/>
      <c r="F780" s="364"/>
    </row>
    <row r="781" spans="5:6" ht="29.4" customHeight="1">
      <c r="E781" s="364"/>
      <c r="F781" s="364"/>
    </row>
    <row r="782" spans="5:6" ht="29.4" customHeight="1">
      <c r="E782" s="364"/>
      <c r="F782" s="364"/>
    </row>
    <row r="783" spans="5:6" ht="29.4" customHeight="1">
      <c r="E783" s="364"/>
      <c r="F783" s="364"/>
    </row>
    <row r="784" spans="5:6" ht="29.4" customHeight="1">
      <c r="E784" s="364"/>
      <c r="F784" s="364"/>
    </row>
    <row r="785" spans="5:6" ht="29.4" customHeight="1">
      <c r="E785" s="364"/>
      <c r="F785" s="364"/>
    </row>
    <row r="786" spans="5:6" ht="29.4" customHeight="1">
      <c r="E786" s="364"/>
      <c r="F786" s="364"/>
    </row>
    <row r="787" spans="5:6" ht="29.4" customHeight="1">
      <c r="E787" s="364"/>
      <c r="F787" s="364"/>
    </row>
    <row r="788" spans="5:6" ht="29.4" customHeight="1">
      <c r="E788" s="364"/>
      <c r="F788" s="364"/>
    </row>
    <row r="789" spans="5:6" ht="29.4" customHeight="1">
      <c r="E789" s="364"/>
      <c r="F789" s="364"/>
    </row>
    <row r="790" spans="5:6" ht="29.4" customHeight="1">
      <c r="E790" s="364"/>
      <c r="F790" s="364"/>
    </row>
    <row r="791" spans="5:6" ht="29.4" customHeight="1">
      <c r="E791" s="364"/>
      <c r="F791" s="364"/>
    </row>
    <row r="792" spans="5:6" ht="29.4" customHeight="1">
      <c r="E792" s="364"/>
      <c r="F792" s="364"/>
    </row>
    <row r="793" spans="5:6" ht="29.4" customHeight="1">
      <c r="E793" s="364"/>
      <c r="F793" s="364"/>
    </row>
    <row r="794" spans="5:6" ht="29.4" customHeight="1">
      <c r="E794" s="364"/>
      <c r="F794" s="364"/>
    </row>
    <row r="795" spans="5:6" ht="29.4" customHeight="1">
      <c r="E795" s="364"/>
      <c r="F795" s="364"/>
    </row>
    <row r="796" spans="5:6" ht="29.4" customHeight="1">
      <c r="E796" s="364"/>
      <c r="F796" s="364"/>
    </row>
    <row r="797" spans="5:6" ht="29.4" customHeight="1">
      <c r="E797" s="364"/>
      <c r="F797" s="364"/>
    </row>
    <row r="798" spans="5:6" ht="29.4" customHeight="1">
      <c r="E798" s="364"/>
      <c r="F798" s="364"/>
    </row>
    <row r="799" spans="5:6" ht="29.4" customHeight="1">
      <c r="E799" s="364"/>
      <c r="F799" s="364"/>
    </row>
    <row r="800" spans="5:6" ht="29.4" customHeight="1">
      <c r="E800" s="364"/>
      <c r="F800" s="364"/>
    </row>
    <row r="801" spans="5:6" ht="29.4" customHeight="1">
      <c r="E801" s="364"/>
      <c r="F801" s="364"/>
    </row>
    <row r="802" spans="5:6" ht="29.4" customHeight="1">
      <c r="E802" s="364"/>
      <c r="F802" s="364"/>
    </row>
    <row r="803" spans="5:6" ht="29.4" customHeight="1">
      <c r="E803" s="364"/>
      <c r="F803" s="364"/>
    </row>
    <row r="804" spans="5:6" ht="29.4" customHeight="1">
      <c r="E804" s="364"/>
      <c r="F804" s="364"/>
    </row>
    <row r="805" spans="5:6" ht="29.4" customHeight="1">
      <c r="E805" s="364"/>
      <c r="F805" s="364"/>
    </row>
    <row r="806" spans="5:6" ht="29.4" customHeight="1">
      <c r="E806" s="364"/>
      <c r="F806" s="364"/>
    </row>
    <row r="807" spans="5:6" ht="29.4" customHeight="1">
      <c r="E807" s="364"/>
      <c r="F807" s="364"/>
    </row>
    <row r="808" spans="5:6" ht="29.4" customHeight="1">
      <c r="E808" s="364"/>
      <c r="F808" s="364"/>
    </row>
    <row r="809" spans="5:6" ht="29.4" customHeight="1">
      <c r="E809" s="364"/>
      <c r="F809" s="364"/>
    </row>
    <row r="810" spans="5:6" ht="29.4" customHeight="1">
      <c r="E810" s="364"/>
      <c r="F810" s="364"/>
    </row>
    <row r="811" spans="5:6" ht="29.4" customHeight="1">
      <c r="E811" s="364"/>
      <c r="F811" s="364"/>
    </row>
    <row r="812" spans="5:6" ht="29.4" customHeight="1">
      <c r="E812" s="364"/>
      <c r="F812" s="364"/>
    </row>
    <row r="813" spans="5:6" ht="29.4" customHeight="1">
      <c r="E813" s="364"/>
      <c r="F813" s="364"/>
    </row>
    <row r="814" spans="5:6" ht="29.4" customHeight="1">
      <c r="E814" s="364"/>
      <c r="F814" s="364"/>
    </row>
    <row r="815" spans="5:6" ht="29.4" customHeight="1">
      <c r="E815" s="364"/>
      <c r="F815" s="364"/>
    </row>
    <row r="816" spans="5:6" ht="29.4" customHeight="1">
      <c r="E816" s="364"/>
      <c r="F816" s="364"/>
    </row>
    <row r="817" spans="5:6" ht="29.4" customHeight="1">
      <c r="E817" s="364"/>
      <c r="F817" s="364"/>
    </row>
    <row r="818" spans="5:6" ht="29.4" customHeight="1">
      <c r="E818" s="364"/>
      <c r="F818" s="364"/>
    </row>
    <row r="819" spans="5:6" ht="29.4" customHeight="1">
      <c r="E819" s="364"/>
      <c r="F819" s="364"/>
    </row>
    <row r="820" spans="5:6" ht="29.4" customHeight="1">
      <c r="E820" s="364"/>
      <c r="F820" s="364"/>
    </row>
    <row r="821" spans="5:6" ht="29.4" customHeight="1">
      <c r="E821" s="364"/>
      <c r="F821" s="364"/>
    </row>
    <row r="822" spans="5:6" ht="29.4" customHeight="1">
      <c r="E822" s="364"/>
      <c r="F822" s="364"/>
    </row>
    <row r="823" spans="5:6" ht="29.4" customHeight="1">
      <c r="E823" s="364"/>
      <c r="F823" s="364"/>
    </row>
    <row r="824" spans="5:6" ht="29.4" customHeight="1">
      <c r="E824" s="364"/>
      <c r="F824" s="364"/>
    </row>
    <row r="825" spans="5:6" ht="29.4" customHeight="1">
      <c r="E825" s="364"/>
      <c r="F825" s="364"/>
    </row>
    <row r="826" spans="5:6" ht="29.4" customHeight="1">
      <c r="E826" s="364"/>
      <c r="F826" s="364"/>
    </row>
    <row r="827" spans="5:6" ht="29.4" customHeight="1">
      <c r="E827" s="364"/>
      <c r="F827" s="364"/>
    </row>
    <row r="828" spans="5:6" ht="29.4" customHeight="1">
      <c r="E828" s="364"/>
      <c r="F828" s="364"/>
    </row>
    <row r="829" spans="5:6" ht="29.4" customHeight="1">
      <c r="E829" s="364"/>
      <c r="F829" s="364"/>
    </row>
    <row r="830" spans="5:6" ht="29.4" customHeight="1">
      <c r="E830" s="364"/>
      <c r="F830" s="364"/>
    </row>
    <row r="831" spans="5:6" ht="29.4" customHeight="1">
      <c r="E831" s="364"/>
      <c r="F831" s="364"/>
    </row>
    <row r="832" spans="5:6" ht="29.4" customHeight="1">
      <c r="E832" s="364"/>
      <c r="F832" s="364"/>
    </row>
    <row r="833" spans="5:6" ht="29.4" customHeight="1">
      <c r="E833" s="364"/>
      <c r="F833" s="364"/>
    </row>
    <row r="834" spans="5:6" ht="29.4" customHeight="1">
      <c r="E834" s="364"/>
      <c r="F834" s="364"/>
    </row>
    <row r="835" spans="5:6" ht="29.4" customHeight="1">
      <c r="E835" s="364"/>
      <c r="F835" s="364"/>
    </row>
    <row r="836" spans="5:6" ht="29.4" customHeight="1">
      <c r="E836" s="364"/>
      <c r="F836" s="364"/>
    </row>
    <row r="837" spans="5:6" ht="29.4" customHeight="1">
      <c r="E837" s="364"/>
      <c r="F837" s="364"/>
    </row>
    <row r="838" spans="5:6" ht="29.4" customHeight="1">
      <c r="E838" s="364"/>
      <c r="F838" s="364"/>
    </row>
    <row r="839" spans="5:6" ht="29.4" customHeight="1">
      <c r="E839" s="364"/>
      <c r="F839" s="364"/>
    </row>
    <row r="840" spans="5:6" ht="29.4" customHeight="1">
      <c r="E840" s="364"/>
      <c r="F840" s="364"/>
    </row>
    <row r="841" spans="5:6" ht="29.4" customHeight="1">
      <c r="E841" s="364"/>
      <c r="F841" s="364"/>
    </row>
    <row r="842" spans="5:6" ht="29.4" customHeight="1">
      <c r="E842" s="364"/>
      <c r="F842" s="364"/>
    </row>
    <row r="843" spans="5:6" ht="29.4" customHeight="1">
      <c r="E843" s="364"/>
      <c r="F843" s="364"/>
    </row>
    <row r="844" spans="5:6" ht="29.4" customHeight="1">
      <c r="E844" s="364"/>
      <c r="F844" s="364"/>
    </row>
    <row r="845" spans="5:6" ht="29.4" customHeight="1">
      <c r="E845" s="364"/>
      <c r="F845" s="364"/>
    </row>
    <row r="846" spans="5:6" ht="29.4" customHeight="1">
      <c r="E846" s="364"/>
      <c r="F846" s="364"/>
    </row>
    <row r="847" spans="5:6" ht="29.4" customHeight="1">
      <c r="E847" s="364"/>
      <c r="F847" s="364"/>
    </row>
    <row r="848" spans="5:6" ht="29.4" customHeight="1">
      <c r="E848" s="364"/>
      <c r="F848" s="364"/>
    </row>
    <row r="849" spans="5:6" ht="29.4" customHeight="1">
      <c r="E849" s="364"/>
      <c r="F849" s="364"/>
    </row>
    <row r="850" spans="5:6" ht="29.4" customHeight="1">
      <c r="E850" s="364"/>
      <c r="F850" s="364"/>
    </row>
    <row r="851" spans="5:6" ht="29.4" customHeight="1">
      <c r="E851" s="364"/>
      <c r="F851" s="364"/>
    </row>
    <row r="852" spans="5:6" ht="29.4" customHeight="1">
      <c r="E852" s="364"/>
      <c r="F852" s="364"/>
    </row>
    <row r="853" spans="5:6" ht="29.4" customHeight="1">
      <c r="E853" s="364"/>
      <c r="F853" s="364"/>
    </row>
    <row r="854" spans="5:6" ht="29.4" customHeight="1">
      <c r="E854" s="364"/>
      <c r="F854" s="364"/>
    </row>
    <row r="855" spans="5:6" ht="29.4" customHeight="1">
      <c r="E855" s="364"/>
      <c r="F855" s="364"/>
    </row>
    <row r="856" spans="5:6" ht="29.4" customHeight="1">
      <c r="E856" s="364"/>
      <c r="F856" s="364"/>
    </row>
    <row r="857" spans="5:6" ht="29.4" customHeight="1">
      <c r="E857" s="364"/>
      <c r="F857" s="364"/>
    </row>
    <row r="858" spans="5:6" ht="29.4" customHeight="1">
      <c r="E858" s="364"/>
      <c r="F858" s="364"/>
    </row>
    <row r="859" spans="5:6" ht="29.4" customHeight="1">
      <c r="E859" s="364"/>
      <c r="F859" s="364"/>
    </row>
    <row r="860" spans="5:6" ht="29.4" customHeight="1">
      <c r="E860" s="364"/>
      <c r="F860" s="364"/>
    </row>
    <row r="861" spans="5:6" ht="29.4" customHeight="1">
      <c r="E861" s="364"/>
      <c r="F861" s="364"/>
    </row>
    <row r="862" spans="5:6" ht="29.4" customHeight="1">
      <c r="E862" s="364"/>
      <c r="F862" s="364"/>
    </row>
    <row r="863" spans="5:6" ht="29.4" customHeight="1">
      <c r="E863" s="364"/>
      <c r="F863" s="364"/>
    </row>
    <row r="864" spans="5:6" ht="29.4" customHeight="1">
      <c r="E864" s="364"/>
      <c r="F864" s="364"/>
    </row>
    <row r="865" spans="5:6" ht="29.4" customHeight="1">
      <c r="E865" s="364"/>
      <c r="F865" s="364"/>
    </row>
    <row r="866" spans="5:6" ht="29.4" customHeight="1">
      <c r="E866" s="364"/>
      <c r="F866" s="364"/>
    </row>
    <row r="867" spans="5:6" ht="29.4" customHeight="1">
      <c r="E867" s="364"/>
      <c r="F867" s="364"/>
    </row>
    <row r="868" spans="5:6" ht="29.4" customHeight="1">
      <c r="E868" s="364"/>
      <c r="F868" s="364"/>
    </row>
    <row r="869" spans="5:6" ht="29.4" customHeight="1">
      <c r="E869" s="364"/>
      <c r="F869" s="364"/>
    </row>
    <row r="870" spans="5:6" ht="29.4" customHeight="1">
      <c r="E870" s="364"/>
      <c r="F870" s="364"/>
    </row>
    <row r="871" spans="5:6" ht="29.4" customHeight="1">
      <c r="E871" s="364"/>
      <c r="F871" s="364"/>
    </row>
    <row r="872" spans="5:6" ht="29.4" customHeight="1">
      <c r="E872" s="364"/>
      <c r="F872" s="364"/>
    </row>
    <row r="873" spans="5:6" ht="29.4" customHeight="1">
      <c r="E873" s="364"/>
      <c r="F873" s="364"/>
    </row>
    <row r="874" spans="5:6" ht="29.4" customHeight="1">
      <c r="E874" s="364"/>
      <c r="F874" s="364"/>
    </row>
    <row r="875" spans="5:6" ht="29.4" customHeight="1">
      <c r="E875" s="364"/>
      <c r="F875" s="364"/>
    </row>
    <row r="876" spans="5:6" ht="29.4" customHeight="1">
      <c r="E876" s="364"/>
      <c r="F876" s="364"/>
    </row>
    <row r="877" spans="5:6" ht="29.4" customHeight="1">
      <c r="E877" s="364"/>
      <c r="F877" s="364"/>
    </row>
    <row r="878" spans="5:6" ht="29.4" customHeight="1">
      <c r="E878" s="364"/>
      <c r="F878" s="364"/>
    </row>
    <row r="879" spans="5:6" ht="29.4" customHeight="1">
      <c r="E879" s="364"/>
      <c r="F879" s="364"/>
    </row>
    <row r="880" spans="5:6" ht="29.4" customHeight="1">
      <c r="E880" s="364"/>
      <c r="F880" s="364"/>
    </row>
    <row r="881" spans="5:6" ht="29.4" customHeight="1">
      <c r="E881" s="364"/>
      <c r="F881" s="364"/>
    </row>
    <row r="882" spans="5:6" ht="29.4" customHeight="1">
      <c r="E882" s="364"/>
      <c r="F882" s="364"/>
    </row>
    <row r="883" spans="5:6" ht="29.4" customHeight="1">
      <c r="E883" s="364"/>
      <c r="F883" s="364"/>
    </row>
    <row r="884" spans="5:6" ht="29.4" customHeight="1">
      <c r="E884" s="364"/>
      <c r="F884" s="364"/>
    </row>
    <row r="885" spans="5:6" ht="29.4" customHeight="1">
      <c r="E885" s="364"/>
      <c r="F885" s="364"/>
    </row>
    <row r="886" spans="5:6" ht="29.4" customHeight="1">
      <c r="E886" s="364"/>
      <c r="F886" s="364"/>
    </row>
    <row r="887" spans="5:6" ht="29.4" customHeight="1">
      <c r="E887" s="364"/>
      <c r="F887" s="364"/>
    </row>
    <row r="888" spans="5:6" ht="29.4" customHeight="1">
      <c r="E888" s="364"/>
      <c r="F888" s="364"/>
    </row>
    <row r="889" spans="5:6" ht="29.4" customHeight="1">
      <c r="E889" s="364"/>
      <c r="F889" s="364"/>
    </row>
    <row r="890" spans="5:6" ht="29.4" customHeight="1">
      <c r="E890" s="364"/>
      <c r="F890" s="364"/>
    </row>
    <row r="891" spans="5:6" ht="29.4" customHeight="1">
      <c r="E891" s="364"/>
      <c r="F891" s="364"/>
    </row>
    <row r="892" spans="5:6" ht="29.4" customHeight="1">
      <c r="E892" s="364"/>
      <c r="F892" s="364"/>
    </row>
    <row r="893" spans="5:6" ht="29.4" customHeight="1">
      <c r="E893" s="364"/>
      <c r="F893" s="364"/>
    </row>
    <row r="894" spans="5:6" ht="29.4" customHeight="1">
      <c r="E894" s="364"/>
      <c r="F894" s="364"/>
    </row>
    <row r="895" spans="5:6" ht="29.4" customHeight="1">
      <c r="E895" s="364"/>
      <c r="F895" s="364"/>
    </row>
    <row r="896" spans="5:6" ht="29.4" customHeight="1">
      <c r="E896" s="364"/>
      <c r="F896" s="364"/>
    </row>
    <row r="897" spans="5:6" ht="29.4" customHeight="1">
      <c r="E897" s="364"/>
      <c r="F897" s="364"/>
    </row>
    <row r="898" spans="5:6" ht="29.4" customHeight="1">
      <c r="E898" s="364"/>
      <c r="F898" s="364"/>
    </row>
    <row r="899" spans="5:6" ht="29.4" customHeight="1">
      <c r="E899" s="364"/>
      <c r="F899" s="364"/>
    </row>
    <row r="900" spans="5:6" ht="29.4" customHeight="1">
      <c r="E900" s="364"/>
      <c r="F900" s="364"/>
    </row>
    <row r="901" spans="5:6" ht="29.4" customHeight="1">
      <c r="E901" s="364"/>
      <c r="F901" s="364"/>
    </row>
    <row r="902" spans="5:6" ht="29.4" customHeight="1">
      <c r="E902" s="364"/>
      <c r="F902" s="364"/>
    </row>
    <row r="903" spans="5:6" ht="29.4" customHeight="1">
      <c r="E903" s="364"/>
      <c r="F903" s="364"/>
    </row>
    <row r="904" spans="5:6" ht="29.4" customHeight="1">
      <c r="E904" s="364"/>
      <c r="F904" s="364"/>
    </row>
    <row r="905" spans="5:6" ht="29.4" customHeight="1">
      <c r="E905" s="364"/>
      <c r="F905" s="364"/>
    </row>
    <row r="906" spans="5:6" ht="29.4" customHeight="1">
      <c r="E906" s="364"/>
      <c r="F906" s="364"/>
    </row>
    <row r="907" spans="5:6" ht="29.4" customHeight="1">
      <c r="E907" s="364"/>
      <c r="F907" s="364"/>
    </row>
    <row r="908" spans="5:6" ht="29.4" customHeight="1">
      <c r="E908" s="364"/>
      <c r="F908" s="364"/>
    </row>
    <row r="909" spans="5:6" ht="29.4" customHeight="1">
      <c r="E909" s="364"/>
      <c r="F909" s="364"/>
    </row>
    <row r="910" spans="5:6" ht="29.4" customHeight="1">
      <c r="E910" s="364"/>
      <c r="F910" s="364"/>
    </row>
    <row r="911" spans="5:6" ht="29.4" customHeight="1">
      <c r="E911" s="364"/>
      <c r="F911" s="364"/>
    </row>
    <row r="912" spans="5:6" ht="29.4" customHeight="1">
      <c r="E912" s="364"/>
      <c r="F912" s="364"/>
    </row>
    <row r="913" spans="5:6" ht="29.4" customHeight="1">
      <c r="E913" s="364"/>
      <c r="F913" s="364"/>
    </row>
    <row r="914" spans="5:6" ht="29.4" customHeight="1">
      <c r="E914" s="364"/>
      <c r="F914" s="364"/>
    </row>
    <row r="915" spans="5:6" ht="29.4" customHeight="1">
      <c r="E915" s="364"/>
      <c r="F915" s="364"/>
    </row>
    <row r="916" spans="5:6" ht="29.4" customHeight="1">
      <c r="E916" s="364"/>
      <c r="F916" s="364"/>
    </row>
    <row r="917" spans="5:6" ht="29.4" customHeight="1">
      <c r="E917" s="364"/>
      <c r="F917" s="364"/>
    </row>
    <row r="918" spans="5:6" ht="29.4" customHeight="1">
      <c r="E918" s="364"/>
      <c r="F918" s="364"/>
    </row>
    <row r="919" spans="5:6" ht="29.4" customHeight="1">
      <c r="E919" s="364"/>
      <c r="F919" s="364"/>
    </row>
    <row r="920" spans="5:6" ht="29.4" customHeight="1">
      <c r="E920" s="364"/>
      <c r="F920" s="364"/>
    </row>
    <row r="921" spans="5:6" ht="29.4" customHeight="1">
      <c r="E921" s="364"/>
      <c r="F921" s="364"/>
    </row>
    <row r="922" spans="5:6" ht="29.4" customHeight="1">
      <c r="E922" s="364"/>
      <c r="F922" s="364"/>
    </row>
    <row r="923" spans="5:6" ht="29.4" customHeight="1">
      <c r="E923" s="364"/>
      <c r="F923" s="364"/>
    </row>
    <row r="924" spans="5:6" ht="29.4" customHeight="1">
      <c r="E924" s="364"/>
      <c r="F924" s="364"/>
    </row>
    <row r="925" spans="5:6" ht="29.4" customHeight="1">
      <c r="E925" s="364"/>
      <c r="F925" s="364"/>
    </row>
    <row r="926" spans="5:6" ht="29.4" customHeight="1">
      <c r="E926" s="364"/>
      <c r="F926" s="364"/>
    </row>
    <row r="927" spans="5:6" ht="29.4" customHeight="1">
      <c r="E927" s="364"/>
      <c r="F927" s="364"/>
    </row>
    <row r="928" spans="5:6" ht="29.4" customHeight="1">
      <c r="E928" s="364"/>
      <c r="F928" s="364"/>
    </row>
    <row r="929" spans="5:6" ht="29.4" customHeight="1">
      <c r="E929" s="364"/>
      <c r="F929" s="364"/>
    </row>
    <row r="930" spans="5:6" ht="29.4" customHeight="1">
      <c r="E930" s="364"/>
      <c r="F930" s="364"/>
    </row>
    <row r="931" spans="5:6" ht="29.4" customHeight="1">
      <c r="E931" s="364"/>
      <c r="F931" s="364"/>
    </row>
    <row r="932" spans="5:6" ht="29.4" customHeight="1">
      <c r="E932" s="364"/>
      <c r="F932" s="364"/>
    </row>
    <row r="933" spans="5:6" ht="29.4" customHeight="1">
      <c r="E933" s="364"/>
      <c r="F933" s="364"/>
    </row>
    <row r="934" spans="5:6" ht="29.4" customHeight="1">
      <c r="E934" s="364"/>
      <c r="F934" s="364"/>
    </row>
    <row r="935" spans="5:6" ht="29.4" customHeight="1">
      <c r="E935" s="364"/>
      <c r="F935" s="364"/>
    </row>
    <row r="936" spans="5:6" ht="29.4" customHeight="1">
      <c r="E936" s="364"/>
      <c r="F936" s="364"/>
    </row>
    <row r="937" spans="5:6" ht="29.4" customHeight="1">
      <c r="E937" s="364"/>
      <c r="F937" s="364"/>
    </row>
    <row r="938" spans="5:6" ht="29.4" customHeight="1">
      <c r="E938" s="364"/>
      <c r="F938" s="364"/>
    </row>
    <row r="939" spans="5:6" ht="29.4" customHeight="1">
      <c r="E939" s="364"/>
      <c r="F939" s="364"/>
    </row>
    <row r="940" spans="5:6" ht="29.4" customHeight="1">
      <c r="E940" s="364"/>
      <c r="F940" s="364"/>
    </row>
    <row r="941" spans="5:6" ht="29.4" customHeight="1">
      <c r="E941" s="364"/>
      <c r="F941" s="364"/>
    </row>
    <row r="942" spans="5:6" ht="29.4" customHeight="1">
      <c r="E942" s="364"/>
      <c r="F942" s="364"/>
    </row>
    <row r="943" spans="5:6" ht="29.4" customHeight="1">
      <c r="E943" s="364"/>
      <c r="F943" s="364"/>
    </row>
    <row r="944" spans="5:6" ht="29.4" customHeight="1">
      <c r="E944" s="364"/>
      <c r="F944" s="364"/>
    </row>
    <row r="945" spans="5:6" ht="29.4" customHeight="1">
      <c r="E945" s="364"/>
      <c r="F945" s="364"/>
    </row>
    <row r="946" spans="5:6" ht="29.4" customHeight="1">
      <c r="E946" s="364"/>
      <c r="F946" s="364"/>
    </row>
    <row r="947" spans="5:6" ht="29.4" customHeight="1">
      <c r="E947" s="364"/>
      <c r="F947" s="364"/>
    </row>
    <row r="948" spans="5:6" ht="29.4" customHeight="1">
      <c r="E948" s="364"/>
      <c r="F948" s="364"/>
    </row>
    <row r="949" spans="5:6" ht="29.4" customHeight="1">
      <c r="E949" s="364"/>
      <c r="F949" s="364"/>
    </row>
    <row r="950" spans="5:6" ht="29.4" customHeight="1">
      <c r="E950" s="364"/>
      <c r="F950" s="364"/>
    </row>
    <row r="951" spans="5:6" ht="29.4" customHeight="1">
      <c r="E951" s="364"/>
      <c r="F951" s="364"/>
    </row>
    <row r="952" spans="5:6" ht="29.4" customHeight="1">
      <c r="E952" s="364"/>
      <c r="F952" s="364"/>
    </row>
    <row r="953" spans="5:6" ht="29.4" customHeight="1">
      <c r="E953" s="364"/>
      <c r="F953" s="364"/>
    </row>
    <row r="954" spans="5:6" ht="29.4" customHeight="1">
      <c r="E954" s="364"/>
      <c r="F954" s="364"/>
    </row>
    <row r="955" spans="5:6" ht="29.4" customHeight="1">
      <c r="E955" s="364"/>
      <c r="F955" s="364"/>
    </row>
    <row r="956" spans="5:6" ht="29.4" customHeight="1">
      <c r="E956" s="364"/>
      <c r="F956" s="364"/>
    </row>
    <row r="957" spans="5:6" ht="29.4" customHeight="1">
      <c r="E957" s="364"/>
      <c r="F957" s="364"/>
    </row>
    <row r="958" spans="5:6" ht="29.4" customHeight="1">
      <c r="E958" s="364"/>
      <c r="F958" s="364"/>
    </row>
    <row r="959" spans="5:6" ht="29.4" customHeight="1">
      <c r="E959" s="364"/>
      <c r="F959" s="364"/>
    </row>
    <row r="960" spans="5:6" ht="29.4" customHeight="1">
      <c r="E960" s="364"/>
      <c r="F960" s="364"/>
    </row>
    <row r="961" spans="5:6" ht="29.4" customHeight="1">
      <c r="E961" s="364"/>
      <c r="F961" s="364"/>
    </row>
    <row r="962" spans="5:6" ht="29.4" customHeight="1">
      <c r="E962" s="364"/>
      <c r="F962" s="364"/>
    </row>
    <row r="963" spans="5:6" ht="29.4" customHeight="1">
      <c r="E963" s="364"/>
      <c r="F963" s="364"/>
    </row>
    <row r="964" spans="5:6" ht="29.4" customHeight="1">
      <c r="E964" s="364"/>
      <c r="F964" s="364"/>
    </row>
    <row r="965" spans="5:6" ht="29.4" customHeight="1">
      <c r="E965" s="364"/>
      <c r="F965" s="364"/>
    </row>
    <row r="966" spans="5:6" ht="29.4" customHeight="1">
      <c r="E966" s="364"/>
      <c r="F966" s="364"/>
    </row>
    <row r="967" spans="5:6" ht="29.4" customHeight="1">
      <c r="E967" s="364"/>
      <c r="F967" s="364"/>
    </row>
    <row r="968" spans="5:6" ht="29.4" customHeight="1">
      <c r="E968" s="364"/>
      <c r="F968" s="364"/>
    </row>
    <row r="969" spans="5:6" ht="29.4" customHeight="1">
      <c r="E969" s="364"/>
      <c r="F969" s="364"/>
    </row>
    <row r="970" spans="5:6" ht="29.4" customHeight="1">
      <c r="E970" s="364"/>
      <c r="F970" s="364"/>
    </row>
    <row r="971" spans="5:6" ht="29.4" customHeight="1">
      <c r="E971" s="364"/>
      <c r="F971" s="364"/>
    </row>
    <row r="972" spans="5:6" ht="29.4" customHeight="1">
      <c r="E972" s="364"/>
      <c r="F972" s="364"/>
    </row>
    <row r="973" spans="5:6" ht="29.4" customHeight="1">
      <c r="E973" s="364"/>
      <c r="F973" s="364"/>
    </row>
    <row r="974" spans="5:6" ht="29.4" customHeight="1">
      <c r="E974" s="364"/>
      <c r="F974" s="364"/>
    </row>
    <row r="975" spans="5:6" ht="29.4" customHeight="1">
      <c r="E975" s="364"/>
      <c r="F975" s="364"/>
    </row>
    <row r="976" spans="5:6" ht="29.4" customHeight="1">
      <c r="E976" s="364"/>
      <c r="F976" s="364"/>
    </row>
    <row r="977" spans="5:6" ht="29.4" customHeight="1">
      <c r="E977" s="364"/>
      <c r="F977" s="364"/>
    </row>
    <row r="978" spans="5:6" ht="29.4" customHeight="1">
      <c r="E978" s="364"/>
      <c r="F978" s="364"/>
    </row>
    <row r="979" spans="5:6" ht="29.4" customHeight="1">
      <c r="E979" s="364"/>
      <c r="F979" s="364"/>
    </row>
    <row r="980" spans="5:6" ht="29.4" customHeight="1">
      <c r="E980" s="364"/>
      <c r="F980" s="364"/>
    </row>
    <row r="981" spans="5:6" ht="29.4" customHeight="1">
      <c r="E981" s="364"/>
      <c r="F981" s="364"/>
    </row>
    <row r="982" spans="5:6" ht="29.4" customHeight="1">
      <c r="E982" s="364"/>
      <c r="F982" s="364"/>
    </row>
    <row r="983" spans="5:6" ht="29.4" customHeight="1">
      <c r="E983" s="364"/>
      <c r="F983" s="364"/>
    </row>
    <row r="984" spans="5:6" ht="29.4" customHeight="1">
      <c r="E984" s="364"/>
      <c r="F984" s="364"/>
    </row>
    <row r="985" spans="5:6" ht="29.4" customHeight="1">
      <c r="E985" s="364"/>
      <c r="F985" s="364"/>
    </row>
    <row r="986" spans="5:6" ht="29.4" customHeight="1">
      <c r="E986" s="364"/>
      <c r="F986" s="364"/>
    </row>
    <row r="987" spans="5:6" ht="29.4" customHeight="1">
      <c r="E987" s="364"/>
      <c r="F987" s="364"/>
    </row>
    <row r="988" spans="5:6" ht="29.4" customHeight="1">
      <c r="E988" s="364"/>
      <c r="F988" s="364"/>
    </row>
    <row r="989" spans="5:6" ht="29.4" customHeight="1">
      <c r="E989" s="364"/>
      <c r="F989" s="364"/>
    </row>
    <row r="990" spans="5:6" ht="29.4" customHeight="1">
      <c r="E990" s="364"/>
      <c r="F990" s="364"/>
    </row>
    <row r="991" spans="5:6" ht="29.4" customHeight="1">
      <c r="E991" s="364"/>
      <c r="F991" s="364"/>
    </row>
    <row r="992" spans="5:6" ht="29.4" customHeight="1">
      <c r="E992" s="364"/>
      <c r="F992" s="364"/>
    </row>
    <row r="993" spans="5:6" ht="29.4" customHeight="1">
      <c r="E993" s="364"/>
      <c r="F993" s="364"/>
    </row>
    <row r="994" spans="5:6" ht="29.4" customHeight="1">
      <c r="E994" s="364"/>
      <c r="F994" s="364"/>
    </row>
    <row r="995" spans="5:6" ht="29.4" customHeight="1">
      <c r="E995" s="364"/>
      <c r="F995" s="364"/>
    </row>
    <row r="996" spans="5:6" ht="29.4" customHeight="1">
      <c r="E996" s="364"/>
      <c r="F996" s="364"/>
    </row>
    <row r="997" spans="5:6" ht="29.4" customHeight="1">
      <c r="E997" s="364"/>
      <c r="F997" s="364"/>
    </row>
    <row r="998" spans="5:6" ht="29.4" customHeight="1">
      <c r="E998" s="364"/>
      <c r="F998" s="364"/>
    </row>
    <row r="999" spans="5:6" ht="29.4" customHeight="1">
      <c r="E999" s="364"/>
      <c r="F999" s="364"/>
    </row>
    <row r="1000" spans="5:6" ht="29.4" customHeight="1">
      <c r="E1000" s="364"/>
      <c r="F1000" s="364"/>
    </row>
    <row r="1001" spans="5:6" ht="29.4" customHeight="1">
      <c r="E1001" s="364"/>
      <c r="F1001" s="364"/>
    </row>
    <row r="1002" spans="5:6" ht="29.4" customHeight="1">
      <c r="E1002" s="364"/>
      <c r="F1002" s="364"/>
    </row>
    <row r="1003" spans="5:6" ht="29.4" customHeight="1">
      <c r="E1003" s="364"/>
      <c r="F1003" s="364"/>
    </row>
    <row r="1004" spans="5:6" ht="29.4" customHeight="1">
      <c r="E1004" s="364"/>
      <c r="F1004" s="364"/>
    </row>
    <row r="1005" spans="5:6" ht="29.4" customHeight="1">
      <c r="E1005" s="364"/>
      <c r="F1005" s="364"/>
    </row>
    <row r="1006" spans="5:6" ht="29.4" customHeight="1">
      <c r="E1006" s="364"/>
      <c r="F1006" s="364"/>
    </row>
    <row r="1007" spans="5:6" ht="29.4" customHeight="1">
      <c r="E1007" s="364"/>
      <c r="F1007" s="364"/>
    </row>
    <row r="1008" spans="5:6" ht="29.4" customHeight="1">
      <c r="E1008" s="364"/>
      <c r="F1008" s="364"/>
    </row>
    <row r="1009" spans="5:6" ht="29.4" customHeight="1">
      <c r="E1009" s="364"/>
      <c r="F1009" s="364"/>
    </row>
    <row r="1010" spans="5:6" ht="29.4" customHeight="1">
      <c r="E1010" s="364"/>
      <c r="F1010" s="364"/>
    </row>
    <row r="1011" spans="5:6" ht="29.4" customHeight="1">
      <c r="E1011" s="364"/>
      <c r="F1011" s="364"/>
    </row>
    <row r="1012" spans="5:6" ht="29.4" customHeight="1">
      <c r="E1012" s="364"/>
      <c r="F1012" s="364"/>
    </row>
    <row r="1013" spans="5:6" ht="29.4" customHeight="1">
      <c r="E1013" s="364"/>
      <c r="F1013" s="364"/>
    </row>
    <row r="1014" spans="5:6" ht="29.4" customHeight="1">
      <c r="E1014" s="364"/>
      <c r="F1014" s="364"/>
    </row>
    <row r="1015" spans="5:6" ht="29.4" customHeight="1">
      <c r="E1015" s="364"/>
      <c r="F1015" s="364"/>
    </row>
    <row r="1016" spans="5:6" ht="29.4" customHeight="1">
      <c r="E1016" s="364"/>
      <c r="F1016" s="364"/>
    </row>
    <row r="1017" spans="5:6" ht="29.4" customHeight="1">
      <c r="E1017" s="364"/>
      <c r="F1017" s="364"/>
    </row>
    <row r="1018" spans="5:6" ht="29.4" customHeight="1">
      <c r="E1018" s="364"/>
      <c r="F1018" s="364"/>
    </row>
    <row r="1019" spans="5:6" ht="29.4" customHeight="1">
      <c r="E1019" s="364"/>
      <c r="F1019" s="364"/>
    </row>
    <row r="1020" spans="5:6" ht="29.4" customHeight="1">
      <c r="E1020" s="364"/>
      <c r="F1020" s="364"/>
    </row>
    <row r="1021" spans="5:6" ht="29.4" customHeight="1">
      <c r="E1021" s="364"/>
      <c r="F1021" s="364"/>
    </row>
    <row r="1022" spans="5:6" ht="29.4" customHeight="1">
      <c r="E1022" s="364"/>
      <c r="F1022" s="364"/>
    </row>
    <row r="1023" spans="5:6" ht="29.4" customHeight="1">
      <c r="E1023" s="364"/>
      <c r="F1023" s="364"/>
    </row>
    <row r="1024" spans="5:6" ht="29.4" customHeight="1">
      <c r="E1024" s="364"/>
      <c r="F1024" s="364"/>
    </row>
    <row r="1025" spans="5:6" ht="29.4" customHeight="1">
      <c r="E1025" s="364"/>
      <c r="F1025" s="364"/>
    </row>
    <row r="1026" spans="5:6" ht="29.4" customHeight="1">
      <c r="E1026" s="364"/>
      <c r="F1026" s="364"/>
    </row>
    <row r="1027" spans="5:6" ht="29.4" customHeight="1">
      <c r="E1027" s="364"/>
      <c r="F1027" s="364"/>
    </row>
    <row r="1028" spans="5:6" ht="29.4" customHeight="1">
      <c r="E1028" s="364"/>
      <c r="F1028" s="364"/>
    </row>
    <row r="1029" spans="5:6" ht="29.4" customHeight="1">
      <c r="E1029" s="364"/>
      <c r="F1029" s="364"/>
    </row>
    <row r="1030" spans="5:6" ht="29.4" customHeight="1">
      <c r="E1030" s="364"/>
      <c r="F1030" s="364"/>
    </row>
    <row r="1031" spans="5:6" ht="29.4" customHeight="1">
      <c r="E1031" s="364"/>
      <c r="F1031" s="364"/>
    </row>
    <row r="1032" spans="5:6" ht="29.4" customHeight="1">
      <c r="E1032" s="364"/>
      <c r="F1032" s="364"/>
    </row>
    <row r="1033" spans="5:6" ht="29.4" customHeight="1">
      <c r="E1033" s="364"/>
      <c r="F1033" s="364"/>
    </row>
    <row r="1034" spans="5:6" ht="29.4" customHeight="1">
      <c r="E1034" s="364"/>
      <c r="F1034" s="364"/>
    </row>
    <row r="1035" spans="5:6" ht="29.4" customHeight="1">
      <c r="E1035" s="364"/>
      <c r="F1035" s="364"/>
    </row>
    <row r="1036" spans="5:6" ht="29.4" customHeight="1">
      <c r="E1036" s="364"/>
      <c r="F1036" s="364"/>
    </row>
    <row r="1037" spans="5:6" ht="29.4" customHeight="1">
      <c r="E1037" s="364"/>
      <c r="F1037" s="364"/>
    </row>
    <row r="1038" spans="5:6" ht="29.4" customHeight="1">
      <c r="E1038" s="364"/>
      <c r="F1038" s="364"/>
    </row>
    <row r="1039" spans="5:6" ht="29.4" customHeight="1">
      <c r="E1039" s="364"/>
      <c r="F1039" s="364"/>
    </row>
    <row r="1040" spans="5:6" ht="29.4" customHeight="1">
      <c r="E1040" s="364"/>
      <c r="F1040" s="364"/>
    </row>
    <row r="1041" spans="5:6" ht="29.4" customHeight="1">
      <c r="E1041" s="364"/>
      <c r="F1041" s="364"/>
    </row>
    <row r="1042" spans="5:6" ht="29.4" customHeight="1">
      <c r="E1042" s="364"/>
      <c r="F1042" s="364"/>
    </row>
    <row r="1043" spans="5:6" ht="29.4" customHeight="1">
      <c r="E1043" s="364"/>
      <c r="F1043" s="364"/>
    </row>
    <row r="1044" spans="5:6" ht="29.4" customHeight="1">
      <c r="E1044" s="364"/>
      <c r="F1044" s="364"/>
    </row>
    <row r="1045" spans="5:6" ht="29.4" customHeight="1">
      <c r="E1045" s="364"/>
      <c r="F1045" s="364"/>
    </row>
    <row r="1046" spans="5:6" ht="29.4" customHeight="1">
      <c r="E1046" s="364"/>
      <c r="F1046" s="364"/>
    </row>
    <row r="1047" spans="5:6" ht="29.4" customHeight="1">
      <c r="E1047" s="364"/>
      <c r="F1047" s="364"/>
    </row>
    <row r="1048" spans="5:6" ht="29.4" customHeight="1">
      <c r="E1048" s="364"/>
      <c r="F1048" s="364"/>
    </row>
    <row r="1049" spans="5:6" ht="29.4" customHeight="1">
      <c r="E1049" s="364"/>
      <c r="F1049" s="364"/>
    </row>
    <row r="1050" spans="5:6" ht="29.4" customHeight="1">
      <c r="E1050" s="364"/>
      <c r="F1050" s="364"/>
    </row>
    <row r="1051" spans="5:6" ht="29.4" customHeight="1">
      <c r="E1051" s="364"/>
      <c r="F1051" s="364"/>
    </row>
    <row r="1052" spans="5:6" ht="29.4" customHeight="1">
      <c r="E1052" s="364"/>
      <c r="F1052" s="364"/>
    </row>
    <row r="1053" spans="5:6" ht="29.4" customHeight="1">
      <c r="E1053" s="364"/>
      <c r="F1053" s="364"/>
    </row>
    <row r="1054" spans="5:6" ht="29.4" customHeight="1">
      <c r="E1054" s="364"/>
      <c r="F1054" s="364"/>
    </row>
    <row r="1055" spans="5:6" ht="29.4" customHeight="1">
      <c r="E1055" s="364"/>
      <c r="F1055" s="364"/>
    </row>
    <row r="1056" spans="5:6" ht="29.4" customHeight="1">
      <c r="E1056" s="364"/>
      <c r="F1056" s="364"/>
    </row>
    <row r="1057" spans="5:6" ht="29.4" customHeight="1">
      <c r="E1057" s="364"/>
      <c r="F1057" s="364"/>
    </row>
    <row r="1058" spans="5:6" ht="29.4" customHeight="1">
      <c r="E1058" s="364"/>
      <c r="F1058" s="364"/>
    </row>
    <row r="1059" spans="5:6" ht="29.4" customHeight="1">
      <c r="E1059" s="364"/>
      <c r="F1059" s="364"/>
    </row>
    <row r="1060" spans="5:6" ht="29.4" customHeight="1">
      <c r="E1060" s="364"/>
      <c r="F1060" s="364"/>
    </row>
    <row r="1061" spans="5:6" ht="29.4" customHeight="1">
      <c r="E1061" s="364"/>
      <c r="F1061" s="364"/>
    </row>
    <row r="1062" spans="5:6" ht="29.4" customHeight="1">
      <c r="E1062" s="364"/>
      <c r="F1062" s="364"/>
    </row>
    <row r="1063" spans="5:6" ht="29.4" customHeight="1">
      <c r="E1063" s="364"/>
      <c r="F1063" s="364"/>
    </row>
    <row r="1064" spans="5:6" ht="29.4" customHeight="1">
      <c r="E1064" s="364"/>
      <c r="F1064" s="364"/>
    </row>
    <row r="1065" spans="5:6" ht="29.4" customHeight="1">
      <c r="E1065" s="364"/>
      <c r="F1065" s="364"/>
    </row>
    <row r="1066" spans="5:6" ht="29.4" customHeight="1">
      <c r="E1066" s="364"/>
      <c r="F1066" s="364"/>
    </row>
    <row r="1067" spans="5:6" ht="29.4" customHeight="1">
      <c r="E1067" s="364"/>
      <c r="F1067" s="364"/>
    </row>
    <row r="1068" spans="5:6" ht="29.4" customHeight="1">
      <c r="E1068" s="364"/>
      <c r="F1068" s="364"/>
    </row>
    <row r="1069" spans="5:6" ht="29.4" customHeight="1">
      <c r="E1069" s="364"/>
      <c r="F1069" s="364"/>
    </row>
    <row r="1070" spans="5:6" ht="29.4" customHeight="1">
      <c r="E1070" s="364"/>
      <c r="F1070" s="364"/>
    </row>
    <row r="1071" spans="5:6" ht="29.4" customHeight="1">
      <c r="E1071" s="364"/>
      <c r="F1071" s="364"/>
    </row>
    <row r="1072" spans="5:6" ht="29.4" customHeight="1">
      <c r="E1072" s="364"/>
      <c r="F1072" s="364"/>
    </row>
    <row r="1073" spans="5:6" ht="29.4" customHeight="1">
      <c r="E1073" s="364"/>
      <c r="F1073" s="364"/>
    </row>
    <row r="1074" spans="5:6" ht="29.4" customHeight="1">
      <c r="E1074" s="364"/>
      <c r="F1074" s="364"/>
    </row>
    <row r="1075" spans="5:6" ht="29.4" customHeight="1">
      <c r="E1075" s="364"/>
      <c r="F1075" s="364"/>
    </row>
    <row r="1076" spans="5:6" ht="29.4" customHeight="1">
      <c r="E1076" s="364"/>
      <c r="F1076" s="364"/>
    </row>
    <row r="1077" spans="5:6" ht="29.4" customHeight="1">
      <c r="E1077" s="364"/>
      <c r="F1077" s="364"/>
    </row>
    <row r="1078" spans="5:6" ht="29.4" customHeight="1">
      <c r="E1078" s="364"/>
      <c r="F1078" s="364"/>
    </row>
    <row r="1079" spans="5:6" ht="29.4" customHeight="1">
      <c r="E1079" s="364"/>
      <c r="F1079" s="364"/>
    </row>
    <row r="1080" spans="5:6" ht="29.4" customHeight="1">
      <c r="E1080" s="364"/>
      <c r="F1080" s="364"/>
    </row>
    <row r="1081" spans="5:6" ht="29.4" customHeight="1">
      <c r="E1081" s="364"/>
      <c r="F1081" s="364"/>
    </row>
    <row r="1082" spans="5:6" ht="29.4" customHeight="1">
      <c r="E1082" s="364"/>
      <c r="F1082" s="364"/>
    </row>
    <row r="1083" spans="5:6" ht="29.4" customHeight="1">
      <c r="E1083" s="364"/>
      <c r="F1083" s="364"/>
    </row>
    <row r="1084" spans="5:6" ht="29.4" customHeight="1">
      <c r="E1084" s="364"/>
      <c r="F1084" s="364"/>
    </row>
    <row r="1085" spans="5:6" ht="29.4" customHeight="1">
      <c r="E1085" s="364"/>
      <c r="F1085" s="364"/>
    </row>
    <row r="1086" spans="5:6" ht="29.4" customHeight="1">
      <c r="E1086" s="364"/>
      <c r="F1086" s="364"/>
    </row>
    <row r="1087" spans="5:6" ht="29.4" customHeight="1">
      <c r="E1087" s="364"/>
      <c r="F1087" s="364"/>
    </row>
    <row r="1088" spans="5:6" ht="29.4" customHeight="1">
      <c r="E1088" s="364"/>
      <c r="F1088" s="364"/>
    </row>
    <row r="1089" spans="5:6" ht="29.4" customHeight="1">
      <c r="E1089" s="364"/>
      <c r="F1089" s="364"/>
    </row>
    <row r="1090" spans="5:6" ht="29.4" customHeight="1">
      <c r="E1090" s="364"/>
      <c r="F1090" s="364"/>
    </row>
    <row r="1091" spans="5:6" ht="29.4" customHeight="1">
      <c r="E1091" s="364"/>
      <c r="F1091" s="364"/>
    </row>
    <row r="1092" spans="5:6" ht="29.4" customHeight="1">
      <c r="E1092" s="364"/>
      <c r="F1092" s="364"/>
    </row>
    <row r="1093" spans="5:6" ht="29.4" customHeight="1">
      <c r="E1093" s="364"/>
      <c r="F1093" s="364"/>
    </row>
    <row r="1094" spans="5:6" ht="29.4" customHeight="1">
      <c r="E1094" s="364"/>
      <c r="F1094" s="364"/>
    </row>
    <row r="1095" spans="5:6" ht="29.4" customHeight="1">
      <c r="E1095" s="364"/>
      <c r="F1095" s="364"/>
    </row>
    <row r="1096" spans="5:6" ht="29.4" customHeight="1">
      <c r="E1096" s="364"/>
      <c r="F1096" s="364"/>
    </row>
    <row r="1097" spans="5:6" ht="29.4" customHeight="1">
      <c r="E1097" s="364"/>
      <c r="F1097" s="364"/>
    </row>
    <row r="1098" spans="5:6" ht="29.4" customHeight="1">
      <c r="E1098" s="364"/>
      <c r="F1098" s="364"/>
    </row>
    <row r="1099" spans="5:6" ht="29.4" customHeight="1">
      <c r="E1099" s="364"/>
      <c r="F1099" s="364"/>
    </row>
    <row r="1100" spans="5:6" ht="29.4" customHeight="1">
      <c r="E1100" s="364"/>
      <c r="F1100" s="364"/>
    </row>
    <row r="1101" spans="5:6" ht="29.4" customHeight="1">
      <c r="E1101" s="364"/>
      <c r="F1101" s="364"/>
    </row>
    <row r="1102" spans="5:6" ht="29.4" customHeight="1">
      <c r="E1102" s="364"/>
      <c r="F1102" s="364"/>
    </row>
    <row r="1103" spans="5:6" ht="29.4" customHeight="1">
      <c r="E1103" s="364"/>
      <c r="F1103" s="364"/>
    </row>
    <row r="1104" spans="5:6" ht="29.4" customHeight="1">
      <c r="E1104" s="364"/>
      <c r="F1104" s="364"/>
    </row>
    <row r="1105" spans="5:6" ht="29.4" customHeight="1">
      <c r="E1105" s="364"/>
      <c r="F1105" s="364"/>
    </row>
    <row r="1106" spans="5:6" ht="29.4" customHeight="1">
      <c r="E1106" s="364"/>
      <c r="F1106" s="364"/>
    </row>
    <row r="1107" spans="5:6" ht="29.4" customHeight="1">
      <c r="E1107" s="364"/>
      <c r="F1107" s="364"/>
    </row>
    <row r="1108" spans="5:6" ht="29.4" customHeight="1">
      <c r="E1108" s="364"/>
      <c r="F1108" s="364"/>
    </row>
    <row r="1109" spans="5:6" ht="29.4" customHeight="1">
      <c r="E1109" s="364"/>
      <c r="F1109" s="364"/>
    </row>
    <row r="1110" spans="5:6" ht="29.4" customHeight="1">
      <c r="E1110" s="364"/>
      <c r="F1110" s="364"/>
    </row>
    <row r="1111" spans="5:6" ht="29.4" customHeight="1">
      <c r="E1111" s="364"/>
      <c r="F1111" s="364"/>
    </row>
    <row r="1112" spans="5:6" ht="29.4" customHeight="1">
      <c r="E1112" s="364"/>
      <c r="F1112" s="364"/>
    </row>
    <row r="1113" spans="5:6" ht="29.4" customHeight="1">
      <c r="E1113" s="364"/>
      <c r="F1113" s="364"/>
    </row>
    <row r="1114" spans="5:6" ht="29.4" customHeight="1">
      <c r="E1114" s="364"/>
      <c r="F1114" s="364"/>
    </row>
    <row r="1115" spans="5:6" ht="29.4" customHeight="1">
      <c r="E1115" s="364"/>
      <c r="F1115" s="364"/>
    </row>
    <row r="1116" spans="5:6" ht="29.4" customHeight="1">
      <c r="E1116" s="364"/>
      <c r="F1116" s="364"/>
    </row>
    <row r="1117" spans="5:6" ht="29.4" customHeight="1">
      <c r="E1117" s="364"/>
      <c r="F1117" s="364"/>
    </row>
    <row r="1118" spans="5:6" ht="29.4" customHeight="1">
      <c r="E1118" s="364"/>
      <c r="F1118" s="364"/>
    </row>
    <row r="1119" spans="5:6" ht="29.4" customHeight="1">
      <c r="E1119" s="364"/>
      <c r="F1119" s="364"/>
    </row>
    <row r="1120" spans="5:6" ht="29.4" customHeight="1">
      <c r="E1120" s="364"/>
      <c r="F1120" s="364"/>
    </row>
    <row r="1121" spans="5:6" ht="29.4" customHeight="1">
      <c r="E1121" s="364"/>
      <c r="F1121" s="364"/>
    </row>
    <row r="1122" spans="5:6" ht="29.4" customHeight="1">
      <c r="E1122" s="364"/>
      <c r="F1122" s="364"/>
    </row>
    <row r="1123" spans="5:6" ht="29.4" customHeight="1">
      <c r="E1123" s="364"/>
      <c r="F1123" s="364"/>
    </row>
    <row r="1124" spans="5:6" ht="29.4" customHeight="1">
      <c r="E1124" s="364"/>
      <c r="F1124" s="364"/>
    </row>
    <row r="1125" spans="5:6" ht="29.4" customHeight="1">
      <c r="E1125" s="364"/>
      <c r="F1125" s="364"/>
    </row>
    <row r="1126" spans="5:6" ht="29.4" customHeight="1">
      <c r="E1126" s="364"/>
      <c r="F1126" s="364"/>
    </row>
    <row r="1127" spans="5:6" ht="29.4" customHeight="1">
      <c r="E1127" s="364"/>
      <c r="F1127" s="364"/>
    </row>
    <row r="1128" spans="5:6" ht="29.4" customHeight="1">
      <c r="E1128" s="364"/>
      <c r="F1128" s="364"/>
    </row>
    <row r="1129" spans="5:6" ht="29.4" customHeight="1">
      <c r="E1129" s="364"/>
      <c r="F1129" s="364"/>
    </row>
    <row r="1130" spans="5:6" ht="29.4" customHeight="1">
      <c r="E1130" s="364"/>
      <c r="F1130" s="364"/>
    </row>
    <row r="1131" spans="5:6" ht="29.4" customHeight="1">
      <c r="E1131" s="364"/>
      <c r="F1131" s="364"/>
    </row>
    <row r="1132" spans="5:6" ht="29.4" customHeight="1">
      <c r="E1132" s="364"/>
      <c r="F1132" s="364"/>
    </row>
    <row r="1133" spans="5:6" ht="29.4" customHeight="1">
      <c r="E1133" s="364"/>
      <c r="F1133" s="364"/>
    </row>
    <row r="1134" spans="5:6" ht="29.4" customHeight="1">
      <c r="E1134" s="364"/>
      <c r="F1134" s="364"/>
    </row>
    <row r="1135" spans="5:6" ht="29.4" customHeight="1">
      <c r="E1135" s="364"/>
      <c r="F1135" s="364"/>
    </row>
    <row r="1136" spans="5:6" ht="29.4" customHeight="1">
      <c r="E1136" s="364"/>
      <c r="F1136" s="364"/>
    </row>
    <row r="1137" spans="5:6" ht="29.4" customHeight="1">
      <c r="E1137" s="364"/>
      <c r="F1137" s="364"/>
    </row>
    <row r="1138" spans="5:6" ht="29.4" customHeight="1">
      <c r="E1138" s="364"/>
      <c r="F1138" s="364"/>
    </row>
    <row r="1139" spans="5:6" ht="29.4" customHeight="1">
      <c r="E1139" s="364"/>
      <c r="F1139" s="364"/>
    </row>
    <row r="1140" spans="5:6" ht="29.4" customHeight="1">
      <c r="E1140" s="364"/>
      <c r="F1140" s="364"/>
    </row>
    <row r="1141" spans="5:6" ht="29.4" customHeight="1">
      <c r="E1141" s="364"/>
      <c r="F1141" s="364"/>
    </row>
    <row r="1142" spans="5:6" ht="29.4" customHeight="1">
      <c r="E1142" s="364"/>
      <c r="F1142" s="364"/>
    </row>
    <row r="1143" spans="5:6" ht="29.4" customHeight="1">
      <c r="E1143" s="364"/>
      <c r="F1143" s="364"/>
    </row>
    <row r="1144" spans="5:6" ht="29.4" customHeight="1">
      <c r="E1144" s="364"/>
      <c r="F1144" s="364"/>
    </row>
    <row r="1145" spans="5:6" ht="29.4" customHeight="1">
      <c r="E1145" s="364"/>
      <c r="F1145" s="364"/>
    </row>
    <row r="1146" spans="5:6" ht="29.4" customHeight="1">
      <c r="E1146" s="364"/>
      <c r="F1146" s="364"/>
    </row>
    <row r="1147" spans="5:6" ht="29.4" customHeight="1">
      <c r="E1147" s="364"/>
      <c r="F1147" s="364"/>
    </row>
    <row r="1148" spans="5:6" ht="29.4" customHeight="1">
      <c r="E1148" s="364"/>
      <c r="F1148" s="364"/>
    </row>
    <row r="1149" spans="5:6" ht="29.4" customHeight="1">
      <c r="E1149" s="364"/>
      <c r="F1149" s="364"/>
    </row>
    <row r="1150" spans="5:6" ht="29.4" customHeight="1">
      <c r="E1150" s="364"/>
      <c r="F1150" s="364"/>
    </row>
    <row r="1151" spans="5:6" ht="29.4" customHeight="1">
      <c r="E1151" s="364"/>
      <c r="F1151" s="364"/>
    </row>
    <row r="1152" spans="5:6" ht="29.4" customHeight="1">
      <c r="E1152" s="364"/>
      <c r="F1152" s="364"/>
    </row>
    <row r="1153" spans="5:6" ht="29.4" customHeight="1">
      <c r="E1153" s="364"/>
      <c r="F1153" s="364"/>
    </row>
    <row r="1154" spans="5:6" ht="29.4" customHeight="1">
      <c r="E1154" s="364"/>
      <c r="F1154" s="364"/>
    </row>
    <row r="1155" spans="5:6" ht="29.4" customHeight="1">
      <c r="E1155" s="364"/>
      <c r="F1155" s="364"/>
    </row>
    <row r="1156" spans="5:6" ht="29.4" customHeight="1">
      <c r="E1156" s="364"/>
      <c r="F1156" s="364"/>
    </row>
    <row r="1157" spans="5:6" ht="29.4" customHeight="1">
      <c r="E1157" s="364"/>
      <c r="F1157" s="364"/>
    </row>
    <row r="1158" spans="5:6" ht="29.4" customHeight="1">
      <c r="E1158" s="364"/>
      <c r="F1158" s="364"/>
    </row>
    <row r="1159" spans="5:6" ht="29.4" customHeight="1">
      <c r="E1159" s="364"/>
      <c r="F1159" s="364"/>
    </row>
    <row r="1160" spans="5:6" ht="29.4" customHeight="1">
      <c r="E1160" s="364"/>
      <c r="F1160" s="364"/>
    </row>
    <row r="1161" spans="5:6" ht="29.4" customHeight="1">
      <c r="E1161" s="364"/>
      <c r="F1161" s="364"/>
    </row>
    <row r="1162" spans="5:6" ht="29.4" customHeight="1">
      <c r="E1162" s="364"/>
      <c r="F1162" s="364"/>
    </row>
    <row r="1163" spans="5:6" ht="29.4" customHeight="1">
      <c r="E1163" s="364"/>
      <c r="F1163" s="364"/>
    </row>
    <row r="1164" spans="5:6" ht="29.4" customHeight="1">
      <c r="E1164" s="364"/>
      <c r="F1164" s="364"/>
    </row>
    <row r="1165" spans="5:6" ht="29.4" customHeight="1">
      <c r="E1165" s="364"/>
      <c r="F1165" s="364"/>
    </row>
    <row r="1166" spans="5:6" ht="29.4" customHeight="1">
      <c r="E1166" s="364"/>
      <c r="F1166" s="364"/>
    </row>
    <row r="1167" spans="5:6" ht="29.4" customHeight="1">
      <c r="E1167" s="364"/>
      <c r="F1167" s="364"/>
    </row>
    <row r="1168" spans="5:6" ht="29.4" customHeight="1">
      <c r="E1168" s="364"/>
      <c r="F1168" s="364"/>
    </row>
    <row r="1169" spans="5:6" ht="29.4" customHeight="1">
      <c r="E1169" s="364"/>
      <c r="F1169" s="364"/>
    </row>
    <row r="1170" spans="5:6" ht="29.4" customHeight="1">
      <c r="E1170" s="364"/>
      <c r="F1170" s="364"/>
    </row>
    <row r="1171" spans="5:6" ht="29.4" customHeight="1">
      <c r="E1171" s="364"/>
      <c r="F1171" s="364"/>
    </row>
    <row r="1172" spans="5:6" ht="29.4" customHeight="1">
      <c r="E1172" s="364"/>
      <c r="F1172" s="364"/>
    </row>
    <row r="1173" spans="5:6" ht="29.4" customHeight="1">
      <c r="E1173" s="364"/>
      <c r="F1173" s="364"/>
    </row>
    <row r="1174" spans="5:6" ht="29.4" customHeight="1">
      <c r="E1174" s="364"/>
      <c r="F1174" s="364"/>
    </row>
    <row r="1175" spans="5:6" ht="29.4" customHeight="1">
      <c r="E1175" s="364"/>
      <c r="F1175" s="364"/>
    </row>
    <row r="1176" spans="5:6" ht="29.4" customHeight="1">
      <c r="E1176" s="364"/>
      <c r="F1176" s="364"/>
    </row>
    <row r="1177" spans="5:6" ht="29.4" customHeight="1">
      <c r="E1177" s="364"/>
      <c r="F1177" s="364"/>
    </row>
    <row r="1178" spans="5:6" ht="29.4" customHeight="1">
      <c r="E1178" s="364"/>
      <c r="F1178" s="364"/>
    </row>
    <row r="1179" spans="5:6" ht="29.4" customHeight="1">
      <c r="E1179" s="364"/>
      <c r="F1179" s="364"/>
    </row>
    <row r="1180" spans="5:6" ht="29.4" customHeight="1">
      <c r="E1180" s="364"/>
      <c r="F1180" s="364"/>
    </row>
    <row r="1181" spans="5:6" ht="29.4" customHeight="1">
      <c r="E1181" s="364"/>
      <c r="F1181" s="364"/>
    </row>
    <row r="1182" spans="5:6" ht="29.4" customHeight="1">
      <c r="E1182" s="364"/>
      <c r="F1182" s="364"/>
    </row>
    <row r="1183" spans="5:6" ht="29.4" customHeight="1">
      <c r="E1183" s="364"/>
      <c r="F1183" s="364"/>
    </row>
    <row r="1184" spans="5:6" ht="29.4" customHeight="1">
      <c r="E1184" s="364"/>
      <c r="F1184" s="364"/>
    </row>
    <row r="1185" spans="5:6" ht="29.4" customHeight="1">
      <c r="E1185" s="364"/>
      <c r="F1185" s="364"/>
    </row>
    <row r="1186" spans="5:6" ht="29.4" customHeight="1">
      <c r="E1186" s="364"/>
      <c r="F1186" s="364"/>
    </row>
    <row r="1187" spans="5:6" ht="29.4" customHeight="1">
      <c r="E1187" s="364"/>
      <c r="F1187" s="364"/>
    </row>
    <row r="1188" spans="5:6" ht="29.4" customHeight="1">
      <c r="E1188" s="364"/>
      <c r="F1188" s="364"/>
    </row>
    <row r="1189" spans="5:6" ht="29.4" customHeight="1">
      <c r="E1189" s="364"/>
      <c r="F1189" s="364"/>
    </row>
    <row r="1190" spans="5:6" ht="29.4" customHeight="1">
      <c r="E1190" s="364"/>
      <c r="F1190" s="364"/>
    </row>
    <row r="1191" spans="5:6" ht="29.4" customHeight="1">
      <c r="E1191" s="364"/>
      <c r="F1191" s="364"/>
    </row>
    <row r="1192" spans="5:6" ht="29.4" customHeight="1">
      <c r="E1192" s="364"/>
      <c r="F1192" s="364"/>
    </row>
    <row r="1193" spans="5:6" ht="29.4" customHeight="1">
      <c r="E1193" s="364"/>
      <c r="F1193" s="364"/>
    </row>
    <row r="1194" spans="5:6" ht="29.4" customHeight="1">
      <c r="E1194" s="364"/>
      <c r="F1194" s="364"/>
    </row>
    <row r="1195" spans="5:6" ht="29.4" customHeight="1">
      <c r="E1195" s="364"/>
      <c r="F1195" s="364"/>
    </row>
    <row r="1196" spans="5:6" ht="29.4" customHeight="1">
      <c r="E1196" s="364"/>
      <c r="F1196" s="364"/>
    </row>
    <row r="1197" spans="5:6" ht="29.4" customHeight="1">
      <c r="E1197" s="364"/>
      <c r="F1197" s="364"/>
    </row>
    <row r="1198" spans="5:6" ht="29.4" customHeight="1">
      <c r="E1198" s="364"/>
      <c r="F1198" s="364"/>
    </row>
    <row r="1199" spans="5:6" ht="29.4" customHeight="1">
      <c r="E1199" s="364"/>
      <c r="F1199" s="364"/>
    </row>
    <row r="1200" spans="5:6" ht="29.4" customHeight="1">
      <c r="E1200" s="364"/>
      <c r="F1200" s="364"/>
    </row>
    <row r="1201" spans="5:6" ht="29.4" customHeight="1">
      <c r="E1201" s="364"/>
      <c r="F1201" s="364"/>
    </row>
    <row r="1202" spans="5:6" ht="29.4" customHeight="1">
      <c r="E1202" s="364"/>
      <c r="F1202" s="364"/>
    </row>
    <row r="1203" spans="5:6" ht="29.4" customHeight="1">
      <c r="E1203" s="364"/>
      <c r="F1203" s="364"/>
    </row>
    <row r="1204" spans="5:6" ht="29.4" customHeight="1">
      <c r="E1204" s="364"/>
      <c r="F1204" s="364"/>
    </row>
    <row r="1205" spans="5:6" ht="29.4" customHeight="1">
      <c r="E1205" s="364"/>
      <c r="F1205" s="364"/>
    </row>
    <row r="1206" spans="5:6" ht="29.4" customHeight="1">
      <c r="E1206" s="364"/>
      <c r="F1206" s="364"/>
    </row>
  </sheetData>
  <sheetProtection algorithmName="SHA-512" hashValue="+LdwxfkA1jyLBte6woI8ByzPTCyZGX/hWbNTRLrzkSHIDs4CCPGF84VnsbZEaU6L3HRsnbXJBE5Kx9/DuWQ63Q==" saltValue="lrbg4FhyZ6IfCJXzouHjKQ==" spinCount="100000" sheet="1" objects="1" scenarios="1"/>
  <mergeCells count="325">
    <mergeCell ref="N183:N186"/>
    <mergeCell ref="AA21:AA22"/>
    <mergeCell ref="AA26:AA27"/>
    <mergeCell ref="AA28:AA36"/>
    <mergeCell ref="AA37:AA40"/>
    <mergeCell ref="AA46:AA50"/>
    <mergeCell ref="AA62:AA63"/>
    <mergeCell ref="AA68:AA71"/>
    <mergeCell ref="U117:U121"/>
    <mergeCell ref="S105:S109"/>
    <mergeCell ref="U85:U88"/>
    <mergeCell ref="W105:W109"/>
    <mergeCell ref="U105:U109"/>
    <mergeCell ref="AA85:AA88"/>
    <mergeCell ref="AA94:AA97"/>
    <mergeCell ref="AA98:AA100"/>
    <mergeCell ref="AA105:AA109"/>
    <mergeCell ref="AA113:AA116"/>
    <mergeCell ref="X105:X109"/>
    <mergeCell ref="Y105:Y109"/>
    <mergeCell ref="Y113:Y116"/>
    <mergeCell ref="Z105:Z109"/>
    <mergeCell ref="Z113:Z116"/>
    <mergeCell ref="V85:V88"/>
    <mergeCell ref="S158:AB158"/>
    <mergeCell ref="AB123:AB144"/>
    <mergeCell ref="Z149:Z150"/>
    <mergeCell ref="Z37:Z40"/>
    <mergeCell ref="T44:T45"/>
    <mergeCell ref="Z46:Z50"/>
    <mergeCell ref="Z68:Z71"/>
    <mergeCell ref="Z98:Z100"/>
    <mergeCell ref="V117:V118"/>
    <mergeCell ref="X117:X118"/>
    <mergeCell ref="Y117:Y118"/>
    <mergeCell ref="Z117:Z118"/>
    <mergeCell ref="V62:V63"/>
    <mergeCell ref="X62:X63"/>
    <mergeCell ref="Y62:Y63"/>
    <mergeCell ref="Z62:Z63"/>
    <mergeCell ref="Z94:Z97"/>
    <mergeCell ref="Z85:Z88"/>
    <mergeCell ref="V46:V50"/>
    <mergeCell ref="W46:W50"/>
    <mergeCell ref="Y94:Y97"/>
    <mergeCell ref="U113:U116"/>
    <mergeCell ref="V113:V116"/>
    <mergeCell ref="S123:S124"/>
    <mergeCell ref="X94:X97"/>
    <mergeCell ref="U94:U97"/>
    <mergeCell ref="U62:U67"/>
    <mergeCell ref="T62:T67"/>
    <mergeCell ref="V82:V83"/>
    <mergeCell ref="W82:W83"/>
    <mergeCell ref="X82:X83"/>
    <mergeCell ref="X68:X71"/>
    <mergeCell ref="U68:U71"/>
    <mergeCell ref="V68:V71"/>
    <mergeCell ref="W68:W71"/>
    <mergeCell ref="U82:U83"/>
    <mergeCell ref="S113:S116"/>
    <mergeCell ref="U98:U100"/>
    <mergeCell ref="S117:S121"/>
    <mergeCell ref="V98:V100"/>
    <mergeCell ref="U37:U40"/>
    <mergeCell ref="U46:U50"/>
    <mergeCell ref="T105:T109"/>
    <mergeCell ref="T68:T71"/>
    <mergeCell ref="S37:S40"/>
    <mergeCell ref="V105:V109"/>
    <mergeCell ref="S46:S50"/>
    <mergeCell ref="V65:V67"/>
    <mergeCell ref="V94:V97"/>
    <mergeCell ref="T94:T97"/>
    <mergeCell ref="A72:A75"/>
    <mergeCell ref="A77:A80"/>
    <mergeCell ref="B94:B97"/>
    <mergeCell ref="C94:C97"/>
    <mergeCell ref="S85:S88"/>
    <mergeCell ref="S94:S97"/>
    <mergeCell ref="S98:S100"/>
    <mergeCell ref="A94:A97"/>
    <mergeCell ref="C85:C88"/>
    <mergeCell ref="B77:B80"/>
    <mergeCell ref="A85:A88"/>
    <mergeCell ref="A1:F1"/>
    <mergeCell ref="H1:T1"/>
    <mergeCell ref="A117:A121"/>
    <mergeCell ref="B117:B121"/>
    <mergeCell ref="C117:C121"/>
    <mergeCell ref="T117:T121"/>
    <mergeCell ref="T98:T100"/>
    <mergeCell ref="B113:B116"/>
    <mergeCell ref="C113:C116"/>
    <mergeCell ref="T113:T116"/>
    <mergeCell ref="A101:A102"/>
    <mergeCell ref="T82:T83"/>
    <mergeCell ref="A62:A67"/>
    <mergeCell ref="A46:A50"/>
    <mergeCell ref="A37:A40"/>
    <mergeCell ref="A21:A22"/>
    <mergeCell ref="A17:A20"/>
    <mergeCell ref="S62:S67"/>
    <mergeCell ref="S68:S71"/>
    <mergeCell ref="B17:B20"/>
    <mergeCell ref="B92:B93"/>
    <mergeCell ref="A105:A109"/>
    <mergeCell ref="B68:B71"/>
    <mergeCell ref="C68:C71"/>
    <mergeCell ref="B155:B157"/>
    <mergeCell ref="A142:A144"/>
    <mergeCell ref="B142:B144"/>
    <mergeCell ref="T146:T147"/>
    <mergeCell ref="U146:U147"/>
    <mergeCell ref="V146:V147"/>
    <mergeCell ref="W146:W147"/>
    <mergeCell ref="A146:A147"/>
    <mergeCell ref="S149:S150"/>
    <mergeCell ref="S142:S144"/>
    <mergeCell ref="S146:S147"/>
    <mergeCell ref="T142:T144"/>
    <mergeCell ref="U142:U144"/>
    <mergeCell ref="V142:V144"/>
    <mergeCell ref="W142:W144"/>
    <mergeCell ref="V149:V150"/>
    <mergeCell ref="T149:T150"/>
    <mergeCell ref="U149:U150"/>
    <mergeCell ref="W149:W150"/>
    <mergeCell ref="B171:D171"/>
    <mergeCell ref="Y155:Y157"/>
    <mergeCell ref="B170:D170"/>
    <mergeCell ref="B168:D168"/>
    <mergeCell ref="B169:D169"/>
    <mergeCell ref="C155:C157"/>
    <mergeCell ref="B160:D160"/>
    <mergeCell ref="B163:D163"/>
    <mergeCell ref="B159:D159"/>
    <mergeCell ref="B161:D161"/>
    <mergeCell ref="A158:D158"/>
    <mergeCell ref="B164:D164"/>
    <mergeCell ref="B165:D165"/>
    <mergeCell ref="B166:D166"/>
    <mergeCell ref="B167:D167"/>
    <mergeCell ref="A159:A171"/>
    <mergeCell ref="S155:S157"/>
    <mergeCell ref="B162:D162"/>
    <mergeCell ref="X155:X157"/>
    <mergeCell ref="T155:T157"/>
    <mergeCell ref="U155:U157"/>
    <mergeCell ref="V155:V157"/>
    <mergeCell ref="W155:W157"/>
    <mergeCell ref="A155:A157"/>
    <mergeCell ref="T26:T27"/>
    <mergeCell ref="Z26:Z27"/>
    <mergeCell ref="Z28:Z36"/>
    <mergeCell ref="Y26:Y27"/>
    <mergeCell ref="V28:V36"/>
    <mergeCell ref="U26:U27"/>
    <mergeCell ref="X26:X27"/>
    <mergeCell ref="AB37:AB40"/>
    <mergeCell ref="W123:W124"/>
    <mergeCell ref="Z123:Z124"/>
    <mergeCell ref="T37:T40"/>
    <mergeCell ref="U123:U124"/>
    <mergeCell ref="V123:V124"/>
    <mergeCell ref="AB26:AB36"/>
    <mergeCell ref="Y123:Y124"/>
    <mergeCell ref="T85:T88"/>
    <mergeCell ref="X123:X124"/>
    <mergeCell ref="X65:X66"/>
    <mergeCell ref="T123:T124"/>
    <mergeCell ref="W113:W116"/>
    <mergeCell ref="X113:X116"/>
    <mergeCell ref="W85:W88"/>
    <mergeCell ref="X85:X88"/>
    <mergeCell ref="W94:W97"/>
    <mergeCell ref="W98:W100"/>
    <mergeCell ref="X98:X100"/>
    <mergeCell ref="Y142:Y144"/>
    <mergeCell ref="Z142:Z144"/>
    <mergeCell ref="X149:X150"/>
    <mergeCell ref="AB155:AB157"/>
    <mergeCell ref="AA123:AA124"/>
    <mergeCell ref="AA142:AA144"/>
    <mergeCell ref="AA146:AA147"/>
    <mergeCell ref="AA149:AA150"/>
    <mergeCell ref="X146:X147"/>
    <mergeCell ref="Y146:Y147"/>
    <mergeCell ref="AB149:AB150"/>
    <mergeCell ref="Y149:Y150"/>
    <mergeCell ref="Y28:Y36"/>
    <mergeCell ref="AB113:AB116"/>
    <mergeCell ref="AB105:AB109"/>
    <mergeCell ref="AB117:AB121"/>
    <mergeCell ref="Y85:Y88"/>
    <mergeCell ref="Y98:Y100"/>
    <mergeCell ref="Y82:Y83"/>
    <mergeCell ref="AB46:AB67"/>
    <mergeCell ref="Y65:Y67"/>
    <mergeCell ref="Z65:Z67"/>
    <mergeCell ref="AA65:AA67"/>
    <mergeCell ref="AB85:AB88"/>
    <mergeCell ref="AB94:AB97"/>
    <mergeCell ref="AB68:AB71"/>
    <mergeCell ref="AB98:AB100"/>
    <mergeCell ref="AA117:AA118"/>
    <mergeCell ref="Y68:Y71"/>
    <mergeCell ref="Z146:Z147"/>
    <mergeCell ref="K14:K15"/>
    <mergeCell ref="S26:S36"/>
    <mergeCell ref="T28:T36"/>
    <mergeCell ref="AB146:AB147"/>
    <mergeCell ref="AB14:AB15"/>
    <mergeCell ref="T14:T15"/>
    <mergeCell ref="U14:U15"/>
    <mergeCell ref="V14:V15"/>
    <mergeCell ref="V26:V27"/>
    <mergeCell ref="W26:W27"/>
    <mergeCell ref="V37:V40"/>
    <mergeCell ref="W37:W40"/>
    <mergeCell ref="X37:X40"/>
    <mergeCell ref="Y37:Y40"/>
    <mergeCell ref="X46:X50"/>
    <mergeCell ref="Y46:Y50"/>
    <mergeCell ref="Y21:Y22"/>
    <mergeCell ref="V21:V22"/>
    <mergeCell ref="W21:W22"/>
    <mergeCell ref="X21:X22"/>
    <mergeCell ref="T46:T50"/>
    <mergeCell ref="X142:X144"/>
    <mergeCell ref="U28:U36"/>
    <mergeCell ref="A2:AB2"/>
    <mergeCell ref="U17:U20"/>
    <mergeCell ref="V17:V20"/>
    <mergeCell ref="W17:W20"/>
    <mergeCell ref="X17:X20"/>
    <mergeCell ref="Y17:Y20"/>
    <mergeCell ref="B4:AB4"/>
    <mergeCell ref="B5:AB5"/>
    <mergeCell ref="B6:AB6"/>
    <mergeCell ref="B7:Y7"/>
    <mergeCell ref="B8:Y8"/>
    <mergeCell ref="A11:Y11"/>
    <mergeCell ref="Z17:Z20"/>
    <mergeCell ref="S17:S22"/>
    <mergeCell ref="AB17:AB22"/>
    <mergeCell ref="B14:B15"/>
    <mergeCell ref="C14:C15"/>
    <mergeCell ref="A14:A15"/>
    <mergeCell ref="C21:C22"/>
    <mergeCell ref="J14:J15"/>
    <mergeCell ref="C17:C20"/>
    <mergeCell ref="H14:H15"/>
    <mergeCell ref="Z21:Z22"/>
    <mergeCell ref="A10:L10"/>
    <mergeCell ref="U21:U22"/>
    <mergeCell ref="W14:AA14"/>
    <mergeCell ref="M14:M15"/>
    <mergeCell ref="P14:P15"/>
    <mergeCell ref="Q14:Q15"/>
    <mergeCell ref="R14:R15"/>
    <mergeCell ref="AA17:AA20"/>
    <mergeCell ref="B62:B67"/>
    <mergeCell ref="C62:C67"/>
    <mergeCell ref="B41:B42"/>
    <mergeCell ref="B37:B40"/>
    <mergeCell ref="B46:B50"/>
    <mergeCell ref="C46:C50"/>
    <mergeCell ref="B21:B22"/>
    <mergeCell ref="I14:I15"/>
    <mergeCell ref="S14:S15"/>
    <mergeCell ref="L14:L15"/>
    <mergeCell ref="O14:O15"/>
    <mergeCell ref="D14:D15"/>
    <mergeCell ref="E14:E15"/>
    <mergeCell ref="F14:F15"/>
    <mergeCell ref="G14:G15"/>
    <mergeCell ref="T17:T20"/>
    <mergeCell ref="T21:T22"/>
    <mergeCell ref="B123:B124"/>
    <mergeCell ref="C123:C124"/>
    <mergeCell ref="C82:C83"/>
    <mergeCell ref="A149:A150"/>
    <mergeCell ref="B149:B150"/>
    <mergeCell ref="C149:C150"/>
    <mergeCell ref="B146:B147"/>
    <mergeCell ref="C146:C147"/>
    <mergeCell ref="A82:A83"/>
    <mergeCell ref="C142:C144"/>
    <mergeCell ref="C105:C109"/>
    <mergeCell ref="A123:A124"/>
    <mergeCell ref="B101:B102"/>
    <mergeCell ref="A103:A104"/>
    <mergeCell ref="B103:B104"/>
    <mergeCell ref="C89:C93"/>
    <mergeCell ref="B89:B90"/>
    <mergeCell ref="B85:B88"/>
    <mergeCell ref="B105:B109"/>
    <mergeCell ref="C98:C100"/>
    <mergeCell ref="A98:A100"/>
    <mergeCell ref="B98:B100"/>
    <mergeCell ref="V119:V120"/>
    <mergeCell ref="Y119:Y120"/>
    <mergeCell ref="Z119:Z120"/>
    <mergeCell ref="AA119:AA120"/>
    <mergeCell ref="B110:B111"/>
    <mergeCell ref="A113:A116"/>
    <mergeCell ref="A26:A27"/>
    <mergeCell ref="B26:B27"/>
    <mergeCell ref="C26:C27"/>
    <mergeCell ref="A41:A42"/>
    <mergeCell ref="B74:B75"/>
    <mergeCell ref="B72:B73"/>
    <mergeCell ref="A44:A45"/>
    <mergeCell ref="C37:C40"/>
    <mergeCell ref="B44:B45"/>
    <mergeCell ref="B34:B36"/>
    <mergeCell ref="B28:B31"/>
    <mergeCell ref="A28:A36"/>
    <mergeCell ref="C28:C36"/>
    <mergeCell ref="B53:B55"/>
    <mergeCell ref="A68:A71"/>
    <mergeCell ref="C44:C45"/>
    <mergeCell ref="W28:W36"/>
    <mergeCell ref="X28:X36"/>
  </mergeCells>
  <conditionalFormatting sqref="G15:H15 E14:H14 S14:T14">
    <cfRule type="dataBar" priority="17">
      <dataBar>
        <cfvo type="min"/>
        <cfvo type="max"/>
        <color rgb="FF638EC6"/>
      </dataBar>
      <extLst>
        <ext xmlns:x14="http://schemas.microsoft.com/office/spreadsheetml/2009/9/main" uri="{B025F937-C7B1-47D3-B67F-A62EFF666E3E}">
          <x14:id>{E5A32450-3EF7-4A95-BF8A-8AC7E1B58B86}</x14:id>
        </ext>
      </extLst>
    </cfRule>
  </conditionalFormatting>
  <conditionalFormatting sqref="I14:J14">
    <cfRule type="dataBar" priority="15">
      <dataBar>
        <cfvo type="min"/>
        <cfvo type="max"/>
        <color rgb="FF638EC6"/>
      </dataBar>
      <extLst>
        <ext xmlns:x14="http://schemas.microsoft.com/office/spreadsheetml/2009/9/main" uri="{B025F937-C7B1-47D3-B67F-A62EFF666E3E}">
          <x14:id>{032339AF-CE9B-493B-A0FE-15DD2482DCEA}</x14:id>
        </ext>
      </extLst>
    </cfRule>
  </conditionalFormatting>
  <conditionalFormatting sqref="J15">
    <cfRule type="dataBar" priority="14">
      <dataBar>
        <cfvo type="min"/>
        <cfvo type="max"/>
        <color rgb="FF638EC6"/>
      </dataBar>
      <extLst>
        <ext xmlns:x14="http://schemas.microsoft.com/office/spreadsheetml/2009/9/main" uri="{B025F937-C7B1-47D3-B67F-A62EFF666E3E}">
          <x14:id>{8C2CBDA6-BCDA-4F99-A18C-B53169EAA9B1}</x14:id>
        </ext>
      </extLst>
    </cfRule>
  </conditionalFormatting>
  <conditionalFormatting sqref="K14:L15">
    <cfRule type="dataBar" priority="11">
      <dataBar>
        <cfvo type="min"/>
        <cfvo type="max"/>
        <color rgb="FF638EC6"/>
      </dataBar>
      <extLst>
        <ext xmlns:x14="http://schemas.microsoft.com/office/spreadsheetml/2009/9/main" uri="{B025F937-C7B1-47D3-B67F-A62EFF666E3E}">
          <x14:id>{5B14B139-7555-4D25-B911-E4AC87EE02FC}</x14:id>
        </ext>
      </extLst>
    </cfRule>
  </conditionalFormatting>
  <conditionalFormatting sqref="M14:N14">
    <cfRule type="dataBar" priority="8">
      <dataBar>
        <cfvo type="min"/>
        <cfvo type="max"/>
        <color rgb="FF638EC6"/>
      </dataBar>
      <extLst>
        <ext xmlns:x14="http://schemas.microsoft.com/office/spreadsheetml/2009/9/main" uri="{B025F937-C7B1-47D3-B67F-A62EFF666E3E}">
          <x14:id>{DE5B3388-FE84-41C4-8DA2-50B42A75DB9B}</x14:id>
        </ext>
      </extLst>
    </cfRule>
  </conditionalFormatting>
  <conditionalFormatting sqref="M15:N15">
    <cfRule type="dataBar" priority="7">
      <dataBar>
        <cfvo type="min"/>
        <cfvo type="max"/>
        <color rgb="FF638EC6"/>
      </dataBar>
      <extLst>
        <ext xmlns:x14="http://schemas.microsoft.com/office/spreadsheetml/2009/9/main" uri="{B025F937-C7B1-47D3-B67F-A62EFF666E3E}">
          <x14:id>{B91254D5-83F1-4A90-9DDC-314F2F37303B}</x14:id>
        </ext>
      </extLst>
    </cfRule>
  </conditionalFormatting>
  <conditionalFormatting sqref="O14">
    <cfRule type="dataBar" priority="10">
      <dataBar>
        <cfvo type="min"/>
        <cfvo type="max"/>
        <color rgb="FF638EC6"/>
      </dataBar>
      <extLst>
        <ext xmlns:x14="http://schemas.microsoft.com/office/spreadsheetml/2009/9/main" uri="{B025F937-C7B1-47D3-B67F-A62EFF666E3E}">
          <x14:id>{F6F9727E-7DB9-4997-A227-E44021A52C23}</x14:id>
        </ext>
      </extLst>
    </cfRule>
  </conditionalFormatting>
  <conditionalFormatting sqref="O15">
    <cfRule type="dataBar" priority="9">
      <dataBar>
        <cfvo type="min"/>
        <cfvo type="max"/>
        <color rgb="FF638EC6"/>
      </dataBar>
      <extLst>
        <ext xmlns:x14="http://schemas.microsoft.com/office/spreadsheetml/2009/9/main" uri="{B025F937-C7B1-47D3-B67F-A62EFF666E3E}">
          <x14:id>{06683CFB-D326-4AFB-84F6-5AC21E0564DC}</x14:id>
        </ext>
      </extLst>
    </cfRule>
  </conditionalFormatting>
  <conditionalFormatting sqref="P14">
    <cfRule type="dataBar" priority="6">
      <dataBar>
        <cfvo type="min"/>
        <cfvo type="max"/>
        <color rgb="FF638EC6"/>
      </dataBar>
      <extLst>
        <ext xmlns:x14="http://schemas.microsoft.com/office/spreadsheetml/2009/9/main" uri="{B025F937-C7B1-47D3-B67F-A62EFF666E3E}">
          <x14:id>{C438A694-E943-4B80-AFE7-E4933D18E21A}</x14:id>
        </ext>
      </extLst>
    </cfRule>
  </conditionalFormatting>
  <conditionalFormatting sqref="P15">
    <cfRule type="dataBar" priority="5">
      <dataBar>
        <cfvo type="min"/>
        <cfvo type="max"/>
        <color rgb="FF638EC6"/>
      </dataBar>
      <extLst>
        <ext xmlns:x14="http://schemas.microsoft.com/office/spreadsheetml/2009/9/main" uri="{B025F937-C7B1-47D3-B67F-A62EFF666E3E}">
          <x14:id>{436137D8-DF07-4CE3-B33A-B2F7253FD3E1}</x14:id>
        </ext>
      </extLst>
    </cfRule>
  </conditionalFormatting>
  <conditionalFormatting sqref="Q14">
    <cfRule type="dataBar" priority="4">
      <dataBar>
        <cfvo type="min"/>
        <cfvo type="max"/>
        <color rgb="FF638EC6"/>
      </dataBar>
      <extLst>
        <ext xmlns:x14="http://schemas.microsoft.com/office/spreadsheetml/2009/9/main" uri="{B025F937-C7B1-47D3-B67F-A62EFF666E3E}">
          <x14:id>{44E98690-63A7-4D09-B6BF-06F7BD5FED97}</x14:id>
        </ext>
      </extLst>
    </cfRule>
  </conditionalFormatting>
  <conditionalFormatting sqref="Q15">
    <cfRule type="dataBar" priority="3">
      <dataBar>
        <cfvo type="min"/>
        <cfvo type="max"/>
        <color rgb="FF638EC6"/>
      </dataBar>
      <extLst>
        <ext xmlns:x14="http://schemas.microsoft.com/office/spreadsheetml/2009/9/main" uri="{B025F937-C7B1-47D3-B67F-A62EFF666E3E}">
          <x14:id>{3F7B3FE2-C65F-4855-9A27-32752AB13A41}</x14:id>
        </ext>
      </extLst>
    </cfRule>
  </conditionalFormatting>
  <conditionalFormatting sqref="R14">
    <cfRule type="dataBar" priority="2">
      <dataBar>
        <cfvo type="min"/>
        <cfvo type="max"/>
        <color rgb="FF638EC6"/>
      </dataBar>
      <extLst>
        <ext xmlns:x14="http://schemas.microsoft.com/office/spreadsheetml/2009/9/main" uri="{B025F937-C7B1-47D3-B67F-A62EFF666E3E}">
          <x14:id>{59E751EA-21A1-4358-ADFC-5E97EC068056}</x14:id>
        </ext>
      </extLst>
    </cfRule>
  </conditionalFormatting>
  <conditionalFormatting sqref="R15">
    <cfRule type="dataBar" priority="1">
      <dataBar>
        <cfvo type="min"/>
        <cfvo type="max"/>
        <color rgb="FF638EC6"/>
      </dataBar>
      <extLst>
        <ext xmlns:x14="http://schemas.microsoft.com/office/spreadsheetml/2009/9/main" uri="{B025F937-C7B1-47D3-B67F-A62EFF666E3E}">
          <x14:id>{7B9AB959-5647-4E6E-9C8B-E9FD84DC94A4}</x14:id>
        </ext>
      </extLst>
    </cfRule>
  </conditionalFormatting>
  <pageMargins left="0.7" right="0.7" top="0.75" bottom="0.75" header="0.3" footer="0.3"/>
  <pageSetup paperSize="8" scale="58" fitToHeight="0" orientation="landscape" r:id="rId1"/>
  <extLst>
    <ext xmlns:x14="http://schemas.microsoft.com/office/spreadsheetml/2009/9/main" uri="{78C0D931-6437-407d-A8EE-F0AAD7539E65}">
      <x14:conditionalFormattings>
        <x14:conditionalFormatting xmlns:xm="http://schemas.microsoft.com/office/excel/2006/main">
          <x14:cfRule type="dataBar" id="{E5A32450-3EF7-4A95-BF8A-8AC7E1B58B86}">
            <x14:dataBar minLength="0" maxLength="100" border="1" negativeBarBorderColorSameAsPositive="0">
              <x14:cfvo type="autoMin"/>
              <x14:cfvo type="autoMax"/>
              <x14:borderColor rgb="FF638EC6"/>
              <x14:negativeFillColor rgb="FFFF0000"/>
              <x14:negativeBorderColor rgb="FFFF0000"/>
              <x14:axisColor rgb="FF000000"/>
            </x14:dataBar>
          </x14:cfRule>
          <xm:sqref>G15:H15 E14:H14 S14:T14</xm:sqref>
        </x14:conditionalFormatting>
        <x14:conditionalFormatting xmlns:xm="http://schemas.microsoft.com/office/excel/2006/main">
          <x14:cfRule type="dataBar" id="{032339AF-CE9B-493B-A0FE-15DD2482DCEA}">
            <x14:dataBar minLength="0" maxLength="100" border="1" negativeBarBorderColorSameAsPositive="0">
              <x14:cfvo type="autoMin"/>
              <x14:cfvo type="autoMax"/>
              <x14:borderColor rgb="FF638EC6"/>
              <x14:negativeFillColor rgb="FFFF0000"/>
              <x14:negativeBorderColor rgb="FFFF0000"/>
              <x14:axisColor rgb="FF000000"/>
            </x14:dataBar>
          </x14:cfRule>
          <xm:sqref>I14:J14</xm:sqref>
        </x14:conditionalFormatting>
        <x14:conditionalFormatting xmlns:xm="http://schemas.microsoft.com/office/excel/2006/main">
          <x14:cfRule type="dataBar" id="{8C2CBDA6-BCDA-4F99-A18C-B53169EAA9B1}">
            <x14:dataBar minLength="0" maxLength="100" border="1" negativeBarBorderColorSameAsPositive="0">
              <x14:cfvo type="autoMin"/>
              <x14:cfvo type="autoMax"/>
              <x14:borderColor rgb="FF638EC6"/>
              <x14:negativeFillColor rgb="FFFF0000"/>
              <x14:negativeBorderColor rgb="FFFF0000"/>
              <x14:axisColor rgb="FF000000"/>
            </x14:dataBar>
          </x14:cfRule>
          <xm:sqref>J15</xm:sqref>
        </x14:conditionalFormatting>
        <x14:conditionalFormatting xmlns:xm="http://schemas.microsoft.com/office/excel/2006/main">
          <x14:cfRule type="dataBar" id="{5B14B139-7555-4D25-B911-E4AC87EE02FC}">
            <x14:dataBar minLength="0" maxLength="100" border="1" negativeBarBorderColorSameAsPositive="0">
              <x14:cfvo type="autoMin"/>
              <x14:cfvo type="autoMax"/>
              <x14:borderColor rgb="FF638EC6"/>
              <x14:negativeFillColor rgb="FFFF0000"/>
              <x14:negativeBorderColor rgb="FFFF0000"/>
              <x14:axisColor rgb="FF000000"/>
            </x14:dataBar>
          </x14:cfRule>
          <xm:sqref>K14:L15</xm:sqref>
        </x14:conditionalFormatting>
        <x14:conditionalFormatting xmlns:xm="http://schemas.microsoft.com/office/excel/2006/main">
          <x14:cfRule type="dataBar" id="{DE5B3388-FE84-41C4-8DA2-50B42A75DB9B}">
            <x14:dataBar minLength="0" maxLength="100" border="1" negativeBarBorderColorSameAsPositive="0">
              <x14:cfvo type="autoMin"/>
              <x14:cfvo type="autoMax"/>
              <x14:borderColor rgb="FF638EC6"/>
              <x14:negativeFillColor rgb="FFFF0000"/>
              <x14:negativeBorderColor rgb="FFFF0000"/>
              <x14:axisColor rgb="FF000000"/>
            </x14:dataBar>
          </x14:cfRule>
          <xm:sqref>M14:N14</xm:sqref>
        </x14:conditionalFormatting>
        <x14:conditionalFormatting xmlns:xm="http://schemas.microsoft.com/office/excel/2006/main">
          <x14:cfRule type="dataBar" id="{B91254D5-83F1-4A90-9DDC-314F2F37303B}">
            <x14:dataBar minLength="0" maxLength="100" border="1" negativeBarBorderColorSameAsPositive="0">
              <x14:cfvo type="autoMin"/>
              <x14:cfvo type="autoMax"/>
              <x14:borderColor rgb="FF638EC6"/>
              <x14:negativeFillColor rgb="FFFF0000"/>
              <x14:negativeBorderColor rgb="FFFF0000"/>
              <x14:axisColor rgb="FF000000"/>
            </x14:dataBar>
          </x14:cfRule>
          <xm:sqref>M15:N15</xm:sqref>
        </x14:conditionalFormatting>
        <x14:conditionalFormatting xmlns:xm="http://schemas.microsoft.com/office/excel/2006/main">
          <x14:cfRule type="dataBar" id="{F6F9727E-7DB9-4997-A227-E44021A52C23}">
            <x14:dataBar minLength="0" maxLength="100" border="1" negativeBarBorderColorSameAsPositive="0">
              <x14:cfvo type="autoMin"/>
              <x14:cfvo type="autoMax"/>
              <x14:borderColor rgb="FF638EC6"/>
              <x14:negativeFillColor rgb="FFFF0000"/>
              <x14:negativeBorderColor rgb="FFFF0000"/>
              <x14:axisColor rgb="FF000000"/>
            </x14:dataBar>
          </x14:cfRule>
          <xm:sqref>O14</xm:sqref>
        </x14:conditionalFormatting>
        <x14:conditionalFormatting xmlns:xm="http://schemas.microsoft.com/office/excel/2006/main">
          <x14:cfRule type="dataBar" id="{06683CFB-D326-4AFB-84F6-5AC21E0564DC}">
            <x14:dataBar minLength="0" maxLength="100" border="1" negativeBarBorderColorSameAsPositive="0">
              <x14:cfvo type="autoMin"/>
              <x14:cfvo type="autoMax"/>
              <x14:borderColor rgb="FF638EC6"/>
              <x14:negativeFillColor rgb="FFFF0000"/>
              <x14:negativeBorderColor rgb="FFFF0000"/>
              <x14:axisColor rgb="FF000000"/>
            </x14:dataBar>
          </x14:cfRule>
          <xm:sqref>O15</xm:sqref>
        </x14:conditionalFormatting>
        <x14:conditionalFormatting xmlns:xm="http://schemas.microsoft.com/office/excel/2006/main">
          <x14:cfRule type="dataBar" id="{C438A694-E943-4B80-AFE7-E4933D18E21A}">
            <x14:dataBar minLength="0" maxLength="100" border="1" negativeBarBorderColorSameAsPositive="0">
              <x14:cfvo type="autoMin"/>
              <x14:cfvo type="autoMax"/>
              <x14:borderColor rgb="FF638EC6"/>
              <x14:negativeFillColor rgb="FFFF0000"/>
              <x14:negativeBorderColor rgb="FFFF0000"/>
              <x14:axisColor rgb="FF000000"/>
            </x14:dataBar>
          </x14:cfRule>
          <xm:sqref>P14</xm:sqref>
        </x14:conditionalFormatting>
        <x14:conditionalFormatting xmlns:xm="http://schemas.microsoft.com/office/excel/2006/main">
          <x14:cfRule type="dataBar" id="{436137D8-DF07-4CE3-B33A-B2F7253FD3E1}">
            <x14:dataBar minLength="0" maxLength="100" border="1" negativeBarBorderColorSameAsPositive="0">
              <x14:cfvo type="autoMin"/>
              <x14:cfvo type="autoMax"/>
              <x14:borderColor rgb="FF638EC6"/>
              <x14:negativeFillColor rgb="FFFF0000"/>
              <x14:negativeBorderColor rgb="FFFF0000"/>
              <x14:axisColor rgb="FF000000"/>
            </x14:dataBar>
          </x14:cfRule>
          <xm:sqref>P15</xm:sqref>
        </x14:conditionalFormatting>
        <x14:conditionalFormatting xmlns:xm="http://schemas.microsoft.com/office/excel/2006/main">
          <x14:cfRule type="dataBar" id="{44E98690-63A7-4D09-B6BF-06F7BD5FED97}">
            <x14:dataBar minLength="0" maxLength="100" border="1" negativeBarBorderColorSameAsPositive="0">
              <x14:cfvo type="autoMin"/>
              <x14:cfvo type="autoMax"/>
              <x14:borderColor rgb="FF638EC6"/>
              <x14:negativeFillColor rgb="FFFF0000"/>
              <x14:negativeBorderColor rgb="FFFF0000"/>
              <x14:axisColor rgb="FF000000"/>
            </x14:dataBar>
          </x14:cfRule>
          <xm:sqref>Q14</xm:sqref>
        </x14:conditionalFormatting>
        <x14:conditionalFormatting xmlns:xm="http://schemas.microsoft.com/office/excel/2006/main">
          <x14:cfRule type="dataBar" id="{3F7B3FE2-C65F-4855-9A27-32752AB13A41}">
            <x14:dataBar minLength="0" maxLength="100" border="1" negativeBarBorderColorSameAsPositive="0">
              <x14:cfvo type="autoMin"/>
              <x14:cfvo type="autoMax"/>
              <x14:borderColor rgb="FF638EC6"/>
              <x14:negativeFillColor rgb="FFFF0000"/>
              <x14:negativeBorderColor rgb="FFFF0000"/>
              <x14:axisColor rgb="FF000000"/>
            </x14:dataBar>
          </x14:cfRule>
          <xm:sqref>Q15</xm:sqref>
        </x14:conditionalFormatting>
        <x14:conditionalFormatting xmlns:xm="http://schemas.microsoft.com/office/excel/2006/main">
          <x14:cfRule type="dataBar" id="{59E751EA-21A1-4358-ADFC-5E97EC068056}">
            <x14:dataBar minLength="0" maxLength="100" border="1" negativeBarBorderColorSameAsPositive="0">
              <x14:cfvo type="autoMin"/>
              <x14:cfvo type="autoMax"/>
              <x14:borderColor rgb="FF638EC6"/>
              <x14:negativeFillColor rgb="FFFF0000"/>
              <x14:negativeBorderColor rgb="FFFF0000"/>
              <x14:axisColor rgb="FF000000"/>
            </x14:dataBar>
          </x14:cfRule>
          <xm:sqref>R14</xm:sqref>
        </x14:conditionalFormatting>
        <x14:conditionalFormatting xmlns:xm="http://schemas.microsoft.com/office/excel/2006/main">
          <x14:cfRule type="dataBar" id="{7B9AB959-5647-4E6E-9C8B-E9FD84DC94A4}">
            <x14:dataBar minLength="0" maxLength="100" border="1" negativeBarBorderColorSameAsPositive="0">
              <x14:cfvo type="autoMin"/>
              <x14:cfvo type="autoMax"/>
              <x14:borderColor rgb="FF638EC6"/>
              <x14:negativeFillColor rgb="FFFF0000"/>
              <x14:negativeBorderColor rgb="FFFF0000"/>
              <x14:axisColor rgb="FF000000"/>
            </x14:dataBar>
          </x14:cfRule>
          <xm:sqref>R15</xm:sqref>
        </x14:conditionalFormatting>
      </x14:conditionalFormatting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6EF1A-E9CF-4D17-87A0-4DB135A69904}">
  <sheetPr>
    <pageSetUpPr fitToPage="1"/>
  </sheetPr>
  <dimension ref="A1:EE267"/>
  <sheetViews>
    <sheetView zoomScale="92" zoomScaleNormal="92" zoomScaleSheetLayoutView="102" workbookViewId="0">
      <selection activeCell="Q199" sqref="Q199"/>
    </sheetView>
  </sheetViews>
  <sheetFormatPr defaultColWidth="9.109375" defaultRowHeight="21" customHeight="1"/>
  <cols>
    <col min="1" max="1" width="16.33203125" style="87" customWidth="1"/>
    <col min="2" max="2" width="33.44140625" style="87" customWidth="1"/>
    <col min="3" max="3" width="4.33203125" style="87" customWidth="1"/>
    <col min="4" max="4" width="6.6640625" style="87" customWidth="1"/>
    <col min="5" max="7" width="16.33203125" style="87" hidden="1" customWidth="1"/>
    <col min="8" max="8" width="17.44140625" style="87" hidden="1" customWidth="1"/>
    <col min="9" max="9" width="17.88671875" style="87" customWidth="1"/>
    <col min="10" max="10" width="16.109375" style="1553" hidden="1" customWidth="1"/>
    <col min="11" max="11" width="9.88671875" style="2186" hidden="1" customWidth="1"/>
    <col min="12" max="12" width="17.88671875" style="87" customWidth="1"/>
    <col min="13" max="13" width="17.88671875" style="1633" hidden="1" customWidth="1"/>
    <col min="14" max="14" width="17.88671875" style="87" customWidth="1"/>
    <col min="15" max="15" width="17.88671875" style="1633" hidden="1" customWidth="1"/>
    <col min="16" max="16" width="12.33203125" style="125" customWidth="1"/>
    <col min="17" max="17" width="75.109375" style="87" customWidth="1"/>
    <col min="18" max="18" width="14" style="87" customWidth="1"/>
    <col min="19" max="19" width="32.88671875" style="87" customWidth="1"/>
    <col min="20" max="21" width="6.33203125" style="125" hidden="1" customWidth="1"/>
    <col min="22" max="22" width="8.109375" style="125" customWidth="1"/>
    <col min="23" max="23" width="6.33203125" style="125" customWidth="1"/>
    <col min="24" max="24" width="8" style="125" customWidth="1"/>
    <col min="25" max="25" width="13.109375" style="87" customWidth="1"/>
    <col min="26" max="26" width="21.109375" style="87" customWidth="1"/>
    <col min="27" max="27" width="23.109375" style="87" customWidth="1"/>
    <col min="28" max="28" width="8.88671875" style="87" customWidth="1"/>
    <col min="29" max="29" width="9.109375" style="87" customWidth="1"/>
    <col min="30" max="16384" width="9.109375" style="87"/>
  </cols>
  <sheetData>
    <row r="1" spans="1:26" ht="21.6" customHeight="1">
      <c r="A1" s="2927" t="s">
        <v>2082</v>
      </c>
      <c r="B1" s="2927"/>
      <c r="C1" s="2927"/>
      <c r="D1" s="2927"/>
      <c r="E1" s="2927"/>
      <c r="F1" s="2927"/>
      <c r="G1" s="2927"/>
      <c r="H1" s="2927"/>
      <c r="I1" s="2927"/>
      <c r="J1" s="2927"/>
      <c r="K1" s="2927"/>
      <c r="L1" s="2927"/>
      <c r="M1" s="2927"/>
      <c r="N1" s="2927"/>
      <c r="O1" s="2927"/>
      <c r="P1" s="2927"/>
      <c r="Q1" s="406"/>
      <c r="T1" s="3333"/>
      <c r="U1" s="3333"/>
      <c r="V1" s="3333"/>
      <c r="W1" s="3333"/>
      <c r="X1" s="3333"/>
      <c r="Y1" s="3333"/>
      <c r="Z1" s="3333"/>
    </row>
    <row r="2" spans="1:26" ht="22.2" customHeight="1">
      <c r="A2" s="2857" t="s">
        <v>3008</v>
      </c>
      <c r="B2" s="2711"/>
      <c r="C2" s="2711"/>
      <c r="D2" s="2711"/>
      <c r="E2" s="2711"/>
      <c r="F2" s="2711"/>
      <c r="G2" s="2711"/>
      <c r="H2" s="2711"/>
      <c r="I2" s="2711"/>
      <c r="J2" s="2711"/>
      <c r="K2" s="2711"/>
      <c r="L2" s="2711"/>
      <c r="M2" s="2711"/>
      <c r="N2" s="2711"/>
      <c r="O2" s="2711"/>
      <c r="P2" s="2711"/>
      <c r="Q2" s="2711"/>
      <c r="R2" s="2711"/>
      <c r="S2" s="2711"/>
      <c r="T2" s="2711"/>
      <c r="U2" s="2711"/>
      <c r="V2" s="2711"/>
      <c r="W2" s="2711"/>
      <c r="X2" s="2711"/>
      <c r="Y2" s="2711"/>
      <c r="Z2" s="2711"/>
    </row>
    <row r="3" spans="1:26" ht="9.6" customHeight="1">
      <c r="A3" s="649"/>
      <c r="B3" s="103"/>
      <c r="C3" s="103"/>
      <c r="D3" s="103"/>
      <c r="E3" s="103"/>
      <c r="F3" s="103"/>
      <c r="G3" s="103"/>
      <c r="H3" s="103"/>
      <c r="I3" s="103"/>
      <c r="J3" s="1718"/>
      <c r="K3" s="2184"/>
      <c r="L3" s="103"/>
      <c r="M3" s="1492"/>
      <c r="N3" s="103"/>
      <c r="O3" s="1492"/>
      <c r="P3" s="825"/>
      <c r="Q3" s="103"/>
      <c r="R3" s="103"/>
      <c r="S3" s="103"/>
      <c r="T3" s="103"/>
      <c r="U3" s="103"/>
      <c r="V3" s="103"/>
      <c r="W3" s="103"/>
      <c r="X3" s="103"/>
      <c r="Y3" s="103"/>
      <c r="Z3" s="103"/>
    </row>
    <row r="4" spans="1:26" ht="19.2" customHeight="1">
      <c r="A4" s="89" t="str">
        <f>A19</f>
        <v>09.01.01. (T)</v>
      </c>
      <c r="B4" s="84" t="str">
        <f>B19</f>
        <v>Sudaryti kuo palankesnes sąlygas pradėti ir plėtoti verslą, skatinti jaunimo verslumą bei didinti gyventojų užimtumą</v>
      </c>
      <c r="C4" s="84"/>
      <c r="D4" s="84"/>
      <c r="E4" s="84"/>
      <c r="F4" s="84"/>
      <c r="G4" s="84"/>
      <c r="H4" s="84"/>
      <c r="I4" s="3755"/>
      <c r="J4" s="3770"/>
      <c r="K4" s="3771"/>
      <c r="L4" s="3755"/>
      <c r="M4" s="3770"/>
      <c r="N4" s="3755"/>
      <c r="O4" s="1732"/>
      <c r="P4" s="1193"/>
    </row>
    <row r="5" spans="1:26" ht="15.6" customHeight="1">
      <c r="A5" s="89" t="str">
        <f>A52</f>
        <v>09.02.01.(T)</v>
      </c>
      <c r="B5" s="84" t="str">
        <f>B52</f>
        <v>Pritraukti ES ir kitų fondų lėšas miesto plėtros projektams įgyvendinti</v>
      </c>
      <c r="C5" s="84"/>
      <c r="D5" s="84"/>
      <c r="E5" s="84"/>
      <c r="F5" s="84"/>
      <c r="G5" s="84"/>
      <c r="H5" s="84"/>
      <c r="I5" s="3755"/>
      <c r="J5" s="3770"/>
      <c r="K5" s="3771"/>
      <c r="L5" s="3755"/>
      <c r="M5" s="3770"/>
      <c r="N5" s="3755"/>
      <c r="O5" s="1732"/>
      <c r="P5" s="1193"/>
    </row>
    <row r="6" spans="1:26" ht="17.399999999999999" customHeight="1">
      <c r="A6" s="89" t="str">
        <f>A59</f>
        <v>09.02.02. (T)</v>
      </c>
      <c r="B6" s="84" t="str">
        <f>B59</f>
        <v>Kurti aplinką, kuri sąlygotų investicijų 
pritraukimą</v>
      </c>
      <c r="C6" s="84"/>
      <c r="D6" s="84"/>
      <c r="E6" s="84"/>
      <c r="F6" s="84"/>
      <c r="G6" s="84"/>
      <c r="H6" s="84"/>
      <c r="I6" s="3755"/>
      <c r="J6" s="3770"/>
      <c r="K6" s="3771"/>
      <c r="L6" s="3755"/>
      <c r="M6" s="3770"/>
      <c r="N6" s="3755"/>
      <c r="O6" s="1732"/>
      <c r="P6" s="1193"/>
    </row>
    <row r="7" spans="1:26" ht="15" customHeight="1">
      <c r="A7" s="89" t="str">
        <f>A78</f>
        <v>09.02.03. (T)</v>
      </c>
      <c r="B7" s="84" t="str">
        <f>B78</f>
        <v>Savivaldybės ekonominės plėtros gairių specializacijų vystymas</v>
      </c>
      <c r="C7" s="84"/>
      <c r="D7" s="84"/>
      <c r="E7" s="84"/>
      <c r="F7" s="84"/>
      <c r="G7" s="84"/>
      <c r="H7" s="84"/>
      <c r="I7" s="3755"/>
      <c r="J7" s="3770"/>
      <c r="K7" s="3771"/>
      <c r="L7" s="3755"/>
      <c r="M7" s="3770"/>
      <c r="N7" s="3755"/>
      <c r="O7" s="1732"/>
      <c r="P7" s="1193"/>
    </row>
    <row r="8" spans="1:26" ht="18" customHeight="1">
      <c r="A8" s="89" t="str">
        <f>A90</f>
        <v>09.03.01. (PP,TP)</v>
      </c>
      <c r="B8" s="84" t="str">
        <f>B90</f>
        <v>Plėsti turizmo, rekreacijos, 
poilsio ir paslaugų infrastruktūrą</v>
      </c>
      <c r="C8" s="84"/>
      <c r="D8" s="84"/>
      <c r="E8" s="84"/>
      <c r="F8" s="84"/>
      <c r="G8" s="84"/>
      <c r="H8" s="84"/>
      <c r="I8" s="3755"/>
      <c r="J8" s="3770"/>
      <c r="K8" s="3771"/>
      <c r="L8" s="3755"/>
      <c r="M8" s="3770"/>
      <c r="N8" s="3755"/>
      <c r="O8" s="1732"/>
      <c r="P8" s="1193"/>
    </row>
    <row r="9" spans="1:26" ht="15.6" customHeight="1">
      <c r="A9" s="89" t="str">
        <f>A167</f>
        <v>09.03.02. (T)</v>
      </c>
      <c r="B9" s="84" t="str">
        <f>B167</f>
        <v>Užtikrinti turizmo informacijos sklaidą, skatinti turizmo plėtrą savivaldybėje</v>
      </c>
      <c r="C9" s="84"/>
      <c r="D9" s="84"/>
      <c r="E9" s="84"/>
      <c r="F9" s="84"/>
      <c r="G9" s="84"/>
      <c r="H9" s="84"/>
      <c r="I9" s="3755"/>
      <c r="J9" s="3770"/>
      <c r="K9" s="3771"/>
      <c r="L9" s="3755"/>
      <c r="M9" s="3770"/>
      <c r="N9" s="3755"/>
      <c r="O9" s="1732"/>
      <c r="P9" s="1193"/>
    </row>
    <row r="10" spans="1:26" ht="17.399999999999999" customHeight="1">
      <c r="A10" s="89" t="str">
        <f>A194</f>
        <v>09.04.01. (P)</v>
      </c>
      <c r="B10" s="84" t="str">
        <f>B194</f>
        <v>Įgyvendinti Funkcinės zonos Visagino, Ignalinos ir Zarasų rajonų savivaldybių teritorijose strategiją</v>
      </c>
      <c r="C10" s="84"/>
      <c r="D10" s="84"/>
      <c r="E10" s="84"/>
      <c r="F10" s="84"/>
      <c r="G10" s="84"/>
      <c r="H10" s="84"/>
      <c r="I10" s="3755"/>
      <c r="J10" s="3770"/>
      <c r="K10" s="3771"/>
      <c r="L10" s="3755"/>
      <c r="M10" s="3770"/>
      <c r="N10" s="3755"/>
      <c r="O10" s="1732"/>
      <c r="P10" s="1193"/>
    </row>
    <row r="11" spans="1:26" ht="19.2" customHeight="1">
      <c r="A11" s="89"/>
      <c r="B11" s="89"/>
      <c r="C11" s="89"/>
      <c r="D11" s="89"/>
      <c r="E11" s="89"/>
      <c r="F11" s="89"/>
      <c r="G11" s="89"/>
      <c r="H11" s="89"/>
    </row>
    <row r="12" spans="1:26" ht="24" customHeight="1">
      <c r="A12" s="2920" t="s">
        <v>3827</v>
      </c>
      <c r="B12" s="2920"/>
      <c r="C12" s="2920"/>
      <c r="D12" s="2920"/>
      <c r="E12" s="99"/>
      <c r="F12" s="99"/>
      <c r="G12" s="99"/>
      <c r="H12" s="83"/>
      <c r="I12" s="83"/>
      <c r="J12" s="1583"/>
      <c r="K12" s="2187"/>
      <c r="L12" s="83"/>
      <c r="M12" s="1630"/>
      <c r="N12" s="83"/>
      <c r="O12" s="1630"/>
      <c r="P12" s="944"/>
      <c r="Q12" s="83"/>
      <c r="T12" s="407"/>
      <c r="U12" s="407"/>
      <c r="V12" s="407"/>
      <c r="W12" s="407"/>
      <c r="X12" s="407"/>
      <c r="Y12" s="99"/>
      <c r="Z12" s="99"/>
    </row>
    <row r="13" spans="1:26" ht="12" hidden="1" customHeight="1">
      <c r="A13" s="112"/>
      <c r="B13" s="112"/>
      <c r="C13" s="112"/>
      <c r="D13" s="112"/>
      <c r="E13" s="99"/>
      <c r="F13" s="99"/>
      <c r="G13" s="99"/>
      <c r="H13" s="83"/>
      <c r="I13" s="83"/>
      <c r="J13" s="1583"/>
      <c r="K13" s="2187"/>
      <c r="L13" s="83"/>
      <c r="M13" s="1630"/>
      <c r="N13" s="83"/>
      <c r="O13" s="1630"/>
      <c r="P13" s="944"/>
      <c r="Q13" s="83"/>
      <c r="T13" s="407"/>
      <c r="U13" s="407"/>
      <c r="V13" s="407"/>
      <c r="W13" s="407"/>
      <c r="X13" s="407"/>
      <c r="Y13" s="99"/>
      <c r="Z13" s="99"/>
    </row>
    <row r="14" spans="1:26" ht="55.8" customHeight="1">
      <c r="A14" s="2920" t="s">
        <v>4701</v>
      </c>
      <c r="B14" s="2920"/>
      <c r="C14" s="2920"/>
      <c r="D14" s="2920"/>
      <c r="E14" s="2920"/>
      <c r="F14" s="2920"/>
      <c r="G14" s="2920"/>
      <c r="H14" s="2920"/>
      <c r="I14" s="2920"/>
      <c r="J14" s="2920"/>
      <c r="K14" s="2920"/>
      <c r="L14" s="2920"/>
      <c r="M14" s="2920"/>
      <c r="N14" s="2920"/>
      <c r="O14" s="2920"/>
      <c r="P14" s="2920"/>
      <c r="Q14" s="2920"/>
      <c r="R14" s="2920"/>
      <c r="S14" s="2920"/>
      <c r="T14" s="2920"/>
      <c r="U14" s="2920"/>
      <c r="V14" s="2920"/>
      <c r="W14" s="2920"/>
      <c r="X14" s="2920"/>
      <c r="Y14" s="2920"/>
      <c r="Z14" s="2920"/>
    </row>
    <row r="15" spans="1:26" ht="10.8" customHeight="1"/>
    <row r="16" spans="1:26" ht="10.8" customHeight="1">
      <c r="A16" s="89" t="s">
        <v>3621</v>
      </c>
      <c r="B16" s="156"/>
      <c r="C16" s="156"/>
      <c r="D16" s="156"/>
      <c r="E16" s="156"/>
      <c r="F16" s="156"/>
      <c r="G16" s="156"/>
      <c r="H16" s="156"/>
      <c r="I16" s="156"/>
      <c r="J16" s="1719"/>
      <c r="K16" s="2185"/>
      <c r="L16" s="156"/>
      <c r="M16" s="1732"/>
      <c r="N16" s="156"/>
      <c r="O16" s="1732"/>
    </row>
    <row r="17" spans="1:27" s="408" customFormat="1" ht="106.2" customHeight="1">
      <c r="A17" s="2691" t="s">
        <v>728</v>
      </c>
      <c r="B17" s="2691" t="s">
        <v>1899</v>
      </c>
      <c r="C17" s="2717" t="s">
        <v>1064</v>
      </c>
      <c r="D17" s="2717" t="s">
        <v>1065</v>
      </c>
      <c r="E17" s="2691" t="s">
        <v>2042</v>
      </c>
      <c r="F17" s="2715" t="s">
        <v>2882</v>
      </c>
      <c r="G17" s="2715" t="s">
        <v>2883</v>
      </c>
      <c r="H17" s="2691" t="s">
        <v>1915</v>
      </c>
      <c r="I17" s="2691" t="s">
        <v>1970</v>
      </c>
      <c r="J17" s="3036" t="s">
        <v>3824</v>
      </c>
      <c r="K17" s="3354" t="s">
        <v>3835</v>
      </c>
      <c r="L17" s="2691" t="s">
        <v>2881</v>
      </c>
      <c r="M17" s="2692" t="s">
        <v>3825</v>
      </c>
      <c r="N17" s="2691" t="s">
        <v>3823</v>
      </c>
      <c r="O17" s="2692" t="s">
        <v>3826</v>
      </c>
      <c r="P17" s="2691" t="s">
        <v>1937</v>
      </c>
      <c r="Q17" s="2691" t="s">
        <v>2740</v>
      </c>
      <c r="R17" s="2691" t="s">
        <v>729</v>
      </c>
      <c r="S17" s="2691" t="s">
        <v>1083</v>
      </c>
      <c r="T17" s="3371" t="s">
        <v>730</v>
      </c>
      <c r="U17" s="3372"/>
      <c r="V17" s="3372"/>
      <c r="W17" s="3372"/>
      <c r="X17" s="3373"/>
      <c r="Y17" s="3334" t="s">
        <v>731</v>
      </c>
      <c r="Z17" s="3335"/>
    </row>
    <row r="18" spans="1:27" s="408" customFormat="1" ht="30" customHeight="1">
      <c r="A18" s="2691"/>
      <c r="B18" s="2691"/>
      <c r="C18" s="2717"/>
      <c r="D18" s="2717"/>
      <c r="E18" s="2691"/>
      <c r="F18" s="2715"/>
      <c r="G18" s="2715"/>
      <c r="H18" s="2691"/>
      <c r="I18" s="2691"/>
      <c r="J18" s="3036"/>
      <c r="K18" s="3355"/>
      <c r="L18" s="2691"/>
      <c r="M18" s="2692"/>
      <c r="N18" s="2691"/>
      <c r="O18" s="2692"/>
      <c r="P18" s="2691"/>
      <c r="Q18" s="2691"/>
      <c r="R18" s="2691"/>
      <c r="S18" s="2691"/>
      <c r="T18" s="404">
        <v>2024</v>
      </c>
      <c r="U18" s="404">
        <v>2025</v>
      </c>
      <c r="V18" s="404">
        <v>2026</v>
      </c>
      <c r="W18" s="404">
        <v>2027</v>
      </c>
      <c r="X18" s="404">
        <v>2028</v>
      </c>
      <c r="Y18" s="3336"/>
      <c r="Z18" s="3337"/>
    </row>
    <row r="19" spans="1:27" ht="52.95" customHeight="1">
      <c r="A19" s="697" t="s">
        <v>2064</v>
      </c>
      <c r="B19" s="663" t="s">
        <v>2337</v>
      </c>
      <c r="C19" s="697"/>
      <c r="D19" s="697"/>
      <c r="E19" s="746">
        <f>SUM(E25,E31,E33,E35,E37,E40,E45,)</f>
        <v>270.06</v>
      </c>
      <c r="F19" s="1135">
        <f>H19/E19-1</f>
        <v>0.26934755239576402</v>
      </c>
      <c r="G19" s="1136">
        <f>SUM(G25,G31,G33,G35,G37,G40,G45,)</f>
        <v>374.322</v>
      </c>
      <c r="H19" s="746">
        <f>SUM(H25,H31,H33,H35,H37,H40,H45,)</f>
        <v>342.8</v>
      </c>
      <c r="I19" s="746">
        <f>SUM(I25,I31,I33,I35,I37,I40,I45,I42,)</f>
        <v>970.60500000000002</v>
      </c>
      <c r="J19" s="746">
        <f t="shared" ref="J19:N19" si="0">SUM(J25,J31,J33,J35,J37,J40,J45,J42,)</f>
        <v>986.89599999999996</v>
      </c>
      <c r="K19" s="746">
        <f t="shared" si="0"/>
        <v>24.575098132476082</v>
      </c>
      <c r="L19" s="746">
        <f t="shared" si="0"/>
        <v>1444.7190000000001</v>
      </c>
      <c r="M19" s="746">
        <f t="shared" si="0"/>
        <v>1474.86</v>
      </c>
      <c r="N19" s="746">
        <f t="shared" si="0"/>
        <v>943.23800000000006</v>
      </c>
      <c r="O19" s="1497">
        <f>SUM(O25,O31,O33,O35,O37,O40,O45,)</f>
        <v>953.37900000000002</v>
      </c>
      <c r="P19" s="179" t="s">
        <v>2338</v>
      </c>
      <c r="Q19" s="697"/>
      <c r="R19" s="671" t="s">
        <v>1557</v>
      </c>
      <c r="S19" s="671" t="s">
        <v>818</v>
      </c>
      <c r="T19" s="671">
        <v>14.78</v>
      </c>
      <c r="U19" s="671" t="s">
        <v>3339</v>
      </c>
      <c r="V19" s="671" t="s">
        <v>3339</v>
      </c>
      <c r="W19" s="671" t="s">
        <v>3339</v>
      </c>
      <c r="X19" s="671" t="s">
        <v>3339</v>
      </c>
      <c r="Y19" s="3345" t="s">
        <v>818</v>
      </c>
      <c r="Z19" s="3346"/>
    </row>
    <row r="20" spans="1:27" s="409" customFormat="1" ht="33.75" customHeight="1">
      <c r="A20" s="2879" t="s">
        <v>2280</v>
      </c>
      <c r="B20" s="3343" t="s">
        <v>2988</v>
      </c>
      <c r="C20" s="3344" t="s">
        <v>1071</v>
      </c>
      <c r="D20" s="1391" t="s">
        <v>246</v>
      </c>
      <c r="E20" s="1139">
        <v>0</v>
      </c>
      <c r="F20" s="1137">
        <v>0</v>
      </c>
      <c r="G20" s="1392">
        <v>0</v>
      </c>
      <c r="H20" s="1139">
        <v>0</v>
      </c>
      <c r="I20" s="722">
        <v>59.5</v>
      </c>
      <c r="J20" s="1557">
        <v>59.5</v>
      </c>
      <c r="K20" s="2189"/>
      <c r="L20" s="722">
        <v>726</v>
      </c>
      <c r="M20" s="1496">
        <v>726</v>
      </c>
      <c r="N20" s="722">
        <v>666.5</v>
      </c>
      <c r="O20" s="1496">
        <v>666.5</v>
      </c>
      <c r="P20" s="3353" t="s">
        <v>2295</v>
      </c>
      <c r="Q20" s="3250" t="s">
        <v>4250</v>
      </c>
      <c r="R20" s="3250" t="s">
        <v>2281</v>
      </c>
      <c r="S20" s="2694" t="s">
        <v>2276</v>
      </c>
      <c r="T20" s="3250">
        <v>0</v>
      </c>
      <c r="U20" s="3250">
        <v>0</v>
      </c>
      <c r="V20" s="3250">
        <v>0</v>
      </c>
      <c r="W20" s="3250">
        <v>0</v>
      </c>
      <c r="X20" s="3342">
        <v>6900</v>
      </c>
      <c r="Y20" s="3347" t="s">
        <v>2277</v>
      </c>
      <c r="Z20" s="3348"/>
    </row>
    <row r="21" spans="1:27" s="409" customFormat="1" ht="31.95" hidden="1" customHeight="1">
      <c r="A21" s="2879"/>
      <c r="B21" s="3343"/>
      <c r="C21" s="3344"/>
      <c r="D21" s="1391" t="s">
        <v>412</v>
      </c>
      <c r="E21" s="1139"/>
      <c r="F21" s="1137" t="e">
        <f t="shared" ref="F21:F90" si="1">H21/E21-1</f>
        <v>#DIV/0!</v>
      </c>
      <c r="G21" s="1392"/>
      <c r="H21" s="1139"/>
      <c r="I21" s="1139"/>
      <c r="J21" s="1720"/>
      <c r="K21" s="2189"/>
      <c r="L21" s="1139"/>
      <c r="M21" s="1733"/>
      <c r="N21" s="1139"/>
      <c r="O21" s="1733"/>
      <c r="P21" s="3353"/>
      <c r="Q21" s="3250"/>
      <c r="R21" s="3250"/>
      <c r="S21" s="2694"/>
      <c r="T21" s="3250"/>
      <c r="U21" s="3250"/>
      <c r="V21" s="3250"/>
      <c r="W21" s="3250"/>
      <c r="X21" s="3342"/>
      <c r="Y21" s="3349"/>
      <c r="Z21" s="3350"/>
      <c r="AA21" s="409" t="s">
        <v>2888</v>
      </c>
    </row>
    <row r="22" spans="1:27" s="409" customFormat="1" ht="30" customHeight="1">
      <c r="A22" s="2879"/>
      <c r="B22" s="3343"/>
      <c r="C22" s="3344"/>
      <c r="D22" s="1391" t="s">
        <v>470</v>
      </c>
      <c r="E22" s="1139">
        <v>0</v>
      </c>
      <c r="F22" s="1137">
        <v>0</v>
      </c>
      <c r="G22" s="1110">
        <v>85.412000000000006</v>
      </c>
      <c r="H22" s="722">
        <v>0</v>
      </c>
      <c r="I22" s="722"/>
      <c r="J22" s="1557">
        <v>206.762</v>
      </c>
      <c r="K22" s="2189">
        <f>(I22-H23)/H23</f>
        <v>-1</v>
      </c>
      <c r="L22" s="722"/>
      <c r="M22" s="1496">
        <v>128.11799999999999</v>
      </c>
      <c r="N22" s="722"/>
      <c r="O22" s="1496">
        <v>28.117999999999999</v>
      </c>
      <c r="P22" s="3353"/>
      <c r="Q22" s="3250"/>
      <c r="R22" s="3250"/>
      <c r="S22" s="2694"/>
      <c r="T22" s="3250"/>
      <c r="U22" s="3250"/>
      <c r="V22" s="3250"/>
      <c r="W22" s="3250"/>
      <c r="X22" s="3342"/>
      <c r="Y22" s="3349"/>
      <c r="Z22" s="3350"/>
    </row>
    <row r="23" spans="1:27" s="409" customFormat="1" ht="30" customHeight="1">
      <c r="A23" s="2879"/>
      <c r="B23" s="3343"/>
      <c r="C23" s="3344"/>
      <c r="D23" s="1391" t="s">
        <v>2747</v>
      </c>
      <c r="E23" s="1139"/>
      <c r="F23" s="1137"/>
      <c r="G23" s="1110"/>
      <c r="H23" s="722">
        <v>85.412000000000006</v>
      </c>
      <c r="I23" s="722">
        <v>75</v>
      </c>
      <c r="J23" s="1557"/>
      <c r="K23" s="2189"/>
      <c r="L23" s="1139"/>
      <c r="M23" s="1733"/>
      <c r="N23" s="1139"/>
      <c r="O23" s="1733"/>
      <c r="P23" s="3353"/>
      <c r="Q23" s="3250"/>
      <c r="R23" s="3250"/>
      <c r="S23" s="2694"/>
      <c r="T23" s="1138"/>
      <c r="U23" s="3250"/>
      <c r="V23" s="3250"/>
      <c r="W23" s="3250"/>
      <c r="X23" s="3342"/>
      <c r="Y23" s="3349"/>
      <c r="Z23" s="3350"/>
    </row>
    <row r="24" spans="1:27" s="409" customFormat="1" ht="30" customHeight="1">
      <c r="A24" s="2879"/>
      <c r="B24" s="3343"/>
      <c r="C24" s="3344"/>
      <c r="D24" s="1391" t="s">
        <v>1358</v>
      </c>
      <c r="E24" s="1139"/>
      <c r="F24" s="1137"/>
      <c r="G24" s="1110"/>
      <c r="H24" s="722"/>
      <c r="I24" s="722">
        <v>131.762</v>
      </c>
      <c r="J24" s="1557"/>
      <c r="K24" s="2189"/>
      <c r="L24" s="722">
        <v>128.11799999999999</v>
      </c>
      <c r="M24" s="1496"/>
      <c r="N24" s="722">
        <v>28.117999999999999</v>
      </c>
      <c r="O24" s="1496"/>
      <c r="P24" s="3353"/>
      <c r="Q24" s="3250"/>
      <c r="R24" s="3250"/>
      <c r="S24" s="2694"/>
      <c r="T24" s="1138"/>
      <c r="U24" s="3250"/>
      <c r="V24" s="3250"/>
      <c r="W24" s="3250"/>
      <c r="X24" s="3342"/>
      <c r="Y24" s="3349"/>
      <c r="Z24" s="3350"/>
    </row>
    <row r="25" spans="1:27" s="409" customFormat="1" ht="84" customHeight="1">
      <c r="A25" s="2879"/>
      <c r="B25" s="3343"/>
      <c r="C25" s="3344"/>
      <c r="D25" s="1140" t="s">
        <v>1067</v>
      </c>
      <c r="E25" s="728">
        <f>SUM(E20,E22)</f>
        <v>0</v>
      </c>
      <c r="F25" s="1141">
        <v>0</v>
      </c>
      <c r="G25" s="1142">
        <f>SUM(G20,G22,G23)</f>
        <v>85.412000000000006</v>
      </c>
      <c r="H25" s="728">
        <f>SUM(H20,H22,H23)</f>
        <v>85.412000000000006</v>
      </c>
      <c r="I25" s="728">
        <f>SUM(I20,I22,I23:I24)</f>
        <v>266.262</v>
      </c>
      <c r="J25" s="1464">
        <f t="shared" ref="J25:O25" si="2">SUM(J20,J22,J23:J24)</f>
        <v>266.262</v>
      </c>
      <c r="K25" s="2190">
        <f t="shared" ref="K25:K84" si="3">(I25-H25)/H25</f>
        <v>2.1173839741488312</v>
      </c>
      <c r="L25" s="728">
        <f>SUM(L20,L23,L22,L24)</f>
        <v>854.11799999999994</v>
      </c>
      <c r="M25" s="1464">
        <f t="shared" si="2"/>
        <v>854.11799999999994</v>
      </c>
      <c r="N25" s="728">
        <f t="shared" si="2"/>
        <v>694.61800000000005</v>
      </c>
      <c r="O25" s="1464">
        <f t="shared" si="2"/>
        <v>694.61800000000005</v>
      </c>
      <c r="P25" s="3353"/>
      <c r="Q25" s="3250"/>
      <c r="R25" s="3250"/>
      <c r="S25" s="656" t="s">
        <v>2884</v>
      </c>
      <c r="T25" s="1138">
        <v>0</v>
      </c>
      <c r="U25" s="1138">
        <v>0</v>
      </c>
      <c r="V25" s="1138">
        <v>0</v>
      </c>
      <c r="W25" s="1138">
        <v>0</v>
      </c>
      <c r="X25" s="1138">
        <v>1</v>
      </c>
      <c r="Y25" s="3351"/>
      <c r="Z25" s="3352"/>
    </row>
    <row r="26" spans="1:27" ht="29.4" customHeight="1">
      <c r="A26" s="2694" t="s">
        <v>2643</v>
      </c>
      <c r="B26" s="2695" t="s">
        <v>3756</v>
      </c>
      <c r="C26" s="2723" t="s">
        <v>1195</v>
      </c>
      <c r="D26" s="1391" t="s">
        <v>246</v>
      </c>
      <c r="E26" s="722">
        <v>0</v>
      </c>
      <c r="F26" s="1137">
        <v>0</v>
      </c>
      <c r="G26" s="1110">
        <v>0</v>
      </c>
      <c r="H26" s="722">
        <v>0</v>
      </c>
      <c r="I26" s="722">
        <v>153.97300000000001</v>
      </c>
      <c r="J26" s="1557">
        <v>153.97300000000001</v>
      </c>
      <c r="K26" s="2189"/>
      <c r="L26" s="722">
        <v>285.94900000000001</v>
      </c>
      <c r="M26" s="1496">
        <v>285.94900000000001</v>
      </c>
      <c r="N26" s="722"/>
      <c r="O26" s="1496"/>
      <c r="P26" s="2729" t="s">
        <v>2296</v>
      </c>
      <c r="Q26" s="2704" t="s">
        <v>4027</v>
      </c>
      <c r="R26" s="2694" t="s">
        <v>1558</v>
      </c>
      <c r="S26" s="3250" t="s">
        <v>2283</v>
      </c>
      <c r="T26" s="3342">
        <v>0</v>
      </c>
      <c r="U26" s="3342">
        <v>0</v>
      </c>
      <c r="V26" s="3342">
        <v>0</v>
      </c>
      <c r="W26" s="3250">
        <v>5.95</v>
      </c>
      <c r="X26" s="3250">
        <v>0</v>
      </c>
      <c r="Y26" s="3288" t="s">
        <v>2339</v>
      </c>
      <c r="Z26" s="3289"/>
      <c r="AA26" s="409"/>
    </row>
    <row r="27" spans="1:27" ht="15" hidden="1" customHeight="1">
      <c r="A27" s="2879"/>
      <c r="B27" s="2695"/>
      <c r="C27" s="2723"/>
      <c r="D27" s="1391" t="s">
        <v>412</v>
      </c>
      <c r="E27" s="722"/>
      <c r="F27" s="1137" t="e">
        <f t="shared" si="1"/>
        <v>#DIV/0!</v>
      </c>
      <c r="G27" s="1110"/>
      <c r="H27" s="722"/>
      <c r="I27" s="722"/>
      <c r="J27" s="1557"/>
      <c r="K27" s="2189" t="e">
        <f t="shared" si="3"/>
        <v>#DIV/0!</v>
      </c>
      <c r="L27" s="722"/>
      <c r="M27" s="1496"/>
      <c r="N27" s="722"/>
      <c r="O27" s="1496"/>
      <c r="P27" s="2729"/>
      <c r="Q27" s="2704"/>
      <c r="R27" s="2694"/>
      <c r="S27" s="3250"/>
      <c r="T27" s="3342"/>
      <c r="U27" s="3342"/>
      <c r="V27" s="3342"/>
      <c r="W27" s="3250"/>
      <c r="X27" s="3250"/>
      <c r="Y27" s="3290"/>
      <c r="Z27" s="3291"/>
    </row>
    <row r="28" spans="1:27" ht="36" customHeight="1">
      <c r="A28" s="2879"/>
      <c r="B28" s="2695"/>
      <c r="C28" s="2723"/>
      <c r="D28" s="1391" t="s">
        <v>470</v>
      </c>
      <c r="E28" s="722">
        <v>10</v>
      </c>
      <c r="F28" s="1137">
        <f t="shared" si="1"/>
        <v>-1</v>
      </c>
      <c r="G28" s="1110">
        <v>19.577000000000002</v>
      </c>
      <c r="H28" s="722">
        <v>0</v>
      </c>
      <c r="I28" s="722"/>
      <c r="J28" s="1557">
        <v>300</v>
      </c>
      <c r="K28" s="2189">
        <f>(I28-H29)/H29</f>
        <v>-1</v>
      </c>
      <c r="L28" s="722"/>
      <c r="M28" s="1496">
        <v>61.781999999999996</v>
      </c>
      <c r="N28" s="722"/>
      <c r="O28" s="1496"/>
      <c r="P28" s="2729"/>
      <c r="Q28" s="2704"/>
      <c r="R28" s="2694"/>
      <c r="S28" s="3250"/>
      <c r="T28" s="3342"/>
      <c r="U28" s="3342"/>
      <c r="V28" s="3342"/>
      <c r="W28" s="3250"/>
      <c r="X28" s="3250"/>
      <c r="Y28" s="3290"/>
      <c r="Z28" s="3291"/>
    </row>
    <row r="29" spans="1:27" ht="36" customHeight="1">
      <c r="A29" s="2879"/>
      <c r="B29" s="2695"/>
      <c r="C29" s="2723"/>
      <c r="D29" s="1391" t="s">
        <v>2747</v>
      </c>
      <c r="E29" s="722"/>
      <c r="F29" s="1137"/>
      <c r="G29" s="1110"/>
      <c r="H29" s="722">
        <v>19.577999999999999</v>
      </c>
      <c r="I29" s="722"/>
      <c r="J29" s="1557"/>
      <c r="K29" s="2189"/>
      <c r="L29" s="722"/>
      <c r="M29" s="1496"/>
      <c r="N29" s="722"/>
      <c r="O29" s="1496"/>
      <c r="P29" s="2729"/>
      <c r="Q29" s="2704"/>
      <c r="R29" s="2694"/>
      <c r="S29" s="3250"/>
      <c r="T29" s="3342"/>
      <c r="U29" s="3342"/>
      <c r="V29" s="3342"/>
      <c r="W29" s="3250"/>
      <c r="X29" s="3250"/>
      <c r="Y29" s="3290"/>
      <c r="Z29" s="3291"/>
    </row>
    <row r="30" spans="1:27" ht="30.75" customHeight="1">
      <c r="A30" s="2879"/>
      <c r="B30" s="2695"/>
      <c r="C30" s="2723"/>
      <c r="D30" s="1391" t="s">
        <v>1358</v>
      </c>
      <c r="E30" s="722"/>
      <c r="F30" s="1137"/>
      <c r="G30" s="1110"/>
      <c r="H30" s="722"/>
      <c r="I30" s="722">
        <v>300</v>
      </c>
      <c r="J30" s="1557"/>
      <c r="K30" s="2189"/>
      <c r="L30" s="722">
        <v>61.781999999999996</v>
      </c>
      <c r="M30" s="1496"/>
      <c r="N30" s="722"/>
      <c r="O30" s="1496"/>
      <c r="P30" s="2729"/>
      <c r="Q30" s="2704"/>
      <c r="R30" s="2694"/>
      <c r="S30" s="3250"/>
      <c r="T30" s="3342"/>
      <c r="U30" s="3342"/>
      <c r="V30" s="3342"/>
      <c r="W30" s="3250"/>
      <c r="X30" s="3250"/>
      <c r="Y30" s="3290"/>
      <c r="Z30" s="3291"/>
    </row>
    <row r="31" spans="1:27" ht="46.5" customHeight="1">
      <c r="A31" s="2879"/>
      <c r="B31" s="2695"/>
      <c r="C31" s="2723"/>
      <c r="D31" s="725" t="s">
        <v>1067</v>
      </c>
      <c r="E31" s="728">
        <f>SUM(E26:E29)</f>
        <v>10</v>
      </c>
      <c r="F31" s="1141">
        <f t="shared" si="1"/>
        <v>0.95779999999999998</v>
      </c>
      <c r="G31" s="1143">
        <f>SUM(G26:G29)</f>
        <v>19.577000000000002</v>
      </c>
      <c r="H31" s="1142">
        <f>SUM(H26:H29)</f>
        <v>19.577999999999999</v>
      </c>
      <c r="I31" s="728">
        <f>SUM(I26:I30)</f>
        <v>453.97300000000001</v>
      </c>
      <c r="J31" s="1464">
        <f t="shared" ref="J31:O31" si="4">SUM(J26:J30)</f>
        <v>453.97300000000001</v>
      </c>
      <c r="K31" s="2056">
        <f t="shared" si="3"/>
        <v>22.187915006640107</v>
      </c>
      <c r="L31" s="728">
        <f t="shared" si="4"/>
        <v>347.73099999999999</v>
      </c>
      <c r="M31" s="1464">
        <f t="shared" si="4"/>
        <v>347.73099999999999</v>
      </c>
      <c r="N31" s="728">
        <f t="shared" si="4"/>
        <v>0</v>
      </c>
      <c r="O31" s="1503">
        <f t="shared" si="4"/>
        <v>0</v>
      </c>
      <c r="P31" s="2729"/>
      <c r="Q31" s="2734"/>
      <c r="R31" s="2694"/>
      <c r="S31" s="1138" t="s">
        <v>2884</v>
      </c>
      <c r="T31" s="3342"/>
      <c r="U31" s="1144"/>
      <c r="V31" s="1144">
        <v>0</v>
      </c>
      <c r="W31" s="1144">
        <v>1</v>
      </c>
      <c r="X31" s="1144">
        <v>0</v>
      </c>
      <c r="Y31" s="3292"/>
      <c r="Z31" s="3293"/>
    </row>
    <row r="32" spans="1:27" ht="70.2" customHeight="1">
      <c r="A32" s="2879" t="s">
        <v>2065</v>
      </c>
      <c r="B32" s="2703" t="s">
        <v>1259</v>
      </c>
      <c r="C32" s="2719">
        <v>188711925</v>
      </c>
      <c r="D32" s="706" t="s">
        <v>470</v>
      </c>
      <c r="E32" s="722">
        <v>22</v>
      </c>
      <c r="F32" s="1137">
        <f t="shared" si="1"/>
        <v>0</v>
      </c>
      <c r="G32" s="1110">
        <v>25</v>
      </c>
      <c r="H32" s="722">
        <v>22</v>
      </c>
      <c r="I32" s="722">
        <f>24+3</f>
        <v>27</v>
      </c>
      <c r="J32" s="1557">
        <v>25</v>
      </c>
      <c r="K32" s="2189">
        <f>(I32-H32)/H32</f>
        <v>0.22727272727272727</v>
      </c>
      <c r="L32" s="722">
        <v>27.5</v>
      </c>
      <c r="M32" s="1496">
        <v>27.5</v>
      </c>
      <c r="N32" s="722">
        <v>30.25</v>
      </c>
      <c r="O32" s="1496">
        <v>30.25</v>
      </c>
      <c r="P32" s="2729" t="s">
        <v>2340</v>
      </c>
      <c r="Q32" s="2704" t="s">
        <v>2456</v>
      </c>
      <c r="R32" s="2694" t="s">
        <v>1559</v>
      </c>
      <c r="S32" s="2694" t="s">
        <v>3767</v>
      </c>
      <c r="T32" s="2694" t="s">
        <v>324</v>
      </c>
      <c r="U32" s="2694" t="s">
        <v>1423</v>
      </c>
      <c r="V32" s="2694" t="s">
        <v>2885</v>
      </c>
      <c r="W32" s="2694" t="s">
        <v>2885</v>
      </c>
      <c r="X32" s="2694" t="s">
        <v>2885</v>
      </c>
      <c r="Y32" s="3338" t="s">
        <v>2341</v>
      </c>
      <c r="Z32" s="3339"/>
    </row>
    <row r="33" spans="1:135" ht="59.25" customHeight="1">
      <c r="A33" s="2879"/>
      <c r="B33" s="2703"/>
      <c r="C33" s="2719"/>
      <c r="D33" s="725" t="s">
        <v>1067</v>
      </c>
      <c r="E33" s="728">
        <f>E32</f>
        <v>22</v>
      </c>
      <c r="F33" s="1141">
        <f t="shared" si="1"/>
        <v>0</v>
      </c>
      <c r="G33" s="1143">
        <f t="shared" ref="G33:L33" si="5">G32</f>
        <v>25</v>
      </c>
      <c r="H33" s="728">
        <f t="shared" si="5"/>
        <v>22</v>
      </c>
      <c r="I33" s="728">
        <f t="shared" si="5"/>
        <v>27</v>
      </c>
      <c r="J33" s="1558">
        <f t="shared" ref="J33" si="6">J32</f>
        <v>25</v>
      </c>
      <c r="K33" s="2190">
        <f t="shared" si="3"/>
        <v>0.22727272727272727</v>
      </c>
      <c r="L33" s="728">
        <f t="shared" si="5"/>
        <v>27.5</v>
      </c>
      <c r="M33" s="1464">
        <f t="shared" ref="M33:N33" si="7">M32</f>
        <v>27.5</v>
      </c>
      <c r="N33" s="728">
        <f t="shared" si="7"/>
        <v>30.25</v>
      </c>
      <c r="O33" s="1464">
        <f t="shared" ref="O33" si="8">O32</f>
        <v>30.25</v>
      </c>
      <c r="P33" s="2729"/>
      <c r="Q33" s="2734"/>
      <c r="R33" s="2694"/>
      <c r="S33" s="2694"/>
      <c r="T33" s="2694"/>
      <c r="U33" s="2694"/>
      <c r="V33" s="2694"/>
      <c r="W33" s="2694"/>
      <c r="X33" s="2694"/>
      <c r="Y33" s="3340"/>
      <c r="Z33" s="3341"/>
    </row>
    <row r="34" spans="1:135" ht="64.2" customHeight="1">
      <c r="A34" s="2879" t="s">
        <v>2066</v>
      </c>
      <c r="B34" s="2699" t="s">
        <v>454</v>
      </c>
      <c r="C34" s="2719">
        <v>188711925</v>
      </c>
      <c r="D34" s="706" t="s">
        <v>470</v>
      </c>
      <c r="E34" s="722">
        <v>21</v>
      </c>
      <c r="F34" s="1137">
        <f t="shared" si="1"/>
        <v>0</v>
      </c>
      <c r="G34" s="1110">
        <v>21</v>
      </c>
      <c r="H34" s="722">
        <v>21</v>
      </c>
      <c r="I34" s="722">
        <v>21</v>
      </c>
      <c r="J34" s="1557">
        <v>21</v>
      </c>
      <c r="K34" s="2189">
        <f t="shared" si="3"/>
        <v>0</v>
      </c>
      <c r="L34" s="722">
        <v>21</v>
      </c>
      <c r="M34" s="1496">
        <v>21</v>
      </c>
      <c r="N34" s="722">
        <v>21</v>
      </c>
      <c r="O34" s="1496">
        <v>21</v>
      </c>
      <c r="P34" s="2729" t="s">
        <v>2295</v>
      </c>
      <c r="Q34" s="2704" t="s">
        <v>3340</v>
      </c>
      <c r="R34" s="2694" t="s">
        <v>1560</v>
      </c>
      <c r="S34" s="2694" t="s">
        <v>428</v>
      </c>
      <c r="T34" s="2694" t="s">
        <v>145</v>
      </c>
      <c r="U34" s="2694" t="s">
        <v>403</v>
      </c>
      <c r="V34" s="2694" t="s">
        <v>1332</v>
      </c>
      <c r="W34" s="2694" t="s">
        <v>1332</v>
      </c>
      <c r="X34" s="2694" t="s">
        <v>403</v>
      </c>
      <c r="Y34" s="3288" t="s">
        <v>2277</v>
      </c>
      <c r="Z34" s="3289"/>
    </row>
    <row r="35" spans="1:135" ht="49.95" customHeight="1">
      <c r="A35" s="2879"/>
      <c r="B35" s="2699"/>
      <c r="C35" s="2719"/>
      <c r="D35" s="725" t="s">
        <v>1067</v>
      </c>
      <c r="E35" s="728">
        <f t="shared" ref="E35:L35" si="9">E34</f>
        <v>21</v>
      </c>
      <c r="F35" s="1141">
        <f t="shared" si="1"/>
        <v>0</v>
      </c>
      <c r="G35" s="1143">
        <f t="shared" si="9"/>
        <v>21</v>
      </c>
      <c r="H35" s="728">
        <f t="shared" si="9"/>
        <v>21</v>
      </c>
      <c r="I35" s="728">
        <f t="shared" si="9"/>
        <v>21</v>
      </c>
      <c r="J35" s="1558">
        <f t="shared" ref="J35" si="10">J34</f>
        <v>21</v>
      </c>
      <c r="K35" s="2190">
        <f t="shared" si="3"/>
        <v>0</v>
      </c>
      <c r="L35" s="728">
        <f t="shared" si="9"/>
        <v>21</v>
      </c>
      <c r="M35" s="1464">
        <f t="shared" ref="M35:N35" si="11">M34</f>
        <v>21</v>
      </c>
      <c r="N35" s="728">
        <f t="shared" si="11"/>
        <v>21</v>
      </c>
      <c r="O35" s="1464">
        <f t="shared" ref="O35" si="12">O34</f>
        <v>21</v>
      </c>
      <c r="P35" s="2729"/>
      <c r="Q35" s="2734"/>
      <c r="R35" s="2694"/>
      <c r="S35" s="2694"/>
      <c r="T35" s="2694"/>
      <c r="U35" s="2694"/>
      <c r="V35" s="2694"/>
      <c r="W35" s="2694"/>
      <c r="X35" s="2694"/>
      <c r="Y35" s="3290"/>
      <c r="Z35" s="3291"/>
    </row>
    <row r="36" spans="1:135" ht="55.2" customHeight="1">
      <c r="A36" s="2879" t="s">
        <v>2067</v>
      </c>
      <c r="B36" s="2699" t="s">
        <v>3757</v>
      </c>
      <c r="C36" s="2719">
        <v>188711925</v>
      </c>
      <c r="D36" s="706" t="s">
        <v>470</v>
      </c>
      <c r="E36" s="722">
        <v>51</v>
      </c>
      <c r="F36" s="1137">
        <f>H36/E36-1</f>
        <v>7.8431372549019551E-2</v>
      </c>
      <c r="G36" s="1110">
        <v>53</v>
      </c>
      <c r="H36" s="722">
        <f>51+4</f>
        <v>55</v>
      </c>
      <c r="I36" s="722">
        <v>58</v>
      </c>
      <c r="J36" s="1557">
        <v>58</v>
      </c>
      <c r="K36" s="2189">
        <f t="shared" si="3"/>
        <v>5.4545454545454543E-2</v>
      </c>
      <c r="L36" s="722">
        <v>60</v>
      </c>
      <c r="M36" s="1496">
        <v>60</v>
      </c>
      <c r="N36" s="722">
        <v>63</v>
      </c>
      <c r="O36" s="1496">
        <v>63</v>
      </c>
      <c r="P36" s="2729" t="s">
        <v>2295</v>
      </c>
      <c r="Q36" s="2704" t="s">
        <v>3758</v>
      </c>
      <c r="R36" s="2694" t="s">
        <v>1561</v>
      </c>
      <c r="S36" s="2694" t="s">
        <v>2886</v>
      </c>
      <c r="T36" s="2694" t="s">
        <v>308</v>
      </c>
      <c r="U36" s="2694" t="s">
        <v>2887</v>
      </c>
      <c r="V36" s="2694" t="s">
        <v>2887</v>
      </c>
      <c r="W36" s="2694" t="s">
        <v>2887</v>
      </c>
      <c r="X36" s="2694" t="s">
        <v>2887</v>
      </c>
      <c r="Y36" s="3290"/>
      <c r="Z36" s="3291"/>
      <c r="AA36" s="409"/>
      <c r="AB36" s="409"/>
    </row>
    <row r="37" spans="1:135" ht="78" customHeight="1">
      <c r="A37" s="2879"/>
      <c r="B37" s="2699"/>
      <c r="C37" s="2719"/>
      <c r="D37" s="725" t="s">
        <v>1067</v>
      </c>
      <c r="E37" s="728">
        <f t="shared" ref="E37:L37" si="13">E36</f>
        <v>51</v>
      </c>
      <c r="F37" s="1141">
        <f t="shared" si="1"/>
        <v>7.8431372549019551E-2</v>
      </c>
      <c r="G37" s="1143">
        <f t="shared" si="13"/>
        <v>53</v>
      </c>
      <c r="H37" s="728">
        <f t="shared" si="13"/>
        <v>55</v>
      </c>
      <c r="I37" s="728">
        <f t="shared" si="13"/>
        <v>58</v>
      </c>
      <c r="J37" s="1558">
        <f t="shared" ref="J37" si="14">J36</f>
        <v>58</v>
      </c>
      <c r="K37" s="2190">
        <f t="shared" si="3"/>
        <v>5.4545454545454543E-2</v>
      </c>
      <c r="L37" s="728">
        <f t="shared" si="13"/>
        <v>60</v>
      </c>
      <c r="M37" s="1464">
        <f t="shared" ref="M37:N37" si="15">M36</f>
        <v>60</v>
      </c>
      <c r="N37" s="728">
        <f t="shared" si="15"/>
        <v>63</v>
      </c>
      <c r="O37" s="1464">
        <f t="shared" ref="O37" si="16">O36</f>
        <v>63</v>
      </c>
      <c r="P37" s="2729"/>
      <c r="Q37" s="2734"/>
      <c r="R37" s="2694"/>
      <c r="S37" s="2694"/>
      <c r="T37" s="2694"/>
      <c r="U37" s="2694"/>
      <c r="V37" s="2694"/>
      <c r="W37" s="2694"/>
      <c r="X37" s="2694"/>
      <c r="Y37" s="3290"/>
      <c r="Z37" s="3291"/>
    </row>
    <row r="38" spans="1:135" ht="39" customHeight="1">
      <c r="A38" s="2879" t="s">
        <v>2068</v>
      </c>
      <c r="B38" s="2699" t="s">
        <v>1260</v>
      </c>
      <c r="C38" s="2719">
        <v>188711925</v>
      </c>
      <c r="D38" s="706" t="s">
        <v>470</v>
      </c>
      <c r="E38" s="722">
        <v>30</v>
      </c>
      <c r="F38" s="1137">
        <f t="shared" si="1"/>
        <v>0</v>
      </c>
      <c r="G38" s="1110">
        <v>30</v>
      </c>
      <c r="H38" s="722">
        <v>30</v>
      </c>
      <c r="I38" s="722">
        <v>45</v>
      </c>
      <c r="J38" s="1557">
        <v>35</v>
      </c>
      <c r="K38" s="2189">
        <f t="shared" si="3"/>
        <v>0.5</v>
      </c>
      <c r="L38" s="722">
        <v>35</v>
      </c>
      <c r="M38" s="1496">
        <v>35</v>
      </c>
      <c r="N38" s="722">
        <v>35</v>
      </c>
      <c r="O38" s="1496">
        <v>35</v>
      </c>
      <c r="P38" s="2729" t="s">
        <v>2295</v>
      </c>
      <c r="Q38" s="2704" t="s">
        <v>4028</v>
      </c>
      <c r="R38" s="2694" t="s">
        <v>1562</v>
      </c>
      <c r="S38" s="2694" t="s">
        <v>4046</v>
      </c>
      <c r="T38" s="656"/>
      <c r="U38" s="2694" t="s">
        <v>144</v>
      </c>
      <c r="V38" s="2694" t="s">
        <v>3347</v>
      </c>
      <c r="W38" s="2694" t="s">
        <v>3347</v>
      </c>
      <c r="X38" s="2694" t="s">
        <v>3347</v>
      </c>
      <c r="Y38" s="3290"/>
      <c r="Z38" s="3291"/>
    </row>
    <row r="39" spans="1:135" ht="30" customHeight="1">
      <c r="A39" s="2879"/>
      <c r="B39" s="2699"/>
      <c r="C39" s="2719"/>
      <c r="D39" s="706" t="s">
        <v>1410</v>
      </c>
      <c r="E39" s="722">
        <v>86.06</v>
      </c>
      <c r="F39" s="1137">
        <f t="shared" si="1"/>
        <v>4.35742505228911E-2</v>
      </c>
      <c r="G39" s="1110">
        <v>120.333</v>
      </c>
      <c r="H39" s="722">
        <v>89.81</v>
      </c>
      <c r="I39" s="722">
        <v>73.37</v>
      </c>
      <c r="J39" s="1557">
        <v>89.510999999999996</v>
      </c>
      <c r="K39" s="2189">
        <f t="shared" si="3"/>
        <v>-0.18305311212559847</v>
      </c>
      <c r="L39" s="722">
        <v>73.37</v>
      </c>
      <c r="M39" s="1496">
        <v>89.510999999999996</v>
      </c>
      <c r="N39" s="722">
        <v>73.37</v>
      </c>
      <c r="O39" s="1496">
        <v>89.510999999999996</v>
      </c>
      <c r="P39" s="2729"/>
      <c r="Q39" s="2734"/>
      <c r="R39" s="2694"/>
      <c r="S39" s="2694"/>
      <c r="T39" s="2694"/>
      <c r="U39" s="2694"/>
      <c r="V39" s="2694"/>
      <c r="W39" s="2694"/>
      <c r="X39" s="2694"/>
      <c r="Y39" s="3290"/>
      <c r="Z39" s="3291"/>
    </row>
    <row r="40" spans="1:135" ht="30" customHeight="1">
      <c r="A40" s="2879"/>
      <c r="B40" s="2699"/>
      <c r="C40" s="2719"/>
      <c r="D40" s="725" t="s">
        <v>1067</v>
      </c>
      <c r="E40" s="728">
        <f>E38+E39</f>
        <v>116.06</v>
      </c>
      <c r="F40" s="1145">
        <f t="shared" si="1"/>
        <v>3.2310873686024477E-2</v>
      </c>
      <c r="G40" s="1393">
        <f>G38+G39</f>
        <v>150.333</v>
      </c>
      <c r="H40" s="728">
        <f>H38+H39</f>
        <v>119.81</v>
      </c>
      <c r="I40" s="728">
        <f>I38+I39</f>
        <v>118.37</v>
      </c>
      <c r="J40" s="1558">
        <f t="shared" ref="J40" si="17">J38+J39</f>
        <v>124.511</v>
      </c>
      <c r="K40" s="2190">
        <f t="shared" si="3"/>
        <v>-1.2019030131040796E-2</v>
      </c>
      <c r="L40" s="728">
        <f t="shared" ref="L40" si="18">L38+L39</f>
        <v>108.37</v>
      </c>
      <c r="M40" s="1464">
        <f t="shared" ref="M40:N40" si="19">M38+M39</f>
        <v>124.511</v>
      </c>
      <c r="N40" s="728">
        <f t="shared" si="19"/>
        <v>108.37</v>
      </c>
      <c r="O40" s="1464">
        <f t="shared" ref="O40" si="20">O38+O39</f>
        <v>124.511</v>
      </c>
      <c r="P40" s="2729"/>
      <c r="Q40" s="2734"/>
      <c r="R40" s="2694"/>
      <c r="S40" s="2694"/>
      <c r="T40" s="2694"/>
      <c r="U40" s="2694"/>
      <c r="V40" s="2694"/>
      <c r="W40" s="2694"/>
      <c r="X40" s="2694"/>
      <c r="Y40" s="3290"/>
      <c r="Z40" s="3291"/>
    </row>
    <row r="41" spans="1:135" s="1747" customFormat="1" ht="64.8" customHeight="1">
      <c r="A41" s="2694" t="s">
        <v>4725</v>
      </c>
      <c r="B41" s="2703" t="s">
        <v>4035</v>
      </c>
      <c r="C41" s="2700">
        <v>188711925</v>
      </c>
      <c r="D41" s="706" t="s">
        <v>470</v>
      </c>
      <c r="E41" s="722">
        <v>22</v>
      </c>
      <c r="F41" s="1137">
        <f t="shared" ref="F41:F42" si="21">H41/E41-1</f>
        <v>-1</v>
      </c>
      <c r="G41" s="1110">
        <v>25</v>
      </c>
      <c r="H41" s="722"/>
      <c r="I41" s="722">
        <v>6</v>
      </c>
      <c r="J41" s="1557">
        <v>18.149999999999999</v>
      </c>
      <c r="K41" s="2189"/>
      <c r="L41" s="722">
        <v>6</v>
      </c>
      <c r="M41" s="1496">
        <v>20</v>
      </c>
      <c r="N41" s="722">
        <v>6</v>
      </c>
      <c r="O41" s="1496">
        <v>21</v>
      </c>
      <c r="P41" s="2729" t="s">
        <v>2340</v>
      </c>
      <c r="Q41" s="2704" t="s">
        <v>4036</v>
      </c>
      <c r="R41" s="2694" t="s">
        <v>4039</v>
      </c>
      <c r="S41" s="2694" t="s">
        <v>4109</v>
      </c>
      <c r="T41" s="2694"/>
      <c r="U41" s="2694"/>
      <c r="V41" s="2694" t="s">
        <v>4077</v>
      </c>
      <c r="W41" s="2694" t="s">
        <v>4077</v>
      </c>
      <c r="X41" s="2694" t="s">
        <v>4077</v>
      </c>
      <c r="Y41" s="3290"/>
      <c r="Z41" s="3291"/>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c r="DJ41" s="87"/>
      <c r="DK41" s="87"/>
      <c r="DL41" s="87"/>
      <c r="DM41" s="87"/>
      <c r="DN41" s="87"/>
      <c r="DO41" s="87"/>
      <c r="DP41" s="87"/>
      <c r="DQ41" s="87"/>
      <c r="DR41" s="87"/>
      <c r="DS41" s="87"/>
      <c r="DT41" s="87"/>
      <c r="DU41" s="87"/>
      <c r="DV41" s="87"/>
      <c r="DW41" s="87"/>
      <c r="DX41" s="87"/>
      <c r="DY41" s="87"/>
      <c r="DZ41" s="87"/>
      <c r="EA41" s="87"/>
      <c r="EB41" s="87"/>
      <c r="EC41" s="87"/>
      <c r="ED41" s="87"/>
      <c r="EE41" s="87"/>
    </row>
    <row r="42" spans="1:135" s="1747" customFormat="1" ht="59.25" customHeight="1">
      <c r="A42" s="2879"/>
      <c r="B42" s="2703"/>
      <c r="C42" s="2700"/>
      <c r="D42" s="725" t="s">
        <v>1067</v>
      </c>
      <c r="E42" s="728">
        <f>E41</f>
        <v>22</v>
      </c>
      <c r="F42" s="1141">
        <f t="shared" si="21"/>
        <v>-1</v>
      </c>
      <c r="G42" s="1143">
        <f t="shared" ref="G42:J42" si="22">G41</f>
        <v>25</v>
      </c>
      <c r="H42" s="728">
        <f t="shared" si="22"/>
        <v>0</v>
      </c>
      <c r="I42" s="728">
        <f t="shared" si="22"/>
        <v>6</v>
      </c>
      <c r="J42" s="1558">
        <f t="shared" si="22"/>
        <v>18.149999999999999</v>
      </c>
      <c r="K42" s="2190"/>
      <c r="L42" s="728">
        <f t="shared" ref="L42:O42" si="23">L41</f>
        <v>6</v>
      </c>
      <c r="M42" s="1464">
        <f t="shared" si="23"/>
        <v>20</v>
      </c>
      <c r="N42" s="728">
        <f t="shared" si="23"/>
        <v>6</v>
      </c>
      <c r="O42" s="1464">
        <f t="shared" si="23"/>
        <v>21</v>
      </c>
      <c r="P42" s="2729"/>
      <c r="Q42" s="2734"/>
      <c r="R42" s="2694"/>
      <c r="S42" s="2694"/>
      <c r="T42" s="2694"/>
      <c r="U42" s="2694"/>
      <c r="V42" s="2694"/>
      <c r="W42" s="2694"/>
      <c r="X42" s="2694"/>
      <c r="Y42" s="3290"/>
      <c r="Z42" s="3291"/>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row>
    <row r="43" spans="1:135" ht="33.6" customHeight="1">
      <c r="A43" s="2879" t="s">
        <v>2069</v>
      </c>
      <c r="B43" s="2699" t="s">
        <v>2753</v>
      </c>
      <c r="C43" s="2719">
        <v>188711925</v>
      </c>
      <c r="D43" s="706" t="s">
        <v>470</v>
      </c>
      <c r="E43" s="722">
        <v>25</v>
      </c>
      <c r="F43" s="1137">
        <f t="shared" si="1"/>
        <v>-0.19999999999999996</v>
      </c>
      <c r="G43" s="1110">
        <f>G46</f>
        <v>20</v>
      </c>
      <c r="H43" s="722">
        <v>20</v>
      </c>
      <c r="I43" s="722">
        <f t="shared" ref="I43:L43" si="24">I46</f>
        <v>20</v>
      </c>
      <c r="J43" s="1557">
        <v>20</v>
      </c>
      <c r="K43" s="2189">
        <f t="shared" si="3"/>
        <v>0</v>
      </c>
      <c r="L43" s="722">
        <f t="shared" si="24"/>
        <v>20</v>
      </c>
      <c r="M43" s="1496">
        <v>20</v>
      </c>
      <c r="N43" s="722">
        <v>20</v>
      </c>
      <c r="O43" s="1496">
        <v>20</v>
      </c>
      <c r="P43" s="2729" t="s">
        <v>2295</v>
      </c>
      <c r="Q43" s="2704" t="s">
        <v>3556</v>
      </c>
      <c r="R43" s="2694" t="s">
        <v>1563</v>
      </c>
      <c r="S43" s="2694" t="s">
        <v>2754</v>
      </c>
      <c r="T43" s="2694" t="s">
        <v>1315</v>
      </c>
      <c r="U43" s="2694" t="s">
        <v>1304</v>
      </c>
      <c r="V43" s="2694" t="s">
        <v>392</v>
      </c>
      <c r="W43" s="2694" t="s">
        <v>1315</v>
      </c>
      <c r="X43" s="2694" t="s">
        <v>1420</v>
      </c>
      <c r="Y43" s="3290"/>
      <c r="Z43" s="3291"/>
    </row>
    <row r="44" spans="1:135" ht="40.200000000000003" customHeight="1">
      <c r="A44" s="2879"/>
      <c r="B44" s="2699"/>
      <c r="C44" s="2719"/>
      <c r="D44" s="706" t="s">
        <v>2747</v>
      </c>
      <c r="E44" s="722">
        <v>25</v>
      </c>
      <c r="F44" s="1137">
        <f t="shared" si="1"/>
        <v>-1</v>
      </c>
      <c r="G44" s="1110">
        <v>0</v>
      </c>
      <c r="H44" s="722">
        <v>0</v>
      </c>
      <c r="I44" s="722">
        <v>0</v>
      </c>
      <c r="J44" s="1557"/>
      <c r="K44" s="2189"/>
      <c r="L44" s="722">
        <v>0</v>
      </c>
      <c r="M44" s="1496"/>
      <c r="N44" s="722"/>
      <c r="O44" s="1496"/>
      <c r="P44" s="2729"/>
      <c r="Q44" s="2704"/>
      <c r="R44" s="2694"/>
      <c r="S44" s="2694"/>
      <c r="T44" s="2694"/>
      <c r="U44" s="2694"/>
      <c r="V44" s="2694"/>
      <c r="W44" s="2694"/>
      <c r="X44" s="2694"/>
      <c r="Y44" s="3290"/>
      <c r="Z44" s="3291"/>
    </row>
    <row r="45" spans="1:135" ht="55.5" customHeight="1">
      <c r="A45" s="2879"/>
      <c r="B45" s="2699"/>
      <c r="C45" s="2719"/>
      <c r="D45" s="725" t="s">
        <v>1067</v>
      </c>
      <c r="E45" s="728">
        <f>E43+E44</f>
        <v>50</v>
      </c>
      <c r="F45" s="1141">
        <f t="shared" si="1"/>
        <v>-0.6</v>
      </c>
      <c r="G45" s="1143">
        <f>G43</f>
        <v>20</v>
      </c>
      <c r="H45" s="728">
        <f t="shared" ref="H45:L45" si="25">H43+H44</f>
        <v>20</v>
      </c>
      <c r="I45" s="728">
        <f t="shared" si="25"/>
        <v>20</v>
      </c>
      <c r="J45" s="1558">
        <f t="shared" ref="J45" si="26">J43+J44</f>
        <v>20</v>
      </c>
      <c r="K45" s="2190">
        <f t="shared" si="3"/>
        <v>0</v>
      </c>
      <c r="L45" s="728">
        <f t="shared" si="25"/>
        <v>20</v>
      </c>
      <c r="M45" s="1464">
        <f t="shared" ref="M45:N45" si="27">M43+M44</f>
        <v>20</v>
      </c>
      <c r="N45" s="728">
        <f t="shared" si="27"/>
        <v>20</v>
      </c>
      <c r="O45" s="1464">
        <f t="shared" ref="O45" si="28">O43+O44</f>
        <v>20</v>
      </c>
      <c r="P45" s="2729"/>
      <c r="Q45" s="2734"/>
      <c r="R45" s="2694"/>
      <c r="S45" s="2694"/>
      <c r="T45" s="2694"/>
      <c r="U45" s="2694"/>
      <c r="V45" s="2694"/>
      <c r="W45" s="2694"/>
      <c r="X45" s="2694"/>
      <c r="Y45" s="3292"/>
      <c r="Z45" s="3293"/>
    </row>
    <row r="46" spans="1:135" ht="53.25" hidden="1" customHeight="1">
      <c r="A46" s="899"/>
      <c r="B46" s="673" t="s">
        <v>2992</v>
      </c>
      <c r="C46" s="900"/>
      <c r="D46" s="780"/>
      <c r="E46" s="689">
        <v>50</v>
      </c>
      <c r="F46" s="945">
        <f t="shared" si="1"/>
        <v>-0.6</v>
      </c>
      <c r="G46" s="968">
        <v>20</v>
      </c>
      <c r="H46" s="681">
        <v>20</v>
      </c>
      <c r="I46" s="681">
        <v>20</v>
      </c>
      <c r="J46" s="1559">
        <v>20</v>
      </c>
      <c r="K46" s="2192">
        <f t="shared" si="3"/>
        <v>0</v>
      </c>
      <c r="L46" s="681">
        <v>20</v>
      </c>
      <c r="M46" s="1470">
        <v>20</v>
      </c>
      <c r="N46" s="681">
        <v>20</v>
      </c>
      <c r="O46" s="1470">
        <v>20</v>
      </c>
      <c r="P46" s="499"/>
      <c r="Q46" s="691" t="s">
        <v>2993</v>
      </c>
      <c r="R46" s="693"/>
      <c r="S46" s="693"/>
      <c r="T46" s="693"/>
      <c r="U46" s="693"/>
      <c r="V46" s="693"/>
      <c r="W46" s="693"/>
      <c r="X46" s="693"/>
      <c r="Y46" s="437"/>
      <c r="Z46" s="438"/>
    </row>
    <row r="47" spans="1:135" ht="21" hidden="1" customHeight="1">
      <c r="A47" s="3268" t="s">
        <v>2070</v>
      </c>
      <c r="B47" s="3330" t="s">
        <v>2738</v>
      </c>
      <c r="C47" s="3270">
        <v>188711925</v>
      </c>
      <c r="D47" s="1395" t="s">
        <v>470</v>
      </c>
      <c r="E47" s="1147"/>
      <c r="F47" s="1146" t="e">
        <f t="shared" si="1"/>
        <v>#DIV/0!</v>
      </c>
      <c r="G47" s="1148"/>
      <c r="H47" s="1147"/>
      <c r="I47" s="1147"/>
      <c r="J47" s="1721"/>
      <c r="K47" s="2193" t="e">
        <f t="shared" si="3"/>
        <v>#DIV/0!</v>
      </c>
      <c r="L47" s="1147"/>
      <c r="M47" s="1637"/>
      <c r="N47" s="1147"/>
      <c r="O47" s="1637"/>
      <c r="P47" s="3277" t="s">
        <v>2342</v>
      </c>
      <c r="Q47" s="3271" t="s">
        <v>2438</v>
      </c>
      <c r="R47" s="3236" t="s">
        <v>1564</v>
      </c>
      <c r="S47" s="3236" t="s">
        <v>2764</v>
      </c>
      <c r="T47" s="3236" t="s">
        <v>2644</v>
      </c>
      <c r="U47" s="3236" t="s">
        <v>433</v>
      </c>
      <c r="V47" s="3236" t="s">
        <v>433</v>
      </c>
      <c r="W47" s="1047"/>
      <c r="X47" s="1047"/>
      <c r="Y47" s="3362" t="s">
        <v>2765</v>
      </c>
      <c r="Z47" s="3362"/>
    </row>
    <row r="48" spans="1:135" ht="21" hidden="1" customHeight="1">
      <c r="A48" s="3268"/>
      <c r="B48" s="3330"/>
      <c r="C48" s="3270"/>
      <c r="D48" s="1395" t="s">
        <v>246</v>
      </c>
      <c r="E48" s="1147"/>
      <c r="F48" s="1146" t="e">
        <f t="shared" si="1"/>
        <v>#DIV/0!</v>
      </c>
      <c r="G48" s="1148"/>
      <c r="H48" s="1147"/>
      <c r="I48" s="1147"/>
      <c r="J48" s="1721"/>
      <c r="K48" s="2193" t="e">
        <f t="shared" si="3"/>
        <v>#DIV/0!</v>
      </c>
      <c r="L48" s="1147"/>
      <c r="M48" s="1637"/>
      <c r="N48" s="1147"/>
      <c r="O48" s="1637"/>
      <c r="P48" s="3277"/>
      <c r="Q48" s="3331"/>
      <c r="R48" s="3236"/>
      <c r="S48" s="3236"/>
      <c r="T48" s="3236"/>
      <c r="U48" s="3236"/>
      <c r="V48" s="3236"/>
      <c r="W48" s="1047"/>
      <c r="X48" s="1047"/>
      <c r="Y48" s="3362"/>
      <c r="Z48" s="3362"/>
    </row>
    <row r="49" spans="1:27" ht="21" hidden="1" customHeight="1">
      <c r="A49" s="3268"/>
      <c r="B49" s="3330"/>
      <c r="C49" s="3270"/>
      <c r="D49" s="1395" t="s">
        <v>1111</v>
      </c>
      <c r="E49" s="1147"/>
      <c r="F49" s="1146" t="e">
        <f t="shared" si="1"/>
        <v>#DIV/0!</v>
      </c>
      <c r="G49" s="1148"/>
      <c r="H49" s="1147"/>
      <c r="I49" s="1147"/>
      <c r="J49" s="1721"/>
      <c r="K49" s="2193" t="e">
        <f t="shared" si="3"/>
        <v>#DIV/0!</v>
      </c>
      <c r="L49" s="1147"/>
      <c r="M49" s="1637"/>
      <c r="N49" s="1147"/>
      <c r="O49" s="1637"/>
      <c r="P49" s="3277"/>
      <c r="Q49" s="3331"/>
      <c r="R49" s="3236"/>
      <c r="S49" s="3236"/>
      <c r="T49" s="3236"/>
      <c r="U49" s="3236"/>
      <c r="V49" s="3236"/>
      <c r="W49" s="1047"/>
      <c r="X49" s="1047"/>
      <c r="Y49" s="3362"/>
      <c r="Z49" s="3362"/>
    </row>
    <row r="50" spans="1:27" ht="21" hidden="1" customHeight="1">
      <c r="A50" s="3268"/>
      <c r="B50" s="3330"/>
      <c r="C50" s="3270"/>
      <c r="D50" s="1395" t="s">
        <v>412</v>
      </c>
      <c r="E50" s="1147"/>
      <c r="F50" s="1146" t="e">
        <f t="shared" si="1"/>
        <v>#DIV/0!</v>
      </c>
      <c r="G50" s="1148"/>
      <c r="H50" s="1147"/>
      <c r="I50" s="1147"/>
      <c r="J50" s="1721"/>
      <c r="K50" s="2193" t="e">
        <f t="shared" si="3"/>
        <v>#DIV/0!</v>
      </c>
      <c r="L50" s="1147"/>
      <c r="M50" s="1637"/>
      <c r="N50" s="1147"/>
      <c r="O50" s="1637"/>
      <c r="P50" s="3277"/>
      <c r="Q50" s="3331"/>
      <c r="R50" s="3236"/>
      <c r="S50" s="3236"/>
      <c r="T50" s="3236"/>
      <c r="U50" s="3236"/>
      <c r="V50" s="3236"/>
      <c r="W50" s="1047"/>
      <c r="X50" s="1047"/>
      <c r="Y50" s="3362"/>
      <c r="Z50" s="3362"/>
    </row>
    <row r="51" spans="1:27" ht="21" hidden="1" customHeight="1">
      <c r="A51" s="3268"/>
      <c r="B51" s="3330"/>
      <c r="C51" s="3270"/>
      <c r="D51" s="1154" t="s">
        <v>1067</v>
      </c>
      <c r="E51" s="1147">
        <f t="shared" ref="E51:I51" si="29">E47</f>
        <v>0</v>
      </c>
      <c r="F51" s="1146" t="e">
        <f t="shared" si="1"/>
        <v>#DIV/0!</v>
      </c>
      <c r="G51" s="1148"/>
      <c r="H51" s="1147">
        <f t="shared" si="29"/>
        <v>0</v>
      </c>
      <c r="I51" s="1147">
        <f t="shared" si="29"/>
        <v>0</v>
      </c>
      <c r="J51" s="1721">
        <f t="shared" ref="J51" si="30">J47</f>
        <v>0</v>
      </c>
      <c r="K51" s="2193" t="e">
        <f t="shared" si="3"/>
        <v>#DIV/0!</v>
      </c>
      <c r="L51" s="1147"/>
      <c r="M51" s="1637"/>
      <c r="N51" s="1147"/>
      <c r="O51" s="1637"/>
      <c r="P51" s="3277"/>
      <c r="Q51" s="3332"/>
      <c r="R51" s="3236"/>
      <c r="S51" s="3236"/>
      <c r="T51" s="3236"/>
      <c r="U51" s="3236"/>
      <c r="V51" s="3236"/>
      <c r="W51" s="1047"/>
      <c r="X51" s="1047"/>
      <c r="Y51" s="3363"/>
      <c r="Z51" s="3363"/>
    </row>
    <row r="52" spans="1:27" ht="49.2" customHeight="1">
      <c r="A52" s="697" t="s">
        <v>2078</v>
      </c>
      <c r="B52" s="663" t="s">
        <v>1261</v>
      </c>
      <c r="C52" s="697"/>
      <c r="D52" s="697"/>
      <c r="E52" s="746">
        <f t="shared" ref="E52:L52" si="31">SUM(E54,E56,E58,)</f>
        <v>29</v>
      </c>
      <c r="F52" s="1135">
        <f t="shared" si="1"/>
        <v>-0.39655172413793105</v>
      </c>
      <c r="G52" s="1136">
        <f t="shared" si="31"/>
        <v>25</v>
      </c>
      <c r="H52" s="746">
        <f t="shared" si="31"/>
        <v>17.5</v>
      </c>
      <c r="I52" s="746">
        <f>SUM(I54,I56,I58,)</f>
        <v>37.15</v>
      </c>
      <c r="J52" s="746">
        <f t="shared" ref="J52:N52" si="32">SUM(J54,J56,J58,)</f>
        <v>37.15</v>
      </c>
      <c r="K52" s="746">
        <f t="shared" si="32"/>
        <v>5.0250000000000004</v>
      </c>
      <c r="L52" s="746">
        <f t="shared" si="32"/>
        <v>20</v>
      </c>
      <c r="M52" s="746">
        <f t="shared" si="32"/>
        <v>20</v>
      </c>
      <c r="N52" s="746">
        <f t="shared" si="32"/>
        <v>20</v>
      </c>
      <c r="O52" s="1497">
        <f t="shared" ref="O52" si="33">SUM(O54,O56,O58,)</f>
        <v>20</v>
      </c>
      <c r="P52" s="179" t="s">
        <v>831</v>
      </c>
      <c r="Q52" s="697"/>
      <c r="R52" s="671" t="s">
        <v>1565</v>
      </c>
      <c r="S52" s="663" t="s">
        <v>812</v>
      </c>
      <c r="T52" s="663">
        <v>889</v>
      </c>
      <c r="U52" s="663">
        <v>890</v>
      </c>
      <c r="V52" s="663">
        <v>891</v>
      </c>
      <c r="W52" s="663">
        <v>895</v>
      </c>
      <c r="X52" s="663">
        <v>900</v>
      </c>
      <c r="Y52" s="3364" t="s">
        <v>2152</v>
      </c>
      <c r="Z52" s="3365"/>
    </row>
    <row r="53" spans="1:27" ht="39" customHeight="1">
      <c r="A53" s="2879" t="s">
        <v>2071</v>
      </c>
      <c r="B53" s="2699" t="s">
        <v>1262</v>
      </c>
      <c r="C53" s="2719">
        <v>188711925</v>
      </c>
      <c r="D53" s="706" t="s">
        <v>470</v>
      </c>
      <c r="E53" s="722">
        <v>19</v>
      </c>
      <c r="F53" s="1137">
        <f t="shared" si="1"/>
        <v>-0.92105263157894735</v>
      </c>
      <c r="G53" s="1110">
        <v>5</v>
      </c>
      <c r="H53" s="722">
        <f>5-3.5</f>
        <v>1.5</v>
      </c>
      <c r="I53" s="722">
        <v>5</v>
      </c>
      <c r="J53" s="1557">
        <v>5</v>
      </c>
      <c r="K53" s="2189">
        <f t="shared" si="3"/>
        <v>2.3333333333333335</v>
      </c>
      <c r="L53" s="722">
        <v>5</v>
      </c>
      <c r="M53" s="1496">
        <v>5</v>
      </c>
      <c r="N53" s="722">
        <v>5</v>
      </c>
      <c r="O53" s="1496">
        <v>5</v>
      </c>
      <c r="P53" s="2729" t="s">
        <v>2151</v>
      </c>
      <c r="Q53" s="2704" t="s">
        <v>4040</v>
      </c>
      <c r="R53" s="2694" t="s">
        <v>1566</v>
      </c>
      <c r="S53" s="2694" t="s">
        <v>673</v>
      </c>
      <c r="T53" s="2694" t="s">
        <v>1315</v>
      </c>
      <c r="U53" s="2694" t="s">
        <v>432</v>
      </c>
      <c r="V53" s="2694" t="s">
        <v>432</v>
      </c>
      <c r="W53" s="2694" t="s">
        <v>432</v>
      </c>
      <c r="X53" s="2694" t="s">
        <v>432</v>
      </c>
      <c r="Y53" s="3366"/>
      <c r="Z53" s="3367"/>
    </row>
    <row r="54" spans="1:27" ht="36.6" customHeight="1">
      <c r="A54" s="2879"/>
      <c r="B54" s="2699"/>
      <c r="C54" s="2719"/>
      <c r="D54" s="725" t="s">
        <v>1067</v>
      </c>
      <c r="E54" s="728">
        <f t="shared" ref="E54:L54" si="34">E53</f>
        <v>19</v>
      </c>
      <c r="F54" s="1141">
        <f t="shared" si="1"/>
        <v>-0.92105263157894735</v>
      </c>
      <c r="G54" s="1143">
        <f t="shared" si="34"/>
        <v>5</v>
      </c>
      <c r="H54" s="728">
        <f t="shared" si="34"/>
        <v>1.5</v>
      </c>
      <c r="I54" s="728">
        <f t="shared" si="34"/>
        <v>5</v>
      </c>
      <c r="J54" s="1558">
        <f t="shared" ref="J54" si="35">J53</f>
        <v>5</v>
      </c>
      <c r="K54" s="2190">
        <f t="shared" si="3"/>
        <v>2.3333333333333335</v>
      </c>
      <c r="L54" s="728">
        <f t="shared" si="34"/>
        <v>5</v>
      </c>
      <c r="M54" s="1464">
        <f t="shared" ref="M54:N54" si="36">M53</f>
        <v>5</v>
      </c>
      <c r="N54" s="728">
        <f t="shared" si="36"/>
        <v>5</v>
      </c>
      <c r="O54" s="1464">
        <f t="shared" ref="O54" si="37">O53</f>
        <v>5</v>
      </c>
      <c r="P54" s="2729"/>
      <c r="Q54" s="2734"/>
      <c r="R54" s="2694"/>
      <c r="S54" s="2694"/>
      <c r="T54" s="2694"/>
      <c r="U54" s="2694"/>
      <c r="V54" s="2694"/>
      <c r="W54" s="2694"/>
      <c r="X54" s="2694"/>
      <c r="Y54" s="3366"/>
      <c r="Z54" s="3367"/>
    </row>
    <row r="55" spans="1:27" ht="48.6" customHeight="1">
      <c r="A55" s="2879" t="s">
        <v>2072</v>
      </c>
      <c r="B55" s="2699" t="s">
        <v>1263</v>
      </c>
      <c r="C55" s="2719">
        <v>188711925</v>
      </c>
      <c r="D55" s="706" t="s">
        <v>470</v>
      </c>
      <c r="E55" s="722">
        <v>10</v>
      </c>
      <c r="F55" s="1137">
        <f t="shared" si="1"/>
        <v>0</v>
      </c>
      <c r="G55" s="1110">
        <v>10</v>
      </c>
      <c r="H55" s="722">
        <v>10</v>
      </c>
      <c r="I55" s="722">
        <v>10</v>
      </c>
      <c r="J55" s="1557">
        <v>10</v>
      </c>
      <c r="K55" s="2189">
        <f t="shared" si="3"/>
        <v>0</v>
      </c>
      <c r="L55" s="722">
        <v>10</v>
      </c>
      <c r="M55" s="1496">
        <v>10</v>
      </c>
      <c r="N55" s="722">
        <v>10</v>
      </c>
      <c r="O55" s="1496">
        <v>10</v>
      </c>
      <c r="P55" s="2729" t="s">
        <v>2151</v>
      </c>
      <c r="Q55" s="2704" t="s">
        <v>3341</v>
      </c>
      <c r="R55" s="2694" t="s">
        <v>1567</v>
      </c>
      <c r="S55" s="2694" t="s">
        <v>2348</v>
      </c>
      <c r="T55" s="2694" t="s">
        <v>585</v>
      </c>
      <c r="U55" s="2694" t="s">
        <v>585</v>
      </c>
      <c r="V55" s="2694" t="s">
        <v>585</v>
      </c>
      <c r="W55" s="2694" t="s">
        <v>585</v>
      </c>
      <c r="X55" s="2694" t="s">
        <v>585</v>
      </c>
      <c r="Y55" s="3366"/>
      <c r="Z55" s="3367"/>
    </row>
    <row r="56" spans="1:27" ht="45.75" customHeight="1">
      <c r="A56" s="2879"/>
      <c r="B56" s="2699"/>
      <c r="C56" s="2719"/>
      <c r="D56" s="725" t="s">
        <v>1067</v>
      </c>
      <c r="E56" s="728">
        <f t="shared" ref="E56:L56" si="38">E55</f>
        <v>10</v>
      </c>
      <c r="F56" s="1141">
        <f t="shared" si="1"/>
        <v>0</v>
      </c>
      <c r="G56" s="1143">
        <f t="shared" si="38"/>
        <v>10</v>
      </c>
      <c r="H56" s="728">
        <f t="shared" si="38"/>
        <v>10</v>
      </c>
      <c r="I56" s="728">
        <f t="shared" si="38"/>
        <v>10</v>
      </c>
      <c r="J56" s="1558">
        <f t="shared" ref="J56" si="39">J55</f>
        <v>10</v>
      </c>
      <c r="K56" s="2190">
        <f t="shared" si="3"/>
        <v>0</v>
      </c>
      <c r="L56" s="728">
        <f t="shared" si="38"/>
        <v>10</v>
      </c>
      <c r="M56" s="1464">
        <f t="shared" ref="M56:N56" si="40">M55</f>
        <v>10</v>
      </c>
      <c r="N56" s="728">
        <f t="shared" si="40"/>
        <v>10</v>
      </c>
      <c r="O56" s="1464">
        <f t="shared" ref="O56" si="41">O55</f>
        <v>10</v>
      </c>
      <c r="P56" s="2729"/>
      <c r="Q56" s="2734"/>
      <c r="R56" s="2694"/>
      <c r="S56" s="2694"/>
      <c r="T56" s="2694"/>
      <c r="U56" s="2694"/>
      <c r="V56" s="2694"/>
      <c r="W56" s="2694"/>
      <c r="X56" s="2694"/>
      <c r="Y56" s="3366"/>
      <c r="Z56" s="3367"/>
    </row>
    <row r="57" spans="1:27" ht="42" customHeight="1">
      <c r="A57" s="2879" t="s">
        <v>2073</v>
      </c>
      <c r="B57" s="2699" t="s">
        <v>2739</v>
      </c>
      <c r="C57" s="2719">
        <v>188711925</v>
      </c>
      <c r="D57" s="706" t="s">
        <v>470</v>
      </c>
      <c r="E57" s="722">
        <v>0</v>
      </c>
      <c r="F57" s="1137"/>
      <c r="G57" s="1110">
        <v>10</v>
      </c>
      <c r="H57" s="722">
        <f>10-4</f>
        <v>6</v>
      </c>
      <c r="I57" s="722">
        <v>22.15</v>
      </c>
      <c r="J57" s="1557">
        <v>22.15</v>
      </c>
      <c r="K57" s="2189">
        <f t="shared" si="3"/>
        <v>2.6916666666666664</v>
      </c>
      <c r="L57" s="722">
        <v>5</v>
      </c>
      <c r="M57" s="1496">
        <v>5</v>
      </c>
      <c r="N57" s="722">
        <v>5</v>
      </c>
      <c r="O57" s="1496">
        <v>5</v>
      </c>
      <c r="P57" s="2729" t="s">
        <v>2151</v>
      </c>
      <c r="Q57" s="2704" t="s">
        <v>2766</v>
      </c>
      <c r="R57" s="2694" t="s">
        <v>1568</v>
      </c>
      <c r="S57" s="2694" t="s">
        <v>1569</v>
      </c>
      <c r="T57" s="2694" t="s">
        <v>433</v>
      </c>
      <c r="U57" s="2694" t="s">
        <v>433</v>
      </c>
      <c r="V57" s="2694" t="s">
        <v>433</v>
      </c>
      <c r="W57" s="2694" t="s">
        <v>433</v>
      </c>
      <c r="X57" s="2694" t="s">
        <v>324</v>
      </c>
      <c r="Y57" s="3366"/>
      <c r="Z57" s="3367"/>
    </row>
    <row r="58" spans="1:27" ht="49.5" customHeight="1">
      <c r="A58" s="2879"/>
      <c r="B58" s="2699"/>
      <c r="C58" s="2719"/>
      <c r="D58" s="725" t="s">
        <v>1067</v>
      </c>
      <c r="E58" s="728">
        <f t="shared" ref="E58:L58" si="42">E57</f>
        <v>0</v>
      </c>
      <c r="F58" s="1141"/>
      <c r="G58" s="726">
        <f t="shared" si="42"/>
        <v>10</v>
      </c>
      <c r="H58" s="728">
        <f t="shared" si="42"/>
        <v>6</v>
      </c>
      <c r="I58" s="728">
        <f t="shared" si="42"/>
        <v>22.15</v>
      </c>
      <c r="J58" s="1558">
        <f t="shared" ref="J58" si="43">J57</f>
        <v>22.15</v>
      </c>
      <c r="K58" s="2190">
        <f t="shared" si="3"/>
        <v>2.6916666666666664</v>
      </c>
      <c r="L58" s="728">
        <f t="shared" si="42"/>
        <v>5</v>
      </c>
      <c r="M58" s="1464">
        <f t="shared" ref="M58:N58" si="44">M57</f>
        <v>5</v>
      </c>
      <c r="N58" s="728">
        <f t="shared" si="44"/>
        <v>5</v>
      </c>
      <c r="O58" s="1464">
        <f t="shared" ref="O58" si="45">O57</f>
        <v>5</v>
      </c>
      <c r="P58" s="2729"/>
      <c r="Q58" s="2734"/>
      <c r="R58" s="2694"/>
      <c r="S58" s="2694"/>
      <c r="T58" s="2694"/>
      <c r="U58" s="2694"/>
      <c r="V58" s="2694"/>
      <c r="W58" s="2694"/>
      <c r="X58" s="2694"/>
      <c r="Y58" s="3368"/>
      <c r="Z58" s="3369"/>
    </row>
    <row r="59" spans="1:27" ht="51" customHeight="1">
      <c r="A59" s="697" t="s">
        <v>2079</v>
      </c>
      <c r="B59" s="663" t="s">
        <v>2080</v>
      </c>
      <c r="C59" s="697"/>
      <c r="D59" s="697"/>
      <c r="E59" s="746">
        <f>SUM(E61,E63,E69,E73)</f>
        <v>87.942999999999998</v>
      </c>
      <c r="F59" s="1135">
        <f t="shared" si="1"/>
        <v>0.10198651399201775</v>
      </c>
      <c r="G59" s="1136">
        <f t="shared" ref="G59:L59" si="46">SUM(G61,G63,G69,G73)</f>
        <v>158.21100000000001</v>
      </c>
      <c r="H59" s="746">
        <f t="shared" si="46"/>
        <v>96.912000000000006</v>
      </c>
      <c r="I59" s="746">
        <f>SUM(I61,I63,I69,I73)</f>
        <v>137.68100000000001</v>
      </c>
      <c r="J59" s="746">
        <f t="shared" ref="J59:N59" si="47">SUM(J61,J63,J69,J73)</f>
        <v>145.21100000000001</v>
      </c>
      <c r="K59" s="746" t="e">
        <f t="shared" si="47"/>
        <v>#DIV/0!</v>
      </c>
      <c r="L59" s="746">
        <f t="shared" si="47"/>
        <v>81.2</v>
      </c>
      <c r="M59" s="746">
        <f t="shared" si="47"/>
        <v>81.2</v>
      </c>
      <c r="N59" s="746">
        <f t="shared" si="47"/>
        <v>80.2</v>
      </c>
      <c r="O59" s="1497">
        <f t="shared" ref="O59" si="48">SUM(O61,O63,O69,O73)</f>
        <v>80.2</v>
      </c>
      <c r="P59" s="179" t="s">
        <v>831</v>
      </c>
      <c r="Q59" s="697"/>
      <c r="R59" s="671" t="s">
        <v>1570</v>
      </c>
      <c r="S59" s="663" t="s">
        <v>813</v>
      </c>
      <c r="T59" s="663">
        <v>739</v>
      </c>
      <c r="U59" s="663">
        <v>908</v>
      </c>
      <c r="V59" s="663">
        <v>908</v>
      </c>
      <c r="W59" s="663">
        <v>908</v>
      </c>
      <c r="X59" s="663">
        <v>908</v>
      </c>
      <c r="Y59" s="3356" t="s">
        <v>2152</v>
      </c>
      <c r="Z59" s="3357"/>
    </row>
    <row r="60" spans="1:27" ht="91.95" hidden="1" customHeight="1">
      <c r="A60" s="3324" t="s">
        <v>2074</v>
      </c>
      <c r="B60" s="3013" t="s">
        <v>1264</v>
      </c>
      <c r="C60" s="3325">
        <v>188711925</v>
      </c>
      <c r="D60" s="1396" t="s">
        <v>470</v>
      </c>
      <c r="E60" s="746"/>
      <c r="F60" s="1146" t="e">
        <f t="shared" si="1"/>
        <v>#DIV/0!</v>
      </c>
      <c r="G60" s="1148"/>
      <c r="H60" s="746"/>
      <c r="I60" s="746"/>
      <c r="J60" s="1591"/>
      <c r="K60" s="2193" t="e">
        <f t="shared" si="3"/>
        <v>#DIV/0!</v>
      </c>
      <c r="L60" s="746"/>
      <c r="M60" s="1497"/>
      <c r="N60" s="746"/>
      <c r="O60" s="1497"/>
      <c r="P60" s="3326" t="s">
        <v>2151</v>
      </c>
      <c r="Q60" s="3327" t="s">
        <v>2284</v>
      </c>
      <c r="R60" s="3329" t="s">
        <v>1571</v>
      </c>
      <c r="S60" s="3329" t="s">
        <v>753</v>
      </c>
      <c r="T60" s="3329" t="s">
        <v>433</v>
      </c>
      <c r="U60" s="3329" t="s">
        <v>324</v>
      </c>
      <c r="V60" s="3329" t="s">
        <v>324</v>
      </c>
      <c r="W60" s="1332"/>
      <c r="X60" s="1332"/>
      <c r="Y60" s="3358"/>
      <c r="Z60" s="3359"/>
    </row>
    <row r="61" spans="1:27" ht="179.25" hidden="1" customHeight="1">
      <c r="A61" s="3324"/>
      <c r="B61" s="3013"/>
      <c r="C61" s="3325"/>
      <c r="D61" s="697" t="s">
        <v>1067</v>
      </c>
      <c r="E61" s="746">
        <f>E60</f>
        <v>0</v>
      </c>
      <c r="F61" s="1146" t="e">
        <f t="shared" si="1"/>
        <v>#DIV/0!</v>
      </c>
      <c r="G61" s="1148"/>
      <c r="H61" s="746">
        <f>H60</f>
        <v>0</v>
      </c>
      <c r="I61" s="746">
        <f>I60</f>
        <v>0</v>
      </c>
      <c r="J61" s="1591">
        <f>J60</f>
        <v>0</v>
      </c>
      <c r="K61" s="2193" t="e">
        <f t="shared" si="3"/>
        <v>#DIV/0!</v>
      </c>
      <c r="L61" s="746"/>
      <c r="M61" s="1497"/>
      <c r="N61" s="746"/>
      <c r="O61" s="1497"/>
      <c r="P61" s="3326"/>
      <c r="Q61" s="3328"/>
      <c r="R61" s="3329"/>
      <c r="S61" s="3329"/>
      <c r="T61" s="3329"/>
      <c r="U61" s="3329"/>
      <c r="V61" s="3329"/>
      <c r="W61" s="1332"/>
      <c r="X61" s="1332"/>
      <c r="Y61" s="3360"/>
      <c r="Z61" s="3361"/>
    </row>
    <row r="62" spans="1:27" ht="86.4" customHeight="1">
      <c r="A62" s="2879" t="s">
        <v>2075</v>
      </c>
      <c r="B62" s="2695" t="s">
        <v>3759</v>
      </c>
      <c r="C62" s="2723" t="s">
        <v>1195</v>
      </c>
      <c r="D62" s="719" t="s">
        <v>470</v>
      </c>
      <c r="E62" s="722">
        <v>34.5</v>
      </c>
      <c r="F62" s="1137">
        <f t="shared" si="1"/>
        <v>0.32463768115942027</v>
      </c>
      <c r="G62" s="1110">
        <f>G64+G65+G66</f>
        <v>107</v>
      </c>
      <c r="H62" s="722">
        <f>SUM(H64,H65,H66)</f>
        <v>45.7</v>
      </c>
      <c r="I62" s="722">
        <f>SUM(I64,I65,I66)</f>
        <v>50</v>
      </c>
      <c r="J62" s="1557">
        <f>SUM(J64,J65,J66)</f>
        <v>48</v>
      </c>
      <c r="K62" s="2189">
        <f t="shared" si="3"/>
        <v>9.4091903719912398E-2</v>
      </c>
      <c r="L62" s="722">
        <f t="shared" ref="L62:O62" si="49">SUM(L64,L65,L66)</f>
        <v>50.2</v>
      </c>
      <c r="M62" s="1496">
        <f>SUM(M64,M65,M66)</f>
        <v>50.2</v>
      </c>
      <c r="N62" s="722">
        <f t="shared" si="49"/>
        <v>50.2</v>
      </c>
      <c r="O62" s="1496">
        <f t="shared" si="49"/>
        <v>50.2</v>
      </c>
      <c r="P62" s="2729" t="s">
        <v>835</v>
      </c>
      <c r="Q62" s="2704" t="s">
        <v>4042</v>
      </c>
      <c r="R62" s="2694" t="s">
        <v>1572</v>
      </c>
      <c r="S62" s="2694" t="s">
        <v>3342</v>
      </c>
      <c r="T62" s="2694" t="s">
        <v>324</v>
      </c>
      <c r="U62" s="2694" t="s">
        <v>3343</v>
      </c>
      <c r="V62" s="2694" t="s">
        <v>3344</v>
      </c>
      <c r="W62" s="2694" t="s">
        <v>3345</v>
      </c>
      <c r="X62" s="2694" t="s">
        <v>3345</v>
      </c>
      <c r="Y62" s="3286" t="s">
        <v>830</v>
      </c>
      <c r="Z62" s="3287"/>
      <c r="AA62" s="409"/>
    </row>
    <row r="63" spans="1:27" ht="78.75" customHeight="1">
      <c r="A63" s="2879"/>
      <c r="B63" s="2695"/>
      <c r="C63" s="2723"/>
      <c r="D63" s="725" t="s">
        <v>1067</v>
      </c>
      <c r="E63" s="728">
        <f>E62</f>
        <v>34.5</v>
      </c>
      <c r="F63" s="1141">
        <f t="shared" si="1"/>
        <v>0.32463768115942027</v>
      </c>
      <c r="G63" s="1143">
        <f>G62</f>
        <v>107</v>
      </c>
      <c r="H63" s="728">
        <f>H62</f>
        <v>45.7</v>
      </c>
      <c r="I63" s="728">
        <f t="shared" ref="I63:L63" si="50">I62</f>
        <v>50</v>
      </c>
      <c r="J63" s="1558">
        <f t="shared" ref="J63" si="51">J62</f>
        <v>48</v>
      </c>
      <c r="K63" s="2190">
        <f t="shared" si="3"/>
        <v>9.4091903719912398E-2</v>
      </c>
      <c r="L63" s="728">
        <f t="shared" si="50"/>
        <v>50.2</v>
      </c>
      <c r="M63" s="1464">
        <f t="shared" ref="M63:N63" si="52">M62</f>
        <v>50.2</v>
      </c>
      <c r="N63" s="728">
        <f t="shared" si="52"/>
        <v>50.2</v>
      </c>
      <c r="O63" s="1464">
        <f t="shared" ref="O63" si="53">O62</f>
        <v>50.2</v>
      </c>
      <c r="P63" s="2729"/>
      <c r="Q63" s="2734"/>
      <c r="R63" s="2694"/>
      <c r="S63" s="2694"/>
      <c r="T63" s="2694"/>
      <c r="U63" s="2694"/>
      <c r="V63" s="2694"/>
      <c r="W63" s="2694"/>
      <c r="X63" s="2694"/>
      <c r="Y63" s="3239"/>
      <c r="Z63" s="3240"/>
    </row>
    <row r="64" spans="1:27" ht="33" hidden="1" customHeight="1">
      <c r="A64" s="893"/>
      <c r="B64" s="673" t="s">
        <v>3009</v>
      </c>
      <c r="C64" s="900"/>
      <c r="D64" s="780"/>
      <c r="E64" s="681">
        <v>31.5</v>
      </c>
      <c r="F64" s="906">
        <f t="shared" si="1"/>
        <v>0.33333333333333326</v>
      </c>
      <c r="G64" s="734">
        <v>47</v>
      </c>
      <c r="H64" s="681">
        <f>35+7</f>
        <v>42</v>
      </c>
      <c r="I64" s="681">
        <v>46</v>
      </c>
      <c r="J64" s="1559">
        <v>44</v>
      </c>
      <c r="K64" s="2194">
        <f t="shared" si="3"/>
        <v>9.5238095238095233E-2</v>
      </c>
      <c r="L64" s="1470">
        <v>46</v>
      </c>
      <c r="M64" s="1470">
        <v>46</v>
      </c>
      <c r="N64" s="1470">
        <v>46</v>
      </c>
      <c r="O64" s="1470">
        <v>46</v>
      </c>
      <c r="P64" s="175"/>
      <c r="Q64" s="751"/>
      <c r="R64" s="925"/>
      <c r="S64" s="688"/>
      <c r="T64" s="925"/>
      <c r="U64" s="925"/>
      <c r="V64" s="925"/>
      <c r="W64" s="925"/>
      <c r="X64" s="925"/>
      <c r="Y64" s="1751"/>
      <c r="Z64" s="1751"/>
    </row>
    <row r="65" spans="1:26" ht="27.75" hidden="1" customHeight="1">
      <c r="A65" s="893"/>
      <c r="B65" s="673" t="s">
        <v>2994</v>
      </c>
      <c r="C65" s="900"/>
      <c r="D65" s="780"/>
      <c r="E65" s="681">
        <v>0</v>
      </c>
      <c r="F65" s="906">
        <v>1</v>
      </c>
      <c r="G65" s="734">
        <v>60</v>
      </c>
      <c r="H65" s="681">
        <v>0</v>
      </c>
      <c r="I65" s="681">
        <v>0</v>
      </c>
      <c r="J65" s="1559"/>
      <c r="K65" s="2194" t="e">
        <f t="shared" si="3"/>
        <v>#DIV/0!</v>
      </c>
      <c r="L65" s="1470"/>
      <c r="M65" s="1470"/>
      <c r="N65" s="1470"/>
      <c r="O65" s="1470"/>
      <c r="P65" s="175"/>
      <c r="Q65" s="751"/>
      <c r="R65" s="925"/>
      <c r="S65" s="688"/>
      <c r="T65" s="925"/>
      <c r="U65" s="925"/>
      <c r="V65" s="925"/>
      <c r="W65" s="925"/>
      <c r="X65" s="925"/>
      <c r="Y65" s="1751"/>
      <c r="Z65" s="1751"/>
    </row>
    <row r="66" spans="1:26" ht="36" hidden="1" customHeight="1">
      <c r="A66" s="893"/>
      <c r="B66" s="673" t="s">
        <v>3497</v>
      </c>
      <c r="C66" s="900"/>
      <c r="D66" s="780"/>
      <c r="E66" s="681">
        <v>3</v>
      </c>
      <c r="F66" s="906">
        <f t="shared" si="1"/>
        <v>0.23333333333333339</v>
      </c>
      <c r="G66" s="734">
        <v>0</v>
      </c>
      <c r="H66" s="681">
        <v>3.7</v>
      </c>
      <c r="I66" s="681">
        <v>4</v>
      </c>
      <c r="J66" s="1559">
        <v>4</v>
      </c>
      <c r="K66" s="2194">
        <f t="shared" si="3"/>
        <v>8.108108108108103E-2</v>
      </c>
      <c r="L66" s="1470">
        <v>4.2</v>
      </c>
      <c r="M66" s="1470">
        <v>4.2</v>
      </c>
      <c r="N66" s="1470">
        <v>4.2</v>
      </c>
      <c r="O66" s="1470">
        <v>4.2</v>
      </c>
      <c r="P66" s="175"/>
      <c r="Q66" s="1470" t="s">
        <v>4078</v>
      </c>
      <c r="R66" s="925"/>
      <c r="S66" s="688"/>
      <c r="T66" s="925"/>
      <c r="U66" s="925"/>
      <c r="V66" s="925"/>
      <c r="W66" s="925"/>
      <c r="X66" s="925"/>
      <c r="Y66" s="1751"/>
      <c r="Z66" s="1751"/>
    </row>
    <row r="67" spans="1:26" ht="37.200000000000003" customHeight="1">
      <c r="A67" s="2879" t="s">
        <v>2076</v>
      </c>
      <c r="B67" s="2699" t="s">
        <v>1265</v>
      </c>
      <c r="C67" s="2719">
        <v>188711925</v>
      </c>
      <c r="D67" s="706" t="s">
        <v>470</v>
      </c>
      <c r="E67" s="722">
        <v>35</v>
      </c>
      <c r="F67" s="1137">
        <f t="shared" si="1"/>
        <v>-0.4285714285714286</v>
      </c>
      <c r="G67" s="1110">
        <v>20</v>
      </c>
      <c r="H67" s="722">
        <v>20</v>
      </c>
      <c r="I67" s="722">
        <v>40</v>
      </c>
      <c r="J67" s="1557">
        <v>69</v>
      </c>
      <c r="K67" s="2189">
        <f t="shared" si="3"/>
        <v>1</v>
      </c>
      <c r="L67" s="722">
        <v>27</v>
      </c>
      <c r="M67" s="1496">
        <v>27</v>
      </c>
      <c r="N67" s="722">
        <v>26</v>
      </c>
      <c r="O67" s="1496">
        <v>26</v>
      </c>
      <c r="P67" s="2729" t="s">
        <v>2296</v>
      </c>
      <c r="Q67" s="2704" t="s">
        <v>4037</v>
      </c>
      <c r="R67" s="2694" t="s">
        <v>1573</v>
      </c>
      <c r="S67" s="2694" t="s">
        <v>1575</v>
      </c>
      <c r="T67" s="2695" t="s">
        <v>1304</v>
      </c>
      <c r="U67" s="2695" t="s">
        <v>392</v>
      </c>
      <c r="V67" s="2694" t="s">
        <v>1304</v>
      </c>
      <c r="W67" s="2694" t="s">
        <v>432</v>
      </c>
      <c r="X67" s="2694" t="s">
        <v>432</v>
      </c>
      <c r="Y67" s="3288" t="s">
        <v>2282</v>
      </c>
      <c r="Z67" s="3289"/>
    </row>
    <row r="68" spans="1:26" ht="34.200000000000003" customHeight="1">
      <c r="A68" s="2879"/>
      <c r="B68" s="2699"/>
      <c r="C68" s="2719"/>
      <c r="D68" s="706" t="s">
        <v>2747</v>
      </c>
      <c r="E68" s="722"/>
      <c r="F68" s="1137"/>
      <c r="G68" s="1110"/>
      <c r="H68" s="722"/>
      <c r="I68" s="722">
        <v>40</v>
      </c>
      <c r="J68" s="1557"/>
      <c r="K68" s="2189"/>
      <c r="L68" s="722"/>
      <c r="M68" s="1496"/>
      <c r="N68" s="722"/>
      <c r="O68" s="1496"/>
      <c r="P68" s="2729"/>
      <c r="Q68" s="2704"/>
      <c r="R68" s="2694"/>
      <c r="S68" s="2694"/>
      <c r="T68" s="2695"/>
      <c r="U68" s="2695"/>
      <c r="V68" s="2694"/>
      <c r="W68" s="2694"/>
      <c r="X68" s="2694"/>
      <c r="Y68" s="3290"/>
      <c r="Z68" s="3291"/>
    </row>
    <row r="69" spans="1:26" ht="38.4" customHeight="1">
      <c r="A69" s="2879"/>
      <c r="B69" s="2699"/>
      <c r="C69" s="2719"/>
      <c r="D69" s="725" t="s">
        <v>1067</v>
      </c>
      <c r="E69" s="728">
        <f t="shared" ref="E69:L69" si="54">E67</f>
        <v>35</v>
      </c>
      <c r="F69" s="1141">
        <f t="shared" si="1"/>
        <v>-0.4285714285714286</v>
      </c>
      <c r="G69" s="1143">
        <f>G67</f>
        <v>20</v>
      </c>
      <c r="H69" s="728">
        <f t="shared" si="54"/>
        <v>20</v>
      </c>
      <c r="I69" s="728">
        <f>SUM(I67,I68)</f>
        <v>80</v>
      </c>
      <c r="J69" s="1558">
        <f t="shared" ref="J69" si="55">J67</f>
        <v>69</v>
      </c>
      <c r="K69" s="2190">
        <f t="shared" si="3"/>
        <v>3</v>
      </c>
      <c r="L69" s="728">
        <f t="shared" si="54"/>
        <v>27</v>
      </c>
      <c r="M69" s="1464">
        <f t="shared" ref="M69:N69" si="56">M67</f>
        <v>27</v>
      </c>
      <c r="N69" s="728">
        <f t="shared" si="56"/>
        <v>26</v>
      </c>
      <c r="O69" s="1464">
        <f t="shared" ref="O69" si="57">O67</f>
        <v>26</v>
      </c>
      <c r="P69" s="2729"/>
      <c r="Q69" s="2734"/>
      <c r="R69" s="2694"/>
      <c r="S69" s="2694"/>
      <c r="T69" s="2695"/>
      <c r="U69" s="2695"/>
      <c r="V69" s="2694"/>
      <c r="W69" s="2694"/>
      <c r="X69" s="2694"/>
      <c r="Y69" s="3292"/>
      <c r="Z69" s="3293"/>
    </row>
    <row r="70" spans="1:26" ht="32.25" customHeight="1">
      <c r="A70" s="2879" t="s">
        <v>2077</v>
      </c>
      <c r="B70" s="2699" t="s">
        <v>1266</v>
      </c>
      <c r="C70" s="2719">
        <v>188711925</v>
      </c>
      <c r="D70" s="706" t="s">
        <v>470</v>
      </c>
      <c r="E70" s="722">
        <v>6</v>
      </c>
      <c r="F70" s="1137">
        <f t="shared" si="1"/>
        <v>0</v>
      </c>
      <c r="G70" s="1110">
        <v>6</v>
      </c>
      <c r="H70" s="722">
        <v>6</v>
      </c>
      <c r="I70" s="722">
        <f>6+I76</f>
        <v>7.681</v>
      </c>
      <c r="J70" s="1557">
        <f>J76</f>
        <v>3</v>
      </c>
      <c r="K70" s="2189">
        <f t="shared" si="3"/>
        <v>0.28016666666666667</v>
      </c>
      <c r="L70" s="722">
        <v>4</v>
      </c>
      <c r="M70" s="1496">
        <v>4</v>
      </c>
      <c r="N70" s="722">
        <v>4</v>
      </c>
      <c r="O70" s="1496">
        <v>4</v>
      </c>
      <c r="P70" s="2729" t="s">
        <v>2296</v>
      </c>
      <c r="Q70" s="2704" t="s">
        <v>4253</v>
      </c>
      <c r="R70" s="2694" t="s">
        <v>1574</v>
      </c>
      <c r="S70" s="2694" t="s">
        <v>1576</v>
      </c>
      <c r="T70" s="2694" t="s">
        <v>403</v>
      </c>
      <c r="U70" s="2694" t="s">
        <v>403</v>
      </c>
      <c r="V70" s="2694" t="s">
        <v>3949</v>
      </c>
      <c r="W70" s="2694" t="s">
        <v>1707</v>
      </c>
      <c r="X70" s="2694" t="s">
        <v>1707</v>
      </c>
      <c r="Y70" s="3286" t="s">
        <v>2282</v>
      </c>
      <c r="Z70" s="3287"/>
    </row>
    <row r="71" spans="1:26" ht="34.5" hidden="1" customHeight="1">
      <c r="A71" s="2879"/>
      <c r="B71" s="2699"/>
      <c r="C71" s="2719"/>
      <c r="D71" s="706" t="s">
        <v>2747</v>
      </c>
      <c r="E71" s="722"/>
      <c r="F71" s="1137"/>
      <c r="G71" s="1110"/>
      <c r="H71" s="722">
        <f>SUM(H75)</f>
        <v>0</v>
      </c>
      <c r="I71" s="722"/>
      <c r="J71" s="1557"/>
      <c r="K71" s="2189" t="e">
        <f t="shared" si="3"/>
        <v>#DIV/0!</v>
      </c>
      <c r="L71" s="722"/>
      <c r="M71" s="1496"/>
      <c r="N71" s="722"/>
      <c r="O71" s="1496"/>
      <c r="P71" s="2729"/>
      <c r="Q71" s="2704"/>
      <c r="R71" s="2694"/>
      <c r="S71" s="2694"/>
      <c r="T71" s="2694"/>
      <c r="U71" s="2694"/>
      <c r="V71" s="2694"/>
      <c r="W71" s="2694"/>
      <c r="X71" s="2694"/>
      <c r="Y71" s="3237"/>
      <c r="Z71" s="3238"/>
    </row>
    <row r="72" spans="1:26" ht="43.2" customHeight="1">
      <c r="A72" s="2879"/>
      <c r="B72" s="2699"/>
      <c r="C72" s="2719"/>
      <c r="D72" s="706" t="s">
        <v>1111</v>
      </c>
      <c r="E72" s="722">
        <v>12.443</v>
      </c>
      <c r="F72" s="1137">
        <f t="shared" si="1"/>
        <v>1.0261994695812908</v>
      </c>
      <c r="G72" s="1110">
        <f>G74</f>
        <v>25.210999999999999</v>
      </c>
      <c r="H72" s="722">
        <f>H74</f>
        <v>25.212</v>
      </c>
      <c r="I72" s="722">
        <f>I74</f>
        <v>0</v>
      </c>
      <c r="J72" s="1557">
        <f>J74</f>
        <v>25.210999999999999</v>
      </c>
      <c r="K72" s="2189">
        <f t="shared" si="3"/>
        <v>-1</v>
      </c>
      <c r="L72" s="722">
        <v>0</v>
      </c>
      <c r="M72" s="1496"/>
      <c r="N72" s="722"/>
      <c r="O72" s="1496"/>
      <c r="P72" s="2729"/>
      <c r="Q72" s="2704"/>
      <c r="R72" s="2694"/>
      <c r="S72" s="2694"/>
      <c r="T72" s="2694"/>
      <c r="U72" s="2694"/>
      <c r="V72" s="2694"/>
      <c r="W72" s="2694"/>
      <c r="X72" s="2694"/>
      <c r="Y72" s="3237"/>
      <c r="Z72" s="3238"/>
    </row>
    <row r="73" spans="1:26" ht="52.5" customHeight="1">
      <c r="A73" s="2879"/>
      <c r="B73" s="2699"/>
      <c r="C73" s="2719"/>
      <c r="D73" s="725" t="s">
        <v>1067</v>
      </c>
      <c r="E73" s="728">
        <f>E70+E72</f>
        <v>18.442999999999998</v>
      </c>
      <c r="F73" s="1141">
        <f t="shared" si="1"/>
        <v>0.69234940085669372</v>
      </c>
      <c r="G73" s="1143">
        <f>G70+G72</f>
        <v>31.210999999999999</v>
      </c>
      <c r="H73" s="1142">
        <f>H70+H72+H71</f>
        <v>31.212</v>
      </c>
      <c r="I73" s="728">
        <f>I70+I72+I71</f>
        <v>7.681</v>
      </c>
      <c r="J73" s="1464">
        <f>J70+J72+J71</f>
        <v>28.210999999999999</v>
      </c>
      <c r="K73" s="2056">
        <f t="shared" si="3"/>
        <v>-0.75390875304370109</v>
      </c>
      <c r="L73" s="728">
        <f t="shared" ref="L73" si="58">L70+L72+L71</f>
        <v>4</v>
      </c>
      <c r="M73" s="1464">
        <f t="shared" ref="M73:N73" si="59">M70+M72+M71</f>
        <v>4</v>
      </c>
      <c r="N73" s="728">
        <f t="shared" si="59"/>
        <v>4</v>
      </c>
      <c r="O73" s="1503">
        <f t="shared" ref="O73" si="60">O70+O72+O71</f>
        <v>4</v>
      </c>
      <c r="P73" s="2729"/>
      <c r="Q73" s="2704"/>
      <c r="R73" s="2694"/>
      <c r="S73" s="2694"/>
      <c r="T73" s="2694"/>
      <c r="U73" s="2694"/>
      <c r="V73" s="2694"/>
      <c r="W73" s="2694"/>
      <c r="X73" s="2694"/>
      <c r="Y73" s="3237"/>
      <c r="Z73" s="3238"/>
    </row>
    <row r="74" spans="1:26" ht="32.25" customHeight="1">
      <c r="A74" s="2879" t="s">
        <v>3013</v>
      </c>
      <c r="B74" s="2741" t="s">
        <v>3760</v>
      </c>
      <c r="C74" s="1150"/>
      <c r="D74" s="1151" t="s">
        <v>1111</v>
      </c>
      <c r="E74" s="770">
        <f>E72</f>
        <v>12.443</v>
      </c>
      <c r="F74" s="1152">
        <f t="shared" si="1"/>
        <v>1.0261994695812908</v>
      </c>
      <c r="G74" s="769">
        <v>25.210999999999999</v>
      </c>
      <c r="H74" s="770">
        <v>25.212</v>
      </c>
      <c r="I74" s="770">
        <v>0</v>
      </c>
      <c r="J74" s="1592">
        <v>25.210999999999999</v>
      </c>
      <c r="K74" s="2195">
        <f t="shared" si="3"/>
        <v>-1</v>
      </c>
      <c r="L74" s="770">
        <v>0</v>
      </c>
      <c r="M74" s="1501">
        <v>0</v>
      </c>
      <c r="N74" s="770">
        <v>0</v>
      </c>
      <c r="O74" s="1501">
        <v>0</v>
      </c>
      <c r="P74" s="2729"/>
      <c r="Q74" s="2704"/>
      <c r="R74" s="2694"/>
      <c r="S74" s="2694"/>
      <c r="T74" s="656"/>
      <c r="U74" s="2694"/>
      <c r="V74" s="2694"/>
      <c r="W74" s="2694"/>
      <c r="X74" s="2694"/>
      <c r="Y74" s="3237"/>
      <c r="Z74" s="3238"/>
    </row>
    <row r="75" spans="1:26" ht="43.5" hidden="1" customHeight="1">
      <c r="A75" s="2879"/>
      <c r="B75" s="2741"/>
      <c r="C75" s="1150"/>
      <c r="D75" s="1151" t="s">
        <v>2747</v>
      </c>
      <c r="E75" s="770"/>
      <c r="F75" s="1152"/>
      <c r="G75" s="769">
        <v>12.61</v>
      </c>
      <c r="H75" s="770"/>
      <c r="I75" s="770"/>
      <c r="J75" s="1592"/>
      <c r="K75" s="2195"/>
      <c r="L75" s="770"/>
      <c r="M75" s="1501"/>
      <c r="N75" s="770"/>
      <c r="O75" s="1501"/>
      <c r="P75" s="2729"/>
      <c r="Q75" s="2704"/>
      <c r="R75" s="2694"/>
      <c r="S75" s="2694"/>
      <c r="T75" s="656"/>
      <c r="U75" s="2694"/>
      <c r="V75" s="2694"/>
      <c r="W75" s="2694"/>
      <c r="X75" s="2694"/>
      <c r="Y75" s="3237"/>
      <c r="Z75" s="3238"/>
    </row>
    <row r="76" spans="1:26" ht="43.5" customHeight="1">
      <c r="A76" s="2879"/>
      <c r="B76" s="2741"/>
      <c r="C76" s="1150"/>
      <c r="D76" s="1151" t="s">
        <v>48</v>
      </c>
      <c r="E76" s="770"/>
      <c r="F76" s="1152"/>
      <c r="G76" s="769"/>
      <c r="H76" s="770"/>
      <c r="I76" s="770">
        <v>1.681</v>
      </c>
      <c r="J76" s="1592">
        <v>3</v>
      </c>
      <c r="K76" s="2195"/>
      <c r="L76" s="770"/>
      <c r="M76" s="1501"/>
      <c r="N76" s="770"/>
      <c r="O76" s="1501"/>
      <c r="P76" s="2729"/>
      <c r="Q76" s="2704"/>
      <c r="R76" s="2694"/>
      <c r="S76" s="2694"/>
      <c r="T76" s="656"/>
      <c r="U76" s="2694"/>
      <c r="V76" s="2694"/>
      <c r="W76" s="2694"/>
      <c r="X76" s="2694"/>
      <c r="Y76" s="3237"/>
      <c r="Z76" s="3238"/>
    </row>
    <row r="77" spans="1:26" ht="34.5" customHeight="1">
      <c r="A77" s="2879"/>
      <c r="B77" s="2741"/>
      <c r="C77" s="1150"/>
      <c r="D77" s="1397" t="s">
        <v>1067</v>
      </c>
      <c r="E77" s="774">
        <f>E74+E75</f>
        <v>12.443</v>
      </c>
      <c r="F77" s="1153">
        <f t="shared" ref="F77" si="61">H77/E77-1</f>
        <v>1.0261994695812908</v>
      </c>
      <c r="G77" s="773">
        <f>G74+G75</f>
        <v>37.820999999999998</v>
      </c>
      <c r="H77" s="774">
        <f>H74+H75</f>
        <v>25.212</v>
      </c>
      <c r="I77" s="774">
        <f>SUM(I74,I76)</f>
        <v>1.681</v>
      </c>
      <c r="J77" s="774">
        <f>SUM(J74,J76)</f>
        <v>28.210999999999999</v>
      </c>
      <c r="K77" s="2191">
        <f t="shared" si="3"/>
        <v>-0.93332540060288749</v>
      </c>
      <c r="L77" s="774">
        <f t="shared" ref="L77" si="62">L74+L75</f>
        <v>0</v>
      </c>
      <c r="M77" s="1502">
        <f t="shared" ref="M77:N77" si="63">M74+M75</f>
        <v>0</v>
      </c>
      <c r="N77" s="774">
        <f t="shared" si="63"/>
        <v>0</v>
      </c>
      <c r="O77" s="1502">
        <f t="shared" ref="O77" si="64">O74+O75</f>
        <v>0</v>
      </c>
      <c r="P77" s="2729"/>
      <c r="Q77" s="2704"/>
      <c r="R77" s="2694"/>
      <c r="S77" s="2694"/>
      <c r="T77" s="656"/>
      <c r="U77" s="2694"/>
      <c r="V77" s="2694"/>
      <c r="W77" s="2694"/>
      <c r="X77" s="2694"/>
      <c r="Y77" s="3239"/>
      <c r="Z77" s="3240"/>
    </row>
    <row r="78" spans="1:26" ht="74.400000000000006" customHeight="1">
      <c r="A78" s="697" t="s">
        <v>2890</v>
      </c>
      <c r="B78" s="663" t="s">
        <v>2455</v>
      </c>
      <c r="C78" s="962"/>
      <c r="D78" s="962"/>
      <c r="E78" s="746">
        <f>SUM(E80,E82,E84,E86,E89)</f>
        <v>302.97499999999997</v>
      </c>
      <c r="F78" s="1135">
        <f t="shared" si="1"/>
        <v>-0.29862199851472881</v>
      </c>
      <c r="G78" s="1136">
        <f t="shared" ref="G78:O78" si="65">SUM(G80,G82,G84,G86,G89)</f>
        <v>212.5</v>
      </c>
      <c r="H78" s="746">
        <f t="shared" si="65"/>
        <v>212.5</v>
      </c>
      <c r="I78" s="746">
        <f>SUM(I80,I82,I84,I86,I89)</f>
        <v>212.5</v>
      </c>
      <c r="J78" s="746">
        <f t="shared" ref="J78:N78" si="66">SUM(J80,J82,J84,J86,J89)</f>
        <v>212.5</v>
      </c>
      <c r="K78" s="746" t="e">
        <f t="shared" si="66"/>
        <v>#DIV/0!</v>
      </c>
      <c r="L78" s="746">
        <f t="shared" si="66"/>
        <v>1400</v>
      </c>
      <c r="M78" s="746">
        <f t="shared" si="66"/>
        <v>1400</v>
      </c>
      <c r="N78" s="746">
        <f t="shared" si="66"/>
        <v>1250</v>
      </c>
      <c r="O78" s="1497">
        <f t="shared" si="65"/>
        <v>1250</v>
      </c>
      <c r="P78" s="179" t="s">
        <v>2891</v>
      </c>
      <c r="Q78" s="697"/>
      <c r="R78" s="671" t="s">
        <v>2892</v>
      </c>
      <c r="S78" s="663" t="s">
        <v>819</v>
      </c>
      <c r="T78" s="697">
        <v>19.5</v>
      </c>
      <c r="U78" s="697">
        <v>11.28</v>
      </c>
      <c r="V78" s="697">
        <v>11.28</v>
      </c>
      <c r="W78" s="697">
        <v>11.28</v>
      </c>
      <c r="X78" s="697">
        <v>11.28</v>
      </c>
      <c r="Y78" s="3315"/>
      <c r="Z78" s="3316"/>
    </row>
    <row r="79" spans="1:26" ht="36" hidden="1" customHeight="1">
      <c r="A79" s="3268" t="s">
        <v>2893</v>
      </c>
      <c r="B79" s="3278" t="s">
        <v>2767</v>
      </c>
      <c r="C79" s="3317">
        <v>188711925</v>
      </c>
      <c r="D79" s="1394" t="s">
        <v>2747</v>
      </c>
      <c r="E79" s="1147">
        <v>46.67</v>
      </c>
      <c r="F79" s="1146">
        <f t="shared" si="1"/>
        <v>-1</v>
      </c>
      <c r="G79" s="1148"/>
      <c r="H79" s="1147">
        <v>0</v>
      </c>
      <c r="I79" s="1147">
        <v>0</v>
      </c>
      <c r="J79" s="1721">
        <v>0</v>
      </c>
      <c r="K79" s="2193" t="e">
        <f t="shared" si="3"/>
        <v>#DIV/0!</v>
      </c>
      <c r="L79" s="1147"/>
      <c r="M79" s="1637"/>
      <c r="N79" s="1147"/>
      <c r="O79" s="1637"/>
      <c r="P79" s="3277" t="s">
        <v>2296</v>
      </c>
      <c r="Q79" s="3318" t="s">
        <v>2989</v>
      </c>
      <c r="R79" s="3236" t="s">
        <v>2894</v>
      </c>
      <c r="S79" s="3236" t="s">
        <v>2895</v>
      </c>
      <c r="T79" s="3236" t="s">
        <v>433</v>
      </c>
      <c r="U79" s="3236" t="s">
        <v>324</v>
      </c>
      <c r="V79" s="3236" t="s">
        <v>433</v>
      </c>
      <c r="W79" s="1047"/>
      <c r="X79" s="1047"/>
      <c r="Y79" s="3320" t="s">
        <v>2889</v>
      </c>
      <c r="Z79" s="3321"/>
    </row>
    <row r="80" spans="1:26" ht="46.2" hidden="1" customHeight="1">
      <c r="A80" s="3268"/>
      <c r="B80" s="3278"/>
      <c r="C80" s="3317"/>
      <c r="D80" s="1154" t="s">
        <v>1067</v>
      </c>
      <c r="E80" s="1147">
        <f t="shared" ref="E80:I80" si="67">SUM(E79:E79)</f>
        <v>46.67</v>
      </c>
      <c r="F80" s="1146">
        <f t="shared" si="1"/>
        <v>-1</v>
      </c>
      <c r="G80" s="1148"/>
      <c r="H80" s="1147">
        <f t="shared" si="67"/>
        <v>0</v>
      </c>
      <c r="I80" s="1147">
        <f t="shared" si="67"/>
        <v>0</v>
      </c>
      <c r="J80" s="1721">
        <f t="shared" ref="J80" si="68">SUM(J79:J79)</f>
        <v>0</v>
      </c>
      <c r="K80" s="2193" t="e">
        <f t="shared" si="3"/>
        <v>#DIV/0!</v>
      </c>
      <c r="L80" s="1147"/>
      <c r="M80" s="1637"/>
      <c r="N80" s="1147"/>
      <c r="O80" s="1637"/>
      <c r="P80" s="3277"/>
      <c r="Q80" s="3319"/>
      <c r="R80" s="3236"/>
      <c r="S80" s="3236"/>
      <c r="T80" s="3236"/>
      <c r="U80" s="3236"/>
      <c r="V80" s="3236"/>
      <c r="W80" s="1047"/>
      <c r="X80" s="1047"/>
      <c r="Y80" s="3322"/>
      <c r="Z80" s="3323"/>
    </row>
    <row r="81" spans="1:26" s="409" customFormat="1" ht="40.950000000000003" hidden="1" customHeight="1">
      <c r="A81" s="3268" t="s">
        <v>2896</v>
      </c>
      <c r="B81" s="3278" t="s">
        <v>1267</v>
      </c>
      <c r="C81" s="3317" t="s">
        <v>1195</v>
      </c>
      <c r="D81" s="1394" t="s">
        <v>470</v>
      </c>
      <c r="E81" s="1147">
        <v>0</v>
      </c>
      <c r="F81" s="1146" t="e">
        <f t="shared" si="1"/>
        <v>#DIV/0!</v>
      </c>
      <c r="G81" s="1148"/>
      <c r="H81" s="1147">
        <v>0</v>
      </c>
      <c r="I81" s="1147">
        <v>0</v>
      </c>
      <c r="J81" s="1721">
        <v>0</v>
      </c>
      <c r="K81" s="2193" t="e">
        <f t="shared" si="3"/>
        <v>#DIV/0!</v>
      </c>
      <c r="L81" s="1147"/>
      <c r="M81" s="1637"/>
      <c r="N81" s="1147"/>
      <c r="O81" s="1637"/>
      <c r="P81" s="3277" t="s">
        <v>2342</v>
      </c>
      <c r="Q81" s="3271" t="s">
        <v>2897</v>
      </c>
      <c r="R81" s="3236" t="s">
        <v>2898</v>
      </c>
      <c r="S81" s="3236" t="s">
        <v>2899</v>
      </c>
      <c r="T81" s="3236" t="s">
        <v>433</v>
      </c>
      <c r="U81" s="3236" t="s">
        <v>433</v>
      </c>
      <c r="V81" s="3236" t="s">
        <v>324</v>
      </c>
      <c r="W81" s="1047"/>
      <c r="X81" s="1047"/>
      <c r="Y81" s="3309" t="s">
        <v>2899</v>
      </c>
      <c r="Z81" s="3310"/>
    </row>
    <row r="82" spans="1:26" s="409" customFormat="1" ht="31.5" hidden="1" customHeight="1">
      <c r="A82" s="3268"/>
      <c r="B82" s="3278"/>
      <c r="C82" s="3317"/>
      <c r="D82" s="1154" t="s">
        <v>1067</v>
      </c>
      <c r="E82" s="1147">
        <f t="shared" ref="E82:I82" si="69">SUM(E81:E81)</f>
        <v>0</v>
      </c>
      <c r="F82" s="1146" t="e">
        <f t="shared" si="1"/>
        <v>#DIV/0!</v>
      </c>
      <c r="G82" s="1148"/>
      <c r="H82" s="1147">
        <f t="shared" si="69"/>
        <v>0</v>
      </c>
      <c r="I82" s="1147">
        <f t="shared" si="69"/>
        <v>0</v>
      </c>
      <c r="J82" s="1721">
        <f t="shared" ref="J82" si="70">SUM(J81:J81)</f>
        <v>0</v>
      </c>
      <c r="K82" s="2193" t="e">
        <f t="shared" si="3"/>
        <v>#DIV/0!</v>
      </c>
      <c r="L82" s="1147"/>
      <c r="M82" s="1637"/>
      <c r="N82" s="1147"/>
      <c r="O82" s="1637"/>
      <c r="P82" s="3277"/>
      <c r="Q82" s="3272"/>
      <c r="R82" s="3236"/>
      <c r="S82" s="3236"/>
      <c r="T82" s="3236"/>
      <c r="U82" s="3236"/>
      <c r="V82" s="3236"/>
      <c r="W82" s="1047"/>
      <c r="X82" s="1047"/>
      <c r="Y82" s="3311"/>
      <c r="Z82" s="3312"/>
    </row>
    <row r="83" spans="1:26" s="409" customFormat="1" ht="55.2" hidden="1" customHeight="1">
      <c r="A83" s="3268" t="s">
        <v>2900</v>
      </c>
      <c r="B83" s="3269" t="s">
        <v>1268</v>
      </c>
      <c r="C83" s="3270">
        <v>188711925</v>
      </c>
      <c r="D83" s="1395" t="s">
        <v>470</v>
      </c>
      <c r="E83" s="1147"/>
      <c r="F83" s="1146" t="e">
        <f t="shared" si="1"/>
        <v>#DIV/0!</v>
      </c>
      <c r="G83" s="1148"/>
      <c r="H83" s="1147"/>
      <c r="I83" s="1147"/>
      <c r="J83" s="1721"/>
      <c r="K83" s="2193" t="e">
        <f t="shared" si="3"/>
        <v>#DIV/0!</v>
      </c>
      <c r="L83" s="1147"/>
      <c r="M83" s="1637"/>
      <c r="N83" s="1147"/>
      <c r="O83" s="1637"/>
      <c r="P83" s="3277" t="s">
        <v>2342</v>
      </c>
      <c r="Q83" s="3271" t="s">
        <v>2901</v>
      </c>
      <c r="R83" s="3236" t="s">
        <v>2902</v>
      </c>
      <c r="S83" s="3236" t="s">
        <v>2903</v>
      </c>
      <c r="T83" s="3236" t="s">
        <v>433</v>
      </c>
      <c r="U83" s="3236" t="s">
        <v>433</v>
      </c>
      <c r="V83" s="3236" t="s">
        <v>324</v>
      </c>
      <c r="W83" s="1047"/>
      <c r="X83" s="1047"/>
      <c r="Y83" s="3311"/>
      <c r="Z83" s="3312"/>
    </row>
    <row r="84" spans="1:26" s="409" customFormat="1" ht="36" hidden="1" customHeight="1">
      <c r="A84" s="3268"/>
      <c r="B84" s="3269"/>
      <c r="C84" s="3270"/>
      <c r="D84" s="1154" t="s">
        <v>1067</v>
      </c>
      <c r="E84" s="1147">
        <f t="shared" ref="E84:I84" si="71">E83</f>
        <v>0</v>
      </c>
      <c r="F84" s="1146" t="e">
        <f t="shared" si="1"/>
        <v>#DIV/0!</v>
      </c>
      <c r="G84" s="1148"/>
      <c r="H84" s="1147">
        <f t="shared" si="71"/>
        <v>0</v>
      </c>
      <c r="I84" s="1147">
        <f t="shared" si="71"/>
        <v>0</v>
      </c>
      <c r="J84" s="1721">
        <f t="shared" ref="J84" si="72">J83</f>
        <v>0</v>
      </c>
      <c r="K84" s="2193" t="e">
        <f t="shared" si="3"/>
        <v>#DIV/0!</v>
      </c>
      <c r="L84" s="1147"/>
      <c r="M84" s="1637"/>
      <c r="N84" s="1147"/>
      <c r="O84" s="1637"/>
      <c r="P84" s="3277"/>
      <c r="Q84" s="3272"/>
      <c r="R84" s="3236"/>
      <c r="S84" s="3236"/>
      <c r="T84" s="3236"/>
      <c r="U84" s="3236"/>
      <c r="V84" s="3236"/>
      <c r="W84" s="1047"/>
      <c r="X84" s="1047"/>
      <c r="Y84" s="3311"/>
      <c r="Z84" s="3312"/>
    </row>
    <row r="85" spans="1:26" ht="38.4" hidden="1" customHeight="1">
      <c r="A85" s="3268" t="s">
        <v>2904</v>
      </c>
      <c r="B85" s="3269" t="s">
        <v>2768</v>
      </c>
      <c r="C85" s="3270">
        <v>188711925</v>
      </c>
      <c r="D85" s="1395" t="s">
        <v>246</v>
      </c>
      <c r="E85" s="1147">
        <v>8.3849999999999998</v>
      </c>
      <c r="F85" s="1146">
        <f t="shared" si="1"/>
        <v>-1</v>
      </c>
      <c r="G85" s="1148"/>
      <c r="H85" s="1147"/>
      <c r="I85" s="1147"/>
      <c r="J85" s="1721"/>
      <c r="K85" s="2193" t="e">
        <f t="shared" ref="K85:K148" si="73">(I85-H85)/H85</f>
        <v>#DIV/0!</v>
      </c>
      <c r="L85" s="1147"/>
      <c r="M85" s="1637"/>
      <c r="N85" s="1147"/>
      <c r="O85" s="1637"/>
      <c r="P85" s="3277" t="s">
        <v>2342</v>
      </c>
      <c r="Q85" s="3271" t="s">
        <v>2905</v>
      </c>
      <c r="R85" s="3236" t="s">
        <v>2906</v>
      </c>
      <c r="S85" s="3236" t="s">
        <v>2907</v>
      </c>
      <c r="T85" s="3236" t="s">
        <v>324</v>
      </c>
      <c r="U85" s="3236" t="s">
        <v>433</v>
      </c>
      <c r="V85" s="3236" t="s">
        <v>433</v>
      </c>
      <c r="W85" s="656"/>
      <c r="X85" s="656"/>
      <c r="Y85" s="3311"/>
      <c r="Z85" s="3312"/>
    </row>
    <row r="86" spans="1:26" ht="42" hidden="1" customHeight="1">
      <c r="A86" s="3268"/>
      <c r="B86" s="3269"/>
      <c r="C86" s="3270"/>
      <c r="D86" s="1154" t="s">
        <v>1067</v>
      </c>
      <c r="E86" s="1147">
        <f t="shared" ref="E86:I86" si="74">E85</f>
        <v>8.3849999999999998</v>
      </c>
      <c r="F86" s="1146">
        <f t="shared" si="1"/>
        <v>-1</v>
      </c>
      <c r="G86" s="1148"/>
      <c r="H86" s="1147">
        <f t="shared" si="74"/>
        <v>0</v>
      </c>
      <c r="I86" s="1147">
        <f t="shared" si="74"/>
        <v>0</v>
      </c>
      <c r="J86" s="1721">
        <f t="shared" ref="J86" si="75">J85</f>
        <v>0</v>
      </c>
      <c r="K86" s="2193" t="e">
        <f t="shared" si="73"/>
        <v>#DIV/0!</v>
      </c>
      <c r="L86" s="1147"/>
      <c r="M86" s="1637"/>
      <c r="N86" s="1147"/>
      <c r="O86" s="1637"/>
      <c r="P86" s="3277"/>
      <c r="Q86" s="3272"/>
      <c r="R86" s="3236"/>
      <c r="S86" s="3236"/>
      <c r="T86" s="3236"/>
      <c r="U86" s="3236"/>
      <c r="V86" s="3236"/>
      <c r="W86" s="656"/>
      <c r="X86" s="656"/>
      <c r="Y86" s="3313"/>
      <c r="Z86" s="3314"/>
    </row>
    <row r="87" spans="1:26" ht="36" customHeight="1">
      <c r="A87" s="2879" t="s">
        <v>2908</v>
      </c>
      <c r="B87" s="2699" t="s">
        <v>2769</v>
      </c>
      <c r="C87" s="2719">
        <v>188711925</v>
      </c>
      <c r="D87" s="706" t="s">
        <v>2747</v>
      </c>
      <c r="E87" s="722">
        <v>247.92</v>
      </c>
      <c r="F87" s="1137">
        <f t="shared" si="1"/>
        <v>-0.14286866731203607</v>
      </c>
      <c r="G87" s="1110">
        <v>212.5</v>
      </c>
      <c r="H87" s="722">
        <v>212.5</v>
      </c>
      <c r="I87" s="722">
        <v>212.5</v>
      </c>
      <c r="J87" s="1557"/>
      <c r="K87" s="2189">
        <f>(I88-H87)/H87</f>
        <v>-1</v>
      </c>
      <c r="L87" s="722"/>
      <c r="M87" s="1496"/>
      <c r="N87" s="722"/>
      <c r="O87" s="1496"/>
      <c r="P87" s="2729" t="s">
        <v>835</v>
      </c>
      <c r="Q87" s="2704" t="s">
        <v>3498</v>
      </c>
      <c r="R87" s="2694" t="s">
        <v>2909</v>
      </c>
      <c r="S87" s="2694" t="s">
        <v>3768</v>
      </c>
      <c r="T87" s="2694" t="s">
        <v>433</v>
      </c>
      <c r="U87" s="2694" t="s">
        <v>433</v>
      </c>
      <c r="V87" s="2694" t="s">
        <v>433</v>
      </c>
      <c r="W87" s="2694" t="s">
        <v>433</v>
      </c>
      <c r="X87" s="2694" t="s">
        <v>433</v>
      </c>
      <c r="Y87" s="3286" t="s">
        <v>2910</v>
      </c>
      <c r="Z87" s="3287"/>
    </row>
    <row r="88" spans="1:26" ht="36" customHeight="1">
      <c r="A88" s="2879"/>
      <c r="B88" s="2699"/>
      <c r="C88" s="2719"/>
      <c r="D88" s="706" t="s">
        <v>470</v>
      </c>
      <c r="E88" s="722"/>
      <c r="F88" s="1137"/>
      <c r="G88" s="1110"/>
      <c r="H88" s="722"/>
      <c r="I88" s="1818"/>
      <c r="J88" s="1557">
        <v>212.5</v>
      </c>
      <c r="K88" s="2189"/>
      <c r="L88" s="722">
        <v>1400</v>
      </c>
      <c r="M88" s="1496">
        <v>1400</v>
      </c>
      <c r="N88" s="722">
        <v>1250</v>
      </c>
      <c r="O88" s="1496">
        <v>1250</v>
      </c>
      <c r="P88" s="2729"/>
      <c r="Q88" s="2704"/>
      <c r="R88" s="2694"/>
      <c r="S88" s="2694"/>
      <c r="T88" s="2694"/>
      <c r="U88" s="2694"/>
      <c r="V88" s="2694"/>
      <c r="W88" s="2694"/>
      <c r="X88" s="2694"/>
      <c r="Y88" s="3237"/>
      <c r="Z88" s="3238"/>
    </row>
    <row r="89" spans="1:26" ht="39.75" customHeight="1">
      <c r="A89" s="2879"/>
      <c r="B89" s="2699"/>
      <c r="C89" s="2719"/>
      <c r="D89" s="725" t="s">
        <v>1067</v>
      </c>
      <c r="E89" s="728">
        <f>E87</f>
        <v>247.92</v>
      </c>
      <c r="F89" s="1141">
        <f t="shared" si="1"/>
        <v>-0.14286866731203607</v>
      </c>
      <c r="G89" s="1143">
        <f>G87</f>
        <v>212.5</v>
      </c>
      <c r="H89" s="728">
        <f t="shared" ref="H89" si="76">H87</f>
        <v>212.5</v>
      </c>
      <c r="I89" s="728">
        <f>I87+I88</f>
        <v>212.5</v>
      </c>
      <c r="J89" s="1558">
        <f>J87+J88</f>
        <v>212.5</v>
      </c>
      <c r="K89" s="2190">
        <f t="shared" si="73"/>
        <v>0</v>
      </c>
      <c r="L89" s="728">
        <f>L88+L87</f>
        <v>1400</v>
      </c>
      <c r="M89" s="1464">
        <f>M88+M87</f>
        <v>1400</v>
      </c>
      <c r="N89" s="728">
        <f>N88+N87</f>
        <v>1250</v>
      </c>
      <c r="O89" s="1464">
        <f>O88+O87</f>
        <v>1250</v>
      </c>
      <c r="P89" s="2729"/>
      <c r="Q89" s="2734"/>
      <c r="R89" s="2694"/>
      <c r="S89" s="2694"/>
      <c r="T89" s="2694"/>
      <c r="U89" s="2694"/>
      <c r="V89" s="2694"/>
      <c r="W89" s="2694"/>
      <c r="X89" s="2694"/>
      <c r="Y89" s="3239"/>
      <c r="Z89" s="3240"/>
    </row>
    <row r="90" spans="1:26" ht="59.25" customHeight="1">
      <c r="A90" s="697" t="s">
        <v>2911</v>
      </c>
      <c r="B90" s="663" t="s">
        <v>2081</v>
      </c>
      <c r="C90" s="697"/>
      <c r="D90" s="697"/>
      <c r="E90" s="746">
        <f>SUM(E96,E122,E128,E134,E140,E143,E145,E155)</f>
        <v>552</v>
      </c>
      <c r="F90" s="1135">
        <f t="shared" si="1"/>
        <v>1.7418079710144929</v>
      </c>
      <c r="G90" s="1136">
        <f t="shared" ref="G90:O90" si="77">SUM(G96,G122,G128,G134,G140,G143,G145,G155)</f>
        <v>453.05799999999999</v>
      </c>
      <c r="H90" s="746">
        <f t="shared" si="77"/>
        <v>1513.4780000000001</v>
      </c>
      <c r="I90" s="746">
        <f>SUM(I96,I122,I128,I134,I140,I143,I145,I155,I166)</f>
        <v>1363.713</v>
      </c>
      <c r="J90" s="746">
        <f t="shared" ref="J90:N90" si="78">SUM(J96,J122,J128,J134,J140,J143,J145,J155,J166)</f>
        <v>1293.713</v>
      </c>
      <c r="K90" s="746" t="e">
        <f t="shared" si="78"/>
        <v>#DIV/0!</v>
      </c>
      <c r="L90" s="746">
        <f t="shared" si="78"/>
        <v>2736.5770000000002</v>
      </c>
      <c r="M90" s="746">
        <f t="shared" si="78"/>
        <v>2736.5770000000002</v>
      </c>
      <c r="N90" s="746">
        <f t="shared" si="78"/>
        <v>819.93399999999997</v>
      </c>
      <c r="O90" s="1497">
        <f t="shared" si="77"/>
        <v>819.93399999999997</v>
      </c>
      <c r="P90" s="179" t="s">
        <v>842</v>
      </c>
      <c r="Q90" s="697"/>
      <c r="R90" s="697" t="s">
        <v>2912</v>
      </c>
      <c r="S90" s="663" t="s">
        <v>2913</v>
      </c>
      <c r="T90" s="697">
        <v>72</v>
      </c>
      <c r="U90" s="697">
        <v>55</v>
      </c>
      <c r="V90" s="697">
        <v>54</v>
      </c>
      <c r="W90" s="697">
        <v>54</v>
      </c>
      <c r="X90" s="697">
        <v>54</v>
      </c>
      <c r="Y90" s="3294" t="s">
        <v>2913</v>
      </c>
      <c r="Z90" s="3295"/>
    </row>
    <row r="91" spans="1:26" ht="30.75" customHeight="1">
      <c r="A91" s="2879" t="s">
        <v>2914</v>
      </c>
      <c r="B91" s="2695" t="s">
        <v>2285</v>
      </c>
      <c r="C91" s="2723" t="s">
        <v>1195</v>
      </c>
      <c r="D91" s="719" t="s">
        <v>246</v>
      </c>
      <c r="E91" s="722">
        <f>SUM(E97,E102)</f>
        <v>86.4</v>
      </c>
      <c r="F91" s="1137"/>
      <c r="G91" s="1110"/>
      <c r="H91" s="722">
        <f>SUM(H97,H102)</f>
        <v>0</v>
      </c>
      <c r="I91" s="722"/>
      <c r="J91" s="1557"/>
      <c r="K91" s="2189"/>
      <c r="L91" s="722"/>
      <c r="M91" s="1496"/>
      <c r="N91" s="722"/>
      <c r="O91" s="1496"/>
      <c r="P91" s="2729" t="s">
        <v>2915</v>
      </c>
      <c r="Q91" s="2704" t="s">
        <v>4254</v>
      </c>
      <c r="R91" s="2694" t="s">
        <v>2916</v>
      </c>
      <c r="S91" s="2694" t="s">
        <v>4255</v>
      </c>
      <c r="T91" s="2695"/>
      <c r="U91" s="2695" t="s">
        <v>433</v>
      </c>
      <c r="V91" s="2694" t="s">
        <v>1315</v>
      </c>
      <c r="W91" s="2694" t="s">
        <v>392</v>
      </c>
      <c r="X91" s="2694" t="s">
        <v>1332</v>
      </c>
      <c r="Y91" s="3286" t="s">
        <v>2917</v>
      </c>
      <c r="Z91" s="3287"/>
    </row>
    <row r="92" spans="1:26" ht="32.25" hidden="1" customHeight="1">
      <c r="A92" s="2879"/>
      <c r="B92" s="2695"/>
      <c r="C92" s="2723"/>
      <c r="D92" s="719" t="s">
        <v>412</v>
      </c>
      <c r="E92" s="722"/>
      <c r="F92" s="1137"/>
      <c r="G92" s="1110"/>
      <c r="H92" s="722"/>
      <c r="I92" s="722"/>
      <c r="J92" s="1557"/>
      <c r="K92" s="2189" t="e">
        <f t="shared" si="73"/>
        <v>#DIV/0!</v>
      </c>
      <c r="L92" s="722"/>
      <c r="M92" s="1496"/>
      <c r="N92" s="722"/>
      <c r="O92" s="1496"/>
      <c r="P92" s="2729"/>
      <c r="Q92" s="2704"/>
      <c r="R92" s="2694"/>
      <c r="S92" s="2694"/>
      <c r="T92" s="2695"/>
      <c r="U92" s="2695"/>
      <c r="V92" s="2694"/>
      <c r="W92" s="2694"/>
      <c r="X92" s="2694"/>
      <c r="Y92" s="3237"/>
      <c r="Z92" s="3238"/>
    </row>
    <row r="93" spans="1:26" ht="30.75" customHeight="1">
      <c r="A93" s="2879"/>
      <c r="B93" s="2695"/>
      <c r="C93" s="2723"/>
      <c r="D93" s="719" t="s">
        <v>2747</v>
      </c>
      <c r="E93" s="722">
        <f>SUM(E99,E104)</f>
        <v>21.6</v>
      </c>
      <c r="F93" s="1137"/>
      <c r="G93" s="1110"/>
      <c r="H93" s="722">
        <v>20</v>
      </c>
      <c r="I93" s="722">
        <v>99.76</v>
      </c>
      <c r="J93" s="1557"/>
      <c r="K93" s="2189">
        <f>(I94-H93)/H93</f>
        <v>-1</v>
      </c>
      <c r="L93" s="722"/>
      <c r="M93" s="1496"/>
      <c r="N93" s="722"/>
      <c r="O93" s="1496"/>
      <c r="P93" s="2729"/>
      <c r="Q93" s="2704"/>
      <c r="R93" s="2694"/>
      <c r="S93" s="2694"/>
      <c r="T93" s="2695"/>
      <c r="U93" s="2695"/>
      <c r="V93" s="2694"/>
      <c r="W93" s="2694"/>
      <c r="X93" s="2694"/>
      <c r="Y93" s="3237"/>
      <c r="Z93" s="3238"/>
    </row>
    <row r="94" spans="1:26" ht="27.75" customHeight="1">
      <c r="A94" s="2879"/>
      <c r="B94" s="2695"/>
      <c r="C94" s="2723"/>
      <c r="D94" s="719" t="s">
        <v>470</v>
      </c>
      <c r="E94" s="722"/>
      <c r="F94" s="1137"/>
      <c r="G94" s="1179"/>
      <c r="H94" s="722"/>
      <c r="I94" s="722"/>
      <c r="J94" s="1557">
        <v>104.76</v>
      </c>
      <c r="K94" s="2189"/>
      <c r="L94" s="722">
        <v>323.089</v>
      </c>
      <c r="M94" s="1496">
        <v>323.089</v>
      </c>
      <c r="N94" s="722">
        <v>500</v>
      </c>
      <c r="O94" s="1496">
        <v>500</v>
      </c>
      <c r="P94" s="2729"/>
      <c r="Q94" s="2704"/>
      <c r="R94" s="2694"/>
      <c r="S94" s="2694"/>
      <c r="T94" s="2695"/>
      <c r="U94" s="2695"/>
      <c r="V94" s="2694"/>
      <c r="W94" s="2694"/>
      <c r="X94" s="2694"/>
      <c r="Y94" s="3237"/>
      <c r="Z94" s="3238"/>
    </row>
    <row r="95" spans="1:26" ht="27.75" customHeight="1">
      <c r="A95" s="2879"/>
      <c r="B95" s="2695"/>
      <c r="C95" s="2723"/>
      <c r="D95" s="719" t="s">
        <v>1358</v>
      </c>
      <c r="E95" s="722"/>
      <c r="F95" s="1137"/>
      <c r="G95" s="1179"/>
      <c r="H95" s="722"/>
      <c r="I95" s="722"/>
      <c r="J95" s="1557"/>
      <c r="K95" s="2189"/>
      <c r="L95" s="722"/>
      <c r="M95" s="1496"/>
      <c r="N95" s="722"/>
      <c r="O95" s="1496"/>
      <c r="P95" s="2729"/>
      <c r="Q95" s="2704"/>
      <c r="R95" s="2694"/>
      <c r="S95" s="2694"/>
      <c r="T95" s="2695"/>
      <c r="U95" s="2695"/>
      <c r="V95" s="2694"/>
      <c r="W95" s="2694"/>
      <c r="X95" s="2694"/>
      <c r="Y95" s="3237"/>
      <c r="Z95" s="3238"/>
    </row>
    <row r="96" spans="1:26" ht="32.25" customHeight="1">
      <c r="A96" s="2879"/>
      <c r="B96" s="2695"/>
      <c r="C96" s="2723"/>
      <c r="D96" s="725" t="s">
        <v>1067</v>
      </c>
      <c r="E96" s="728">
        <f>SUM(E91:E93)</f>
        <v>108</v>
      </c>
      <c r="F96" s="1141"/>
      <c r="G96" s="1143">
        <f>SUM(G91,G92,G93,G94,)</f>
        <v>0</v>
      </c>
      <c r="H96" s="728">
        <f t="shared" ref="H96" si="79">SUM(H91,H92,H93,H94,)</f>
        <v>20</v>
      </c>
      <c r="I96" s="728">
        <f>SUM(I91,I92,I93,I94,)</f>
        <v>99.76</v>
      </c>
      <c r="J96" s="1558">
        <f>SUM(J91,J92,J93,J94,)</f>
        <v>104.76</v>
      </c>
      <c r="K96" s="2190">
        <f t="shared" si="73"/>
        <v>3.9880000000000004</v>
      </c>
      <c r="L96" s="728">
        <f>SUM(L91,L92,L93,L94:L95,)</f>
        <v>323.089</v>
      </c>
      <c r="M96" s="1464">
        <f>SUM(M91,M92,M93,M94:M95,)</f>
        <v>323.089</v>
      </c>
      <c r="N96" s="728">
        <f>SUM(N91,N92,N93,N94:N95,)</f>
        <v>500</v>
      </c>
      <c r="O96" s="1464">
        <f>SUM(O91,O92,O93,O94:O95,)</f>
        <v>500</v>
      </c>
      <c r="P96" s="2729"/>
      <c r="Q96" s="2734"/>
      <c r="R96" s="2694"/>
      <c r="S96" s="2694"/>
      <c r="T96" s="2695"/>
      <c r="U96" s="2695"/>
      <c r="V96" s="2694"/>
      <c r="W96" s="2694"/>
      <c r="X96" s="2694"/>
      <c r="Y96" s="3239"/>
      <c r="Z96" s="3240"/>
    </row>
    <row r="97" spans="1:31" s="409" customFormat="1" ht="21" hidden="1" customHeight="1">
      <c r="A97" s="3303" t="s">
        <v>2918</v>
      </c>
      <c r="B97" s="3304" t="s">
        <v>3091</v>
      </c>
      <c r="C97" s="3305">
        <v>188711925</v>
      </c>
      <c r="D97" s="1155" t="s">
        <v>246</v>
      </c>
      <c r="E97" s="1156">
        <f>108*80%</f>
        <v>86.4</v>
      </c>
      <c r="F97" s="1157"/>
      <c r="G97" s="1032">
        <v>100</v>
      </c>
      <c r="H97" s="1156"/>
      <c r="I97" s="1156">
        <v>819.85799999999995</v>
      </c>
      <c r="J97" s="1722">
        <v>819.85799999999995</v>
      </c>
      <c r="K97" s="2193" t="e">
        <f t="shared" si="73"/>
        <v>#DIV/0!</v>
      </c>
      <c r="L97" s="1156">
        <v>1612.356</v>
      </c>
      <c r="M97" s="1638">
        <v>1612.356</v>
      </c>
      <c r="N97" s="1156">
        <v>1612.356</v>
      </c>
      <c r="O97" s="1638">
        <v>1612.356</v>
      </c>
      <c r="P97" s="1398"/>
      <c r="Q97" s="3306" t="s">
        <v>3215</v>
      </c>
      <c r="R97" s="3308" t="s">
        <v>2919</v>
      </c>
      <c r="S97" s="3308" t="s">
        <v>2917</v>
      </c>
      <c r="T97" s="3375"/>
      <c r="U97" s="3375"/>
      <c r="V97" s="3375"/>
      <c r="W97" s="3375"/>
      <c r="X97" s="3374"/>
      <c r="Y97" s="418" t="s">
        <v>2920</v>
      </c>
      <c r="Z97" s="417" t="s">
        <v>2917</v>
      </c>
    </row>
    <row r="98" spans="1:31" s="409" customFormat="1" ht="21" hidden="1" customHeight="1">
      <c r="A98" s="3303"/>
      <c r="B98" s="3304"/>
      <c r="C98" s="3305"/>
      <c r="D98" s="1155" t="s">
        <v>412</v>
      </c>
      <c r="E98" s="1155"/>
      <c r="F98" s="1157"/>
      <c r="G98" s="1159"/>
      <c r="H98" s="1155"/>
      <c r="I98" s="1155"/>
      <c r="J98" s="1723"/>
      <c r="K98" s="2193" t="e">
        <f t="shared" si="73"/>
        <v>#DIV/0!</v>
      </c>
      <c r="L98" s="1155"/>
      <c r="M98" s="1734"/>
      <c r="N98" s="1155"/>
      <c r="O98" s="1734"/>
      <c r="P98" s="1398"/>
      <c r="Q98" s="3306"/>
      <c r="R98" s="3308"/>
      <c r="S98" s="3308"/>
      <c r="T98" s="3375"/>
      <c r="U98" s="3375"/>
      <c r="V98" s="3375"/>
      <c r="W98" s="3375"/>
      <c r="X98" s="3374"/>
      <c r="Y98" s="419"/>
      <c r="Z98" s="420"/>
    </row>
    <row r="99" spans="1:31" s="409" customFormat="1" ht="21" hidden="1" customHeight="1">
      <c r="A99" s="3303"/>
      <c r="B99" s="3304"/>
      <c r="C99" s="3305"/>
      <c r="D99" s="1155" t="s">
        <v>3093</v>
      </c>
      <c r="E99" s="1156">
        <f>108*20%</f>
        <v>21.6</v>
      </c>
      <c r="F99" s="1157"/>
      <c r="G99" s="1032">
        <v>20</v>
      </c>
      <c r="H99" s="1156"/>
      <c r="I99" s="1156">
        <f>46.795</f>
        <v>46.795000000000002</v>
      </c>
      <c r="J99" s="1722">
        <f>46.795</f>
        <v>46.795000000000002</v>
      </c>
      <c r="K99" s="2193" t="e">
        <f t="shared" si="73"/>
        <v>#DIV/0!</v>
      </c>
      <c r="L99" s="1156">
        <v>423.089</v>
      </c>
      <c r="M99" s="1638">
        <v>423.089</v>
      </c>
      <c r="N99" s="1156">
        <v>423.089</v>
      </c>
      <c r="O99" s="1638">
        <v>423.089</v>
      </c>
      <c r="P99" s="1398"/>
      <c r="Q99" s="3306"/>
      <c r="R99" s="3308"/>
      <c r="S99" s="3308"/>
      <c r="T99" s="3375"/>
      <c r="U99" s="3375"/>
      <c r="V99" s="3375"/>
      <c r="W99" s="3375"/>
      <c r="X99" s="3374"/>
      <c r="Y99" s="419"/>
      <c r="Z99" s="420"/>
    </row>
    <row r="100" spans="1:31" s="409" customFormat="1" ht="43.5" hidden="1" customHeight="1">
      <c r="A100" s="3303"/>
      <c r="B100" s="3304"/>
      <c r="C100" s="3305"/>
      <c r="D100" s="1160" t="s">
        <v>3092</v>
      </c>
      <c r="E100" s="1156"/>
      <c r="F100" s="1157"/>
      <c r="G100" s="1032"/>
      <c r="H100" s="1156"/>
      <c r="I100" s="1156">
        <f>SUM(I110,I111,I112,I113,I116,I117,I118,I119)</f>
        <v>157.97</v>
      </c>
      <c r="J100" s="1722">
        <f>SUM(J110,J111,J112,J113,J116,J117,J118,J119)</f>
        <v>157.97</v>
      </c>
      <c r="K100" s="2193" t="e">
        <f t="shared" si="73"/>
        <v>#DIV/0!</v>
      </c>
      <c r="L100" s="1156"/>
      <c r="M100" s="1638"/>
      <c r="N100" s="1156"/>
      <c r="O100" s="1638"/>
      <c r="P100" s="1398"/>
      <c r="Q100" s="3306"/>
      <c r="R100" s="3308"/>
      <c r="S100" s="3308"/>
      <c r="T100" s="3375"/>
      <c r="U100" s="3375"/>
      <c r="V100" s="3375"/>
      <c r="W100" s="3375"/>
      <c r="X100" s="3374"/>
      <c r="Y100" s="419"/>
      <c r="Z100" s="420"/>
    </row>
    <row r="101" spans="1:31" s="409" customFormat="1" ht="230.25" hidden="1" customHeight="1">
      <c r="A101" s="3303"/>
      <c r="B101" s="3304"/>
      <c r="C101" s="3305"/>
      <c r="D101" s="1161" t="s">
        <v>1067</v>
      </c>
      <c r="E101" s="1162">
        <f>SUM(E97:E99)</f>
        <v>108</v>
      </c>
      <c r="F101" s="1157"/>
      <c r="G101" s="1032"/>
      <c r="H101" s="1162"/>
      <c r="I101" s="1162"/>
      <c r="J101" s="1724"/>
      <c r="K101" s="2193" t="e">
        <f t="shared" si="73"/>
        <v>#DIV/0!</v>
      </c>
      <c r="L101" s="1162"/>
      <c r="M101" s="1735"/>
      <c r="N101" s="1162"/>
      <c r="O101" s="1735"/>
      <c r="P101" s="1398"/>
      <c r="Q101" s="3307"/>
      <c r="R101" s="3308"/>
      <c r="S101" s="3308"/>
      <c r="T101" s="3375"/>
      <c r="U101" s="3375"/>
      <c r="V101" s="3375"/>
      <c r="W101" s="3375"/>
      <c r="X101" s="3374"/>
      <c r="Y101" s="414"/>
      <c r="Z101" s="420"/>
    </row>
    <row r="102" spans="1:31" s="409" customFormat="1" ht="21" hidden="1" customHeight="1">
      <c r="A102" s="3303" t="s">
        <v>2921</v>
      </c>
      <c r="B102" s="3304" t="s">
        <v>2278</v>
      </c>
      <c r="C102" s="3305" t="s">
        <v>1071</v>
      </c>
      <c r="D102" s="1155" t="s">
        <v>246</v>
      </c>
      <c r="E102" s="1156"/>
      <c r="F102" s="1157"/>
      <c r="G102" s="1032"/>
      <c r="H102" s="1156"/>
      <c r="I102" s="1156"/>
      <c r="J102" s="1722"/>
      <c r="K102" s="2193" t="e">
        <f t="shared" si="73"/>
        <v>#DIV/0!</v>
      </c>
      <c r="L102" s="1156"/>
      <c r="M102" s="1638"/>
      <c r="N102" s="1156"/>
      <c r="O102" s="1638"/>
      <c r="P102" s="1398"/>
      <c r="Q102" s="3306" t="s">
        <v>2922</v>
      </c>
      <c r="R102" s="3308" t="s">
        <v>2923</v>
      </c>
      <c r="S102" s="3308" t="s">
        <v>2924</v>
      </c>
      <c r="T102" s="3375"/>
      <c r="U102" s="3375"/>
      <c r="V102" s="3375" t="s">
        <v>324</v>
      </c>
      <c r="W102" s="1163"/>
      <c r="X102" s="1190"/>
      <c r="Y102" s="418" t="s">
        <v>2920</v>
      </c>
      <c r="Z102" s="417" t="s">
        <v>2917</v>
      </c>
    </row>
    <row r="103" spans="1:31" s="409" customFormat="1" ht="21" hidden="1" customHeight="1">
      <c r="A103" s="3303"/>
      <c r="B103" s="3304"/>
      <c r="C103" s="3305"/>
      <c r="D103" s="1155" t="s">
        <v>412</v>
      </c>
      <c r="E103" s="1155"/>
      <c r="F103" s="1157"/>
      <c r="G103" s="1159"/>
      <c r="H103" s="1155"/>
      <c r="I103" s="1155"/>
      <c r="J103" s="1723"/>
      <c r="K103" s="2193" t="e">
        <f t="shared" si="73"/>
        <v>#DIV/0!</v>
      </c>
      <c r="L103" s="1155"/>
      <c r="M103" s="1734"/>
      <c r="N103" s="1155"/>
      <c r="O103" s="1734"/>
      <c r="P103" s="1398"/>
      <c r="Q103" s="3306"/>
      <c r="R103" s="3308"/>
      <c r="S103" s="3308"/>
      <c r="T103" s="3375"/>
      <c r="U103" s="3375"/>
      <c r="V103" s="3375"/>
      <c r="W103" s="1163"/>
      <c r="X103" s="1190"/>
      <c r="Y103" s="419"/>
      <c r="Z103" s="420"/>
    </row>
    <row r="104" spans="1:31" s="409" customFormat="1" ht="21" hidden="1" customHeight="1">
      <c r="A104" s="3303"/>
      <c r="B104" s="3304"/>
      <c r="C104" s="3305"/>
      <c r="D104" s="1155" t="s">
        <v>470</v>
      </c>
      <c r="E104" s="1156"/>
      <c r="F104" s="1157"/>
      <c r="G104" s="1032"/>
      <c r="H104" s="1156"/>
      <c r="I104" s="1156"/>
      <c r="J104" s="1722"/>
      <c r="K104" s="2193" t="e">
        <f t="shared" si="73"/>
        <v>#DIV/0!</v>
      </c>
      <c r="L104" s="1156"/>
      <c r="M104" s="1638"/>
      <c r="N104" s="1156"/>
      <c r="O104" s="1638"/>
      <c r="P104" s="1398"/>
      <c r="Q104" s="3306"/>
      <c r="R104" s="3308"/>
      <c r="S104" s="3308"/>
      <c r="T104" s="3375"/>
      <c r="U104" s="3375"/>
      <c r="V104" s="3375"/>
      <c r="W104" s="1163"/>
      <c r="X104" s="1190"/>
      <c r="Y104" s="419"/>
      <c r="Z104" s="420"/>
    </row>
    <row r="105" spans="1:31" s="409" customFormat="1" ht="72" hidden="1" customHeight="1">
      <c r="A105" s="3303"/>
      <c r="B105" s="3304"/>
      <c r="C105" s="3305"/>
      <c r="D105" s="1161" t="s">
        <v>1067</v>
      </c>
      <c r="E105" s="1162">
        <f t="shared" ref="E105:I105" si="80">SUM(E102:E104)</f>
        <v>0</v>
      </c>
      <c r="F105" s="1157"/>
      <c r="G105" s="1032"/>
      <c r="H105" s="1162">
        <f t="shared" si="80"/>
        <v>0</v>
      </c>
      <c r="I105" s="1162">
        <f t="shared" si="80"/>
        <v>0</v>
      </c>
      <c r="J105" s="1724">
        <f t="shared" ref="J105" si="81">SUM(J102:J104)</f>
        <v>0</v>
      </c>
      <c r="K105" s="2193" t="e">
        <f t="shared" si="73"/>
        <v>#DIV/0!</v>
      </c>
      <c r="L105" s="1162"/>
      <c r="M105" s="1735"/>
      <c r="N105" s="1162"/>
      <c r="O105" s="1735"/>
      <c r="P105" s="1398"/>
      <c r="Q105" s="3306"/>
      <c r="R105" s="3308"/>
      <c r="S105" s="3308"/>
      <c r="T105" s="3375"/>
      <c r="U105" s="3375"/>
      <c r="V105" s="3375"/>
      <c r="W105" s="1163"/>
      <c r="X105" s="1190"/>
      <c r="Y105" s="414"/>
      <c r="Z105" s="420"/>
    </row>
    <row r="106" spans="1:31" s="409" customFormat="1" ht="21" hidden="1" customHeight="1">
      <c r="A106" s="3296" t="s">
        <v>3005</v>
      </c>
      <c r="B106" s="3297" t="s">
        <v>3006</v>
      </c>
      <c r="C106" s="3252" t="s">
        <v>1071</v>
      </c>
      <c r="D106" s="1164" t="s">
        <v>246</v>
      </c>
      <c r="E106" s="1042"/>
      <c r="F106" s="1165"/>
      <c r="G106" s="1041"/>
      <c r="H106" s="1042"/>
      <c r="I106" s="1042"/>
      <c r="J106" s="1725"/>
      <c r="K106" s="2193" t="e">
        <f t="shared" si="73"/>
        <v>#DIV/0!</v>
      </c>
      <c r="L106" s="1042"/>
      <c r="M106" s="1736"/>
      <c r="N106" s="1042"/>
      <c r="O106" s="1736"/>
      <c r="P106" s="1399"/>
      <c r="Q106" s="3299" t="s">
        <v>2922</v>
      </c>
      <c r="R106" s="3301" t="s">
        <v>2923</v>
      </c>
      <c r="S106" s="3301" t="s">
        <v>2924</v>
      </c>
      <c r="T106" s="3302"/>
      <c r="U106" s="3302"/>
      <c r="V106" s="3302" t="s">
        <v>324</v>
      </c>
      <c r="W106" s="3302"/>
      <c r="X106" s="3302"/>
      <c r="Y106" s="424" t="s">
        <v>2920</v>
      </c>
      <c r="Z106" s="423" t="s">
        <v>2917</v>
      </c>
    </row>
    <row r="107" spans="1:31" s="409" customFormat="1" ht="21" hidden="1" customHeight="1">
      <c r="A107" s="3296"/>
      <c r="B107" s="3298"/>
      <c r="C107" s="3252"/>
      <c r="D107" s="1164" t="s">
        <v>412</v>
      </c>
      <c r="E107" s="1164"/>
      <c r="F107" s="1165"/>
      <c r="G107" s="1166"/>
      <c r="H107" s="1164"/>
      <c r="I107" s="1164"/>
      <c r="J107" s="1726"/>
      <c r="K107" s="2193" t="e">
        <f t="shared" si="73"/>
        <v>#DIV/0!</v>
      </c>
      <c r="L107" s="1164"/>
      <c r="M107" s="1737"/>
      <c r="N107" s="1164"/>
      <c r="O107" s="1737"/>
      <c r="P107" s="1399"/>
      <c r="Q107" s="3299"/>
      <c r="R107" s="3301"/>
      <c r="S107" s="3301"/>
      <c r="T107" s="3302"/>
      <c r="U107" s="3302"/>
      <c r="V107" s="3302"/>
      <c r="W107" s="3302"/>
      <c r="X107" s="3302"/>
      <c r="Y107" s="425"/>
      <c r="Z107" s="426"/>
    </row>
    <row r="108" spans="1:31" s="409" customFormat="1" ht="21" hidden="1" customHeight="1">
      <c r="A108" s="3296"/>
      <c r="B108" s="3298"/>
      <c r="C108" s="3252"/>
      <c r="D108" s="1164" t="s">
        <v>470</v>
      </c>
      <c r="E108" s="1042"/>
      <c r="F108" s="1165"/>
      <c r="G108" s="1041">
        <f>SUM(G110,G111,G112,G113,G114,G115,G116,G117,G118,G119)</f>
        <v>4</v>
      </c>
      <c r="H108" s="1042"/>
      <c r="I108" s="1042"/>
      <c r="J108" s="1725"/>
      <c r="K108" s="2193" t="e">
        <f t="shared" si="73"/>
        <v>#DIV/0!</v>
      </c>
      <c r="L108" s="1042"/>
      <c r="M108" s="1736"/>
      <c r="N108" s="1042"/>
      <c r="O108" s="1736"/>
      <c r="P108" s="1399"/>
      <c r="Q108" s="3299"/>
      <c r="R108" s="3301"/>
      <c r="S108" s="3301"/>
      <c r="T108" s="3302"/>
      <c r="U108" s="3302"/>
      <c r="V108" s="3302"/>
      <c r="W108" s="3302"/>
      <c r="X108" s="3302"/>
      <c r="Y108" s="425"/>
      <c r="Z108" s="426"/>
    </row>
    <row r="109" spans="1:31" s="409" customFormat="1" ht="20.399999999999999" hidden="1" customHeight="1">
      <c r="A109" s="3296"/>
      <c r="B109" s="3298"/>
      <c r="C109" s="3252"/>
      <c r="D109" s="1400" t="s">
        <v>1067</v>
      </c>
      <c r="E109" s="1167">
        <f t="shared" ref="E109" si="82">SUM(E106:E108)</f>
        <v>0</v>
      </c>
      <c r="F109" s="1165"/>
      <c r="G109" s="1041"/>
      <c r="H109" s="1167"/>
      <c r="I109" s="1167"/>
      <c r="J109" s="1727"/>
      <c r="K109" s="2193" t="e">
        <f t="shared" si="73"/>
        <v>#DIV/0!</v>
      </c>
      <c r="L109" s="1167"/>
      <c r="M109" s="1738"/>
      <c r="N109" s="1167"/>
      <c r="O109" s="1738"/>
      <c r="P109" s="1399"/>
      <c r="Q109" s="3300"/>
      <c r="R109" s="3301"/>
      <c r="S109" s="3301"/>
      <c r="T109" s="3302"/>
      <c r="U109" s="3302"/>
      <c r="V109" s="3302"/>
      <c r="W109" s="3302"/>
      <c r="X109" s="3302"/>
      <c r="Y109" s="427"/>
      <c r="Z109" s="426"/>
    </row>
    <row r="110" spans="1:31" s="409" customFormat="1" ht="51.6" hidden="1" customHeight="1">
      <c r="A110" s="1168" t="s">
        <v>3005</v>
      </c>
      <c r="B110" s="1169" t="s">
        <v>2995</v>
      </c>
      <c r="C110" s="1170"/>
      <c r="D110" s="1171"/>
      <c r="E110" s="1172"/>
      <c r="F110" s="1165"/>
      <c r="G110" s="1173">
        <v>0</v>
      </c>
      <c r="H110" s="1172"/>
      <c r="I110" s="1172">
        <v>60</v>
      </c>
      <c r="J110" s="1571">
        <v>60</v>
      </c>
      <c r="K110" s="2192" t="e">
        <f t="shared" si="73"/>
        <v>#DIV/0!</v>
      </c>
      <c r="L110" s="1172" t="s">
        <v>2522</v>
      </c>
      <c r="M110" s="1739" t="s">
        <v>2522</v>
      </c>
      <c r="N110" s="1172" t="s">
        <v>2522</v>
      </c>
      <c r="O110" s="1739" t="s">
        <v>2522</v>
      </c>
      <c r="P110" s="1401"/>
      <c r="Q110" s="1402"/>
      <c r="R110" s="1403"/>
      <c r="S110" s="1403"/>
      <c r="T110" s="1174"/>
      <c r="U110" s="1174"/>
      <c r="V110" s="1174"/>
      <c r="W110" s="1174"/>
      <c r="X110" s="1703"/>
      <c r="Y110" s="421"/>
      <c r="Z110" s="422"/>
    </row>
    <row r="111" spans="1:31" s="409" customFormat="1" ht="37.200000000000003" hidden="1" customHeight="1">
      <c r="A111" s="1168"/>
      <c r="B111" s="1169" t="s">
        <v>2996</v>
      </c>
      <c r="C111" s="1170"/>
      <c r="D111" s="1171"/>
      <c r="E111" s="1172"/>
      <c r="F111" s="1165"/>
      <c r="G111" s="1173">
        <v>0</v>
      </c>
      <c r="H111" s="1172"/>
      <c r="I111" s="1172">
        <v>30</v>
      </c>
      <c r="J111" s="1571">
        <v>30</v>
      </c>
      <c r="K111" s="2192" t="e">
        <f t="shared" si="73"/>
        <v>#DIV/0!</v>
      </c>
      <c r="L111" s="1172"/>
      <c r="M111" s="1739"/>
      <c r="N111" s="1172"/>
      <c r="O111" s="1739"/>
      <c r="P111" s="1401"/>
      <c r="Q111" s="1402"/>
      <c r="R111" s="1403"/>
      <c r="S111" s="1403"/>
      <c r="T111" s="1174"/>
      <c r="U111" s="1174"/>
      <c r="V111" s="1174"/>
      <c r="W111" s="1174"/>
      <c r="X111" s="1703"/>
      <c r="Y111" s="421"/>
      <c r="Z111" s="422"/>
      <c r="AE111" s="477">
        <f>I110+I111+I112+I113+I116+I117+I118+I119</f>
        <v>157.97</v>
      </c>
    </row>
    <row r="112" spans="1:31" s="409" customFormat="1" ht="30" hidden="1" customHeight="1">
      <c r="A112" s="1168"/>
      <c r="B112" s="1169" t="s">
        <v>2997</v>
      </c>
      <c r="C112" s="1170"/>
      <c r="D112" s="1171"/>
      <c r="E112" s="1172"/>
      <c r="F112" s="1165"/>
      <c r="G112" s="1173">
        <v>0</v>
      </c>
      <c r="H112" s="1172"/>
      <c r="I112" s="1172">
        <v>20</v>
      </c>
      <c r="J112" s="1571">
        <v>20</v>
      </c>
      <c r="K112" s="2192" t="e">
        <f t="shared" si="73"/>
        <v>#DIV/0!</v>
      </c>
      <c r="L112" s="1172"/>
      <c r="M112" s="1739"/>
      <c r="N112" s="1172"/>
      <c r="O112" s="1739"/>
      <c r="P112" s="1401"/>
      <c r="Q112" s="1402"/>
      <c r="R112" s="1403"/>
      <c r="S112" s="1403"/>
      <c r="T112" s="1174"/>
      <c r="U112" s="1174"/>
      <c r="V112" s="1174"/>
      <c r="W112" s="1174"/>
      <c r="X112" s="1703"/>
      <c r="Y112" s="421"/>
      <c r="Z112" s="422"/>
    </row>
    <row r="113" spans="1:26" s="409" customFormat="1" ht="28.95" hidden="1" customHeight="1">
      <c r="A113" s="1168"/>
      <c r="B113" s="1169" t="s">
        <v>2998</v>
      </c>
      <c r="C113" s="1170"/>
      <c r="D113" s="1171"/>
      <c r="E113" s="1172"/>
      <c r="F113" s="1165"/>
      <c r="G113" s="1173">
        <v>0</v>
      </c>
      <c r="H113" s="1172"/>
      <c r="I113" s="1172">
        <v>30</v>
      </c>
      <c r="J113" s="1571">
        <v>30</v>
      </c>
      <c r="K113" s="2192" t="e">
        <f t="shared" si="73"/>
        <v>#DIV/0!</v>
      </c>
      <c r="L113" s="1172"/>
      <c r="M113" s="1739"/>
      <c r="N113" s="1172"/>
      <c r="O113" s="1739"/>
      <c r="P113" s="1401"/>
      <c r="Q113" s="1402"/>
      <c r="R113" s="1403"/>
      <c r="S113" s="1403"/>
      <c r="T113" s="1174"/>
      <c r="U113" s="1174"/>
      <c r="V113" s="1174"/>
      <c r="W113" s="1174"/>
      <c r="X113" s="1703"/>
      <c r="Y113" s="421"/>
      <c r="Z113" s="422"/>
    </row>
    <row r="114" spans="1:26" s="409" customFormat="1" ht="39" hidden="1" customHeight="1">
      <c r="A114" s="1168"/>
      <c r="B114" s="1169" t="s">
        <v>2999</v>
      </c>
      <c r="C114" s="1170"/>
      <c r="D114" s="1171"/>
      <c r="E114" s="1172"/>
      <c r="F114" s="1165"/>
      <c r="G114" s="1173">
        <v>2</v>
      </c>
      <c r="H114" s="1172"/>
      <c r="I114" s="1172"/>
      <c r="J114" s="1571"/>
      <c r="K114" s="2192" t="e">
        <f t="shared" si="73"/>
        <v>#DIV/0!</v>
      </c>
      <c r="L114" s="1172"/>
      <c r="M114" s="1739"/>
      <c r="N114" s="1172"/>
      <c r="O114" s="1739"/>
      <c r="P114" s="1401"/>
      <c r="Q114" s="1402"/>
      <c r="R114" s="1403"/>
      <c r="S114" s="1403"/>
      <c r="T114" s="1174"/>
      <c r="U114" s="1174"/>
      <c r="V114" s="1174"/>
      <c r="W114" s="1174"/>
      <c r="X114" s="1703"/>
      <c r="Y114" s="421"/>
      <c r="Z114" s="422"/>
    </row>
    <row r="115" spans="1:26" s="409" customFormat="1" ht="58.95" hidden="1" customHeight="1">
      <c r="A115" s="1168"/>
      <c r="B115" s="1169" t="s">
        <v>3000</v>
      </c>
      <c r="C115" s="1170"/>
      <c r="D115" s="1171"/>
      <c r="E115" s="1172"/>
      <c r="F115" s="1165"/>
      <c r="G115" s="1173">
        <v>2</v>
      </c>
      <c r="H115" s="1172"/>
      <c r="I115" s="1172"/>
      <c r="J115" s="1571"/>
      <c r="K115" s="2192" t="e">
        <f t="shared" si="73"/>
        <v>#DIV/0!</v>
      </c>
      <c r="L115" s="1172"/>
      <c r="M115" s="1739"/>
      <c r="N115" s="1172"/>
      <c r="O115" s="1739"/>
      <c r="P115" s="1401"/>
      <c r="Q115" s="1402"/>
      <c r="R115" s="1403"/>
      <c r="S115" s="1403"/>
      <c r="T115" s="1174"/>
      <c r="U115" s="1174"/>
      <c r="V115" s="1174"/>
      <c r="W115" s="1174"/>
      <c r="X115" s="1703"/>
      <c r="Y115" s="421"/>
      <c r="Z115" s="422"/>
    </row>
    <row r="116" spans="1:26" s="409" customFormat="1" ht="47.4" hidden="1" customHeight="1">
      <c r="A116" s="1168"/>
      <c r="B116" s="1169" t="s">
        <v>3001</v>
      </c>
      <c r="C116" s="1170"/>
      <c r="D116" s="1171"/>
      <c r="E116" s="1172"/>
      <c r="F116" s="1165"/>
      <c r="G116" s="1173">
        <v>0</v>
      </c>
      <c r="H116" s="1172"/>
      <c r="I116" s="1173">
        <v>2.37</v>
      </c>
      <c r="J116" s="1728">
        <v>2.37</v>
      </c>
      <c r="K116" s="2196" t="e">
        <f t="shared" si="73"/>
        <v>#DIV/0!</v>
      </c>
      <c r="L116" s="1172"/>
      <c r="M116" s="1739"/>
      <c r="N116" s="1172"/>
      <c r="O116" s="1739"/>
      <c r="P116" s="1401"/>
      <c r="Q116" s="1402"/>
      <c r="R116" s="1403"/>
      <c r="S116" s="1403"/>
      <c r="T116" s="1174"/>
      <c r="U116" s="1174"/>
      <c r="V116" s="1174"/>
      <c r="W116" s="1174"/>
      <c r="X116" s="1703"/>
      <c r="Y116" s="421"/>
      <c r="Z116" s="422"/>
    </row>
    <row r="117" spans="1:26" s="409" customFormat="1" ht="38.4" hidden="1" customHeight="1">
      <c r="A117" s="1168"/>
      <c r="B117" s="1169" t="s">
        <v>3002</v>
      </c>
      <c r="C117" s="1170"/>
      <c r="D117" s="1171"/>
      <c r="E117" s="1172"/>
      <c r="F117" s="1165"/>
      <c r="G117" s="1173">
        <v>0</v>
      </c>
      <c r="H117" s="1172"/>
      <c r="I117" s="1173">
        <v>5</v>
      </c>
      <c r="J117" s="1728">
        <v>5</v>
      </c>
      <c r="K117" s="2196" t="e">
        <f t="shared" si="73"/>
        <v>#DIV/0!</v>
      </c>
      <c r="L117" s="1172"/>
      <c r="M117" s="1739"/>
      <c r="N117" s="1172"/>
      <c r="O117" s="1739"/>
      <c r="P117" s="1401"/>
      <c r="Q117" s="1402"/>
      <c r="R117" s="1403"/>
      <c r="S117" s="1403"/>
      <c r="T117" s="1174"/>
      <c r="U117" s="1174"/>
      <c r="V117" s="1174"/>
      <c r="W117" s="1174"/>
      <c r="X117" s="1703"/>
      <c r="Y117" s="421"/>
      <c r="Z117" s="422"/>
    </row>
    <row r="118" spans="1:26" s="409" customFormat="1" ht="29.4" hidden="1" customHeight="1">
      <c r="A118" s="1168"/>
      <c r="B118" s="1169" t="s">
        <v>3003</v>
      </c>
      <c r="C118" s="1170"/>
      <c r="D118" s="1171"/>
      <c r="E118" s="1172"/>
      <c r="F118" s="1165"/>
      <c r="G118" s="1173">
        <v>0</v>
      </c>
      <c r="H118" s="1172"/>
      <c r="I118" s="1173">
        <v>5.6</v>
      </c>
      <c r="J118" s="1728">
        <v>5.6</v>
      </c>
      <c r="K118" s="2196" t="e">
        <f t="shared" si="73"/>
        <v>#DIV/0!</v>
      </c>
      <c r="L118" s="1172"/>
      <c r="M118" s="1739"/>
      <c r="N118" s="1172"/>
      <c r="O118" s="1739"/>
      <c r="P118" s="1401"/>
      <c r="Q118" s="1402"/>
      <c r="R118" s="1403"/>
      <c r="S118" s="1403"/>
      <c r="T118" s="1174"/>
      <c r="U118" s="1174"/>
      <c r="V118" s="1174"/>
      <c r="W118" s="1174"/>
      <c r="X118" s="1703"/>
      <c r="Y118" s="421"/>
      <c r="Z118" s="422"/>
    </row>
    <row r="119" spans="1:26" s="409" customFormat="1" ht="34.950000000000003" hidden="1" customHeight="1">
      <c r="A119" s="1168"/>
      <c r="B119" s="1169" t="s">
        <v>3004</v>
      </c>
      <c r="C119" s="1170"/>
      <c r="D119" s="1171"/>
      <c r="E119" s="1172"/>
      <c r="F119" s="1165"/>
      <c r="G119" s="1173">
        <v>0</v>
      </c>
      <c r="H119" s="1172"/>
      <c r="I119" s="1173">
        <v>5</v>
      </c>
      <c r="J119" s="1728">
        <v>5</v>
      </c>
      <c r="K119" s="2196" t="e">
        <f t="shared" si="73"/>
        <v>#DIV/0!</v>
      </c>
      <c r="L119" s="1172"/>
      <c r="M119" s="1739"/>
      <c r="N119" s="1172"/>
      <c r="O119" s="1739"/>
      <c r="P119" s="1401"/>
      <c r="Q119" s="1402"/>
      <c r="R119" s="1403"/>
      <c r="S119" s="1403"/>
      <c r="T119" s="1174"/>
      <c r="U119" s="1174"/>
      <c r="V119" s="1174"/>
      <c r="W119" s="1174"/>
      <c r="X119" s="1703"/>
      <c r="Y119" s="421"/>
      <c r="Z119" s="422"/>
    </row>
    <row r="120" spans="1:26" ht="35.4" customHeight="1">
      <c r="A120" s="2879" t="s">
        <v>2925</v>
      </c>
      <c r="B120" s="2695" t="s">
        <v>3761</v>
      </c>
      <c r="C120" s="2723" t="s">
        <v>1195</v>
      </c>
      <c r="D120" s="719" t="s">
        <v>48</v>
      </c>
      <c r="E120" s="722">
        <f>300-30</f>
        <v>270</v>
      </c>
      <c r="F120" s="1175">
        <f>H120/E120-1</f>
        <v>-1</v>
      </c>
      <c r="G120" s="1179">
        <v>382.428</v>
      </c>
      <c r="H120" s="722">
        <v>0</v>
      </c>
      <c r="I120" s="722">
        <v>400</v>
      </c>
      <c r="J120" s="1557">
        <v>850</v>
      </c>
      <c r="K120" s="2189">
        <f>(I120-H121)/H121</f>
        <v>-0.57556079030580842</v>
      </c>
      <c r="L120" s="722">
        <v>312.05</v>
      </c>
      <c r="M120" s="1496">
        <v>312.05</v>
      </c>
      <c r="N120" s="722"/>
      <c r="O120" s="1496"/>
      <c r="P120" s="2729" t="s">
        <v>2255</v>
      </c>
      <c r="Q120" s="2704" t="s">
        <v>4256</v>
      </c>
      <c r="R120" s="2694" t="s">
        <v>2926</v>
      </c>
      <c r="S120" s="2694" t="s">
        <v>2927</v>
      </c>
      <c r="T120" s="2694" t="s">
        <v>433</v>
      </c>
      <c r="U120" s="2694" t="s">
        <v>433</v>
      </c>
      <c r="V120" s="2694" t="s">
        <v>433</v>
      </c>
      <c r="W120" s="2694" t="s">
        <v>324</v>
      </c>
      <c r="X120" s="2694" t="s">
        <v>433</v>
      </c>
      <c r="Y120" s="3286" t="s">
        <v>2928</v>
      </c>
      <c r="Z120" s="3287"/>
    </row>
    <row r="121" spans="1:26" ht="36" customHeight="1">
      <c r="A121" s="2879"/>
      <c r="B121" s="2695"/>
      <c r="C121" s="2723"/>
      <c r="D121" s="719" t="s">
        <v>2747</v>
      </c>
      <c r="E121" s="722"/>
      <c r="F121" s="1175"/>
      <c r="G121" s="1179"/>
      <c r="H121" s="722">
        <v>942.42</v>
      </c>
      <c r="I121" s="722">
        <v>450</v>
      </c>
      <c r="J121" s="1557"/>
      <c r="K121" s="2189"/>
      <c r="L121" s="722"/>
      <c r="M121" s="1496"/>
      <c r="N121" s="722"/>
      <c r="O121" s="1496"/>
      <c r="P121" s="2729"/>
      <c r="Q121" s="2704"/>
      <c r="R121" s="2694"/>
      <c r="S121" s="2694"/>
      <c r="T121" s="2694"/>
      <c r="U121" s="2694"/>
      <c r="V121" s="2694"/>
      <c r="W121" s="2694"/>
      <c r="X121" s="2694"/>
      <c r="Y121" s="3237"/>
      <c r="Z121" s="3238"/>
    </row>
    <row r="122" spans="1:26" ht="39.6" customHeight="1">
      <c r="A122" s="2879"/>
      <c r="B122" s="2695"/>
      <c r="C122" s="2723"/>
      <c r="D122" s="725" t="s">
        <v>1067</v>
      </c>
      <c r="E122" s="728">
        <f t="shared" ref="E122" si="83">SUM(E120:E120)</f>
        <v>270</v>
      </c>
      <c r="F122" s="1141">
        <f t="shared" ref="F122:F176" si="84">H122/E122-1</f>
        <v>2.4904444444444445</v>
      </c>
      <c r="G122" s="1143"/>
      <c r="H122" s="728">
        <f>SUM(H120,H121)</f>
        <v>942.42</v>
      </c>
      <c r="I122" s="728">
        <f>SUM(I120,I121)</f>
        <v>850</v>
      </c>
      <c r="J122" s="1558">
        <f t="shared" ref="J122" si="85">SUM(J120,J121)</f>
        <v>850</v>
      </c>
      <c r="K122" s="2190">
        <f t="shared" si="73"/>
        <v>-9.8066679399842913E-2</v>
      </c>
      <c r="L122" s="728">
        <f t="shared" ref="I122:L122" si="86">SUM(L120,L121)</f>
        <v>312.05</v>
      </c>
      <c r="M122" s="1464">
        <f t="shared" ref="M122:N122" si="87">SUM(M120,M121)</f>
        <v>312.05</v>
      </c>
      <c r="N122" s="728">
        <f t="shared" si="87"/>
        <v>0</v>
      </c>
      <c r="O122" s="1464">
        <f t="shared" ref="O122" si="88">SUM(O120,O121)</f>
        <v>0</v>
      </c>
      <c r="P122" s="2729"/>
      <c r="Q122" s="2734"/>
      <c r="R122" s="2694"/>
      <c r="S122" s="2694"/>
      <c r="T122" s="2694"/>
      <c r="U122" s="2694"/>
      <c r="V122" s="2694"/>
      <c r="W122" s="2694"/>
      <c r="X122" s="2694"/>
      <c r="Y122" s="3239"/>
      <c r="Z122" s="3240"/>
    </row>
    <row r="123" spans="1:26" ht="46.8" customHeight="1">
      <c r="A123" s="2879" t="s">
        <v>2929</v>
      </c>
      <c r="B123" s="2699" t="s">
        <v>3762</v>
      </c>
      <c r="C123" s="2719">
        <v>188711925</v>
      </c>
      <c r="D123" s="706" t="s">
        <v>246</v>
      </c>
      <c r="E123" s="722"/>
      <c r="F123" s="1137"/>
      <c r="G123" s="1110"/>
      <c r="H123" s="722"/>
      <c r="I123" s="722">
        <v>134.18700000000001</v>
      </c>
      <c r="J123" s="1557">
        <v>134.18700000000001</v>
      </c>
      <c r="K123" s="2189"/>
      <c r="L123" s="722">
        <v>1728.4159999999999</v>
      </c>
      <c r="M123" s="1496">
        <v>1728.4159999999999</v>
      </c>
      <c r="N123" s="722"/>
      <c r="O123" s="1496"/>
      <c r="P123" s="2729" t="s">
        <v>2930</v>
      </c>
      <c r="Q123" s="2704" t="s">
        <v>4257</v>
      </c>
      <c r="R123" s="2694" t="s">
        <v>2931</v>
      </c>
      <c r="S123" s="1176" t="s">
        <v>4249</v>
      </c>
      <c r="T123" s="1177">
        <v>0</v>
      </c>
      <c r="U123" s="1177">
        <v>0</v>
      </c>
      <c r="V123" s="656" t="s">
        <v>433</v>
      </c>
      <c r="W123" s="1177">
        <v>0</v>
      </c>
      <c r="X123" s="1177">
        <v>1</v>
      </c>
      <c r="Y123" s="3288" t="s">
        <v>2932</v>
      </c>
      <c r="Z123" s="3289"/>
    </row>
    <row r="124" spans="1:26" ht="33" hidden="1" customHeight="1">
      <c r="A124" s="2879"/>
      <c r="B124" s="2699"/>
      <c r="C124" s="2719"/>
      <c r="D124" s="706" t="s">
        <v>412</v>
      </c>
      <c r="E124" s="722"/>
      <c r="F124" s="1137"/>
      <c r="G124" s="1110"/>
      <c r="H124" s="722"/>
      <c r="I124" s="722"/>
      <c r="J124" s="1557"/>
      <c r="K124" s="2189"/>
      <c r="L124" s="722"/>
      <c r="M124" s="1496"/>
      <c r="N124" s="722"/>
      <c r="O124" s="1496"/>
      <c r="P124" s="2729"/>
      <c r="Q124" s="2704"/>
      <c r="R124" s="2694"/>
      <c r="S124" s="1177" t="s">
        <v>2991</v>
      </c>
      <c r="T124" s="1177">
        <v>0</v>
      </c>
      <c r="U124" s="1177"/>
      <c r="V124" s="656"/>
      <c r="W124" s="1177">
        <v>1</v>
      </c>
      <c r="X124" s="1177">
        <v>1</v>
      </c>
      <c r="Y124" s="3290"/>
      <c r="Z124" s="3291"/>
    </row>
    <row r="125" spans="1:26" ht="34.5" customHeight="1">
      <c r="A125" s="2879"/>
      <c r="B125" s="2699"/>
      <c r="C125" s="2719"/>
      <c r="D125" s="706" t="s">
        <v>470</v>
      </c>
      <c r="E125" s="722"/>
      <c r="F125" s="1137"/>
      <c r="G125" s="1110">
        <v>97.058000000000007</v>
      </c>
      <c r="H125" s="1062">
        <v>0</v>
      </c>
      <c r="I125" s="722"/>
      <c r="J125" s="1570">
        <v>83.540999999999997</v>
      </c>
      <c r="K125" s="2189"/>
      <c r="L125" s="1062">
        <v>33.088000000000001</v>
      </c>
      <c r="M125" s="1619">
        <v>33.088000000000001</v>
      </c>
      <c r="N125" s="1062"/>
      <c r="O125" s="1619"/>
      <c r="P125" s="2729"/>
      <c r="Q125" s="2704"/>
      <c r="R125" s="2694"/>
      <c r="S125" s="3285" t="s">
        <v>3769</v>
      </c>
      <c r="T125" s="1177">
        <v>0</v>
      </c>
      <c r="U125" s="3284">
        <v>0</v>
      </c>
      <c r="V125" s="2694" t="s">
        <v>433</v>
      </c>
      <c r="W125" s="3284">
        <v>0</v>
      </c>
      <c r="X125" s="3284">
        <v>1410713</v>
      </c>
      <c r="Y125" s="3290"/>
      <c r="Z125" s="3291"/>
    </row>
    <row r="126" spans="1:26" ht="34.5" customHeight="1">
      <c r="A126" s="2879"/>
      <c r="B126" s="2699"/>
      <c r="C126" s="2719"/>
      <c r="D126" s="706" t="s">
        <v>2747</v>
      </c>
      <c r="E126" s="722"/>
      <c r="F126" s="1137"/>
      <c r="G126" s="1110"/>
      <c r="H126" s="1062">
        <v>97.058000000000007</v>
      </c>
      <c r="I126" s="1062">
        <v>83.540999999999997</v>
      </c>
      <c r="J126" s="1570"/>
      <c r="K126" s="2189">
        <f>(I125-H126)/H126</f>
        <v>-1</v>
      </c>
      <c r="L126" s="1062"/>
      <c r="M126" s="1619"/>
      <c r="N126" s="1062"/>
      <c r="O126" s="1619"/>
      <c r="P126" s="2729"/>
      <c r="Q126" s="2704"/>
      <c r="R126" s="2694"/>
      <c r="S126" s="3285"/>
      <c r="T126" s="1177"/>
      <c r="U126" s="3284"/>
      <c r="V126" s="2694"/>
      <c r="W126" s="3284"/>
      <c r="X126" s="3284"/>
      <c r="Y126" s="3290"/>
      <c r="Z126" s="3291"/>
    </row>
    <row r="127" spans="1:26" ht="34.5" customHeight="1">
      <c r="A127" s="2879"/>
      <c r="B127" s="2699"/>
      <c r="C127" s="2719"/>
      <c r="D127" s="706" t="s">
        <v>1358</v>
      </c>
      <c r="E127" s="722"/>
      <c r="F127" s="1137"/>
      <c r="G127" s="1110"/>
      <c r="H127" s="1062"/>
      <c r="I127" s="722"/>
      <c r="J127" s="1557"/>
      <c r="K127" s="2189"/>
      <c r="L127" s="722"/>
      <c r="M127" s="1496"/>
      <c r="N127" s="722"/>
      <c r="O127" s="1496"/>
      <c r="P127" s="2729"/>
      <c r="Q127" s="2704"/>
      <c r="R127" s="2694"/>
      <c r="S127" s="3285"/>
      <c r="T127" s="1177"/>
      <c r="U127" s="3284"/>
      <c r="V127" s="2694"/>
      <c r="W127" s="3284"/>
      <c r="X127" s="3284"/>
      <c r="Y127" s="3290"/>
      <c r="Z127" s="3291"/>
    </row>
    <row r="128" spans="1:26" ht="63.6" customHeight="1">
      <c r="A128" s="2879"/>
      <c r="B128" s="2699"/>
      <c r="C128" s="2719"/>
      <c r="D128" s="725" t="s">
        <v>1067</v>
      </c>
      <c r="E128" s="728">
        <f t="shared" ref="E128" si="89">SUM(E123:E125)</f>
        <v>0</v>
      </c>
      <c r="F128" s="1141">
        <v>0</v>
      </c>
      <c r="G128" s="1142">
        <f>SUM(G123,G125,G126)</f>
        <v>97.058000000000007</v>
      </c>
      <c r="H128" s="728">
        <f t="shared" ref="H128" si="90">SUM(H123,H125,H126)</f>
        <v>97.058000000000007</v>
      </c>
      <c r="I128" s="728">
        <f>SUM(I123,I125,I126:I127)</f>
        <v>217.72800000000001</v>
      </c>
      <c r="J128" s="1464">
        <f t="shared" ref="I128:O128" si="91">SUM(J123,J125,J126:J127)</f>
        <v>217.72800000000001</v>
      </c>
      <c r="K128" s="2190">
        <f>(I128-H128)/H128</f>
        <v>1.2432772156854663</v>
      </c>
      <c r="L128" s="728">
        <f t="shared" si="91"/>
        <v>1761.5039999999999</v>
      </c>
      <c r="M128" s="1464">
        <f t="shared" si="91"/>
        <v>1761.5039999999999</v>
      </c>
      <c r="N128" s="728">
        <f t="shared" si="91"/>
        <v>0</v>
      </c>
      <c r="O128" s="1464">
        <f t="shared" si="91"/>
        <v>0</v>
      </c>
      <c r="P128" s="2729"/>
      <c r="Q128" s="2734"/>
      <c r="R128" s="2694"/>
      <c r="S128" s="3285"/>
      <c r="T128" s="656"/>
      <c r="U128" s="3284"/>
      <c r="V128" s="2694"/>
      <c r="W128" s="3284"/>
      <c r="X128" s="3284"/>
      <c r="Y128" s="3290"/>
      <c r="Z128" s="3291"/>
    </row>
    <row r="129" spans="1:26" ht="51" customHeight="1">
      <c r="A129" s="2879" t="s">
        <v>2934</v>
      </c>
      <c r="B129" s="2699" t="s">
        <v>3763</v>
      </c>
      <c r="C129" s="2719">
        <v>188711925</v>
      </c>
      <c r="D129" s="706" t="s">
        <v>246</v>
      </c>
      <c r="E129" s="722"/>
      <c r="F129" s="1137"/>
      <c r="G129" s="1110"/>
      <c r="H129" s="722">
        <v>0</v>
      </c>
      <c r="I129" s="722"/>
      <c r="J129" s="1557"/>
      <c r="K129" s="2189"/>
      <c r="L129" s="722">
        <v>265.14400000000001</v>
      </c>
      <c r="M129" s="1496">
        <v>265.14400000000001</v>
      </c>
      <c r="N129" s="722">
        <v>265.14400000000001</v>
      </c>
      <c r="O129" s="1496">
        <v>265.14400000000001</v>
      </c>
      <c r="P129" s="2729" t="s">
        <v>2930</v>
      </c>
      <c r="Q129" s="2704" t="s">
        <v>4258</v>
      </c>
      <c r="R129" s="2694" t="s">
        <v>2936</v>
      </c>
      <c r="S129" s="1176" t="s">
        <v>2990</v>
      </c>
      <c r="T129" s="1177">
        <v>0</v>
      </c>
      <c r="U129" s="1177">
        <v>0</v>
      </c>
      <c r="V129" s="656" t="s">
        <v>433</v>
      </c>
      <c r="W129" s="1177">
        <v>0</v>
      </c>
      <c r="X129" s="1177">
        <v>1.5</v>
      </c>
      <c r="Y129" s="3290"/>
      <c r="Z129" s="3291"/>
    </row>
    <row r="130" spans="1:26" ht="34.200000000000003" hidden="1" customHeight="1">
      <c r="A130" s="2879"/>
      <c r="B130" s="2699"/>
      <c r="C130" s="2719"/>
      <c r="D130" s="706" t="s">
        <v>412</v>
      </c>
      <c r="E130" s="722"/>
      <c r="F130" s="1137"/>
      <c r="G130" s="1110"/>
      <c r="H130" s="1062"/>
      <c r="I130" s="1062"/>
      <c r="J130" s="1570"/>
      <c r="K130" s="2189"/>
      <c r="L130" s="1062"/>
      <c r="M130" s="1619"/>
      <c r="N130" s="1062"/>
      <c r="O130" s="1619"/>
      <c r="P130" s="2729"/>
      <c r="Q130" s="2704"/>
      <c r="R130" s="2694"/>
      <c r="S130" s="1177" t="s">
        <v>2991</v>
      </c>
      <c r="T130" s="1177">
        <v>0</v>
      </c>
      <c r="U130" s="1177"/>
      <c r="V130" s="656"/>
      <c r="W130" s="1177">
        <v>1</v>
      </c>
      <c r="X130" s="1177">
        <v>1</v>
      </c>
      <c r="Y130" s="3290"/>
      <c r="Z130" s="3291"/>
    </row>
    <row r="131" spans="1:26" ht="33" customHeight="1">
      <c r="A131" s="2879"/>
      <c r="B131" s="2699"/>
      <c r="C131" s="2719"/>
      <c r="D131" s="706" t="s">
        <v>470</v>
      </c>
      <c r="E131" s="722"/>
      <c r="F131" s="1137"/>
      <c r="G131" s="1110">
        <v>320</v>
      </c>
      <c r="H131" s="1062">
        <v>0</v>
      </c>
      <c r="I131" s="722"/>
      <c r="J131" s="1570">
        <v>20</v>
      </c>
      <c r="K131" s="2189"/>
      <c r="L131" s="1062"/>
      <c r="M131" s="1619">
        <v>46.79</v>
      </c>
      <c r="N131" s="1062"/>
      <c r="O131" s="1619">
        <v>26.79</v>
      </c>
      <c r="P131" s="2729"/>
      <c r="Q131" s="2704"/>
      <c r="R131" s="2694"/>
      <c r="S131" s="3285" t="s">
        <v>3769</v>
      </c>
      <c r="T131" s="1177">
        <v>0</v>
      </c>
      <c r="U131" s="3284">
        <v>0</v>
      </c>
      <c r="V131" s="2694" t="s">
        <v>433</v>
      </c>
      <c r="W131" s="3284">
        <v>0</v>
      </c>
      <c r="X131" s="3284">
        <v>14509</v>
      </c>
      <c r="Y131" s="3290"/>
      <c r="Z131" s="3291"/>
    </row>
    <row r="132" spans="1:26" ht="39.75" customHeight="1">
      <c r="A132" s="2879"/>
      <c r="B132" s="2699"/>
      <c r="C132" s="2719"/>
      <c r="D132" s="706" t="s">
        <v>2747</v>
      </c>
      <c r="E132" s="722"/>
      <c r="F132" s="1137"/>
      <c r="G132" s="1110"/>
      <c r="H132" s="1062">
        <v>320</v>
      </c>
      <c r="I132" s="1062"/>
      <c r="J132" s="1570"/>
      <c r="K132" s="2189">
        <f>(I131-H132)/H132</f>
        <v>-1</v>
      </c>
      <c r="L132" s="1062"/>
      <c r="M132" s="1619"/>
      <c r="N132" s="1062"/>
      <c r="O132" s="1619"/>
      <c r="P132" s="2729"/>
      <c r="Q132" s="2704"/>
      <c r="R132" s="2694"/>
      <c r="S132" s="3285"/>
      <c r="T132" s="1177"/>
      <c r="U132" s="3284"/>
      <c r="V132" s="2694"/>
      <c r="W132" s="3284"/>
      <c r="X132" s="3284"/>
      <c r="Y132" s="3290"/>
      <c r="Z132" s="3291"/>
    </row>
    <row r="133" spans="1:26" ht="31.95" customHeight="1">
      <c r="A133" s="2879"/>
      <c r="B133" s="2699"/>
      <c r="C133" s="2719"/>
      <c r="D133" s="706" t="s">
        <v>1358</v>
      </c>
      <c r="E133" s="722"/>
      <c r="F133" s="1137"/>
      <c r="G133" s="1110"/>
      <c r="H133" s="1062"/>
      <c r="I133" s="722">
        <v>20</v>
      </c>
      <c r="J133" s="1557"/>
      <c r="K133" s="2189"/>
      <c r="L133" s="722">
        <v>46.79</v>
      </c>
      <c r="M133" s="1496"/>
      <c r="N133" s="722">
        <v>26.79</v>
      </c>
      <c r="O133" s="1496"/>
      <c r="P133" s="2729"/>
      <c r="Q133" s="2704"/>
      <c r="R133" s="2694"/>
      <c r="S133" s="3285"/>
      <c r="T133" s="1177"/>
      <c r="U133" s="3284"/>
      <c r="V133" s="2694"/>
      <c r="W133" s="3284"/>
      <c r="X133" s="3284"/>
      <c r="Y133" s="3290"/>
      <c r="Z133" s="3291"/>
    </row>
    <row r="134" spans="1:26" ht="54" customHeight="1">
      <c r="A134" s="2879"/>
      <c r="B134" s="2699"/>
      <c r="C134" s="2719"/>
      <c r="D134" s="725" t="s">
        <v>1067</v>
      </c>
      <c r="E134" s="728"/>
      <c r="F134" s="1141"/>
      <c r="G134" s="1143">
        <f>SUM(G129,G131,G132)</f>
        <v>320</v>
      </c>
      <c r="H134" s="1142">
        <f>SUM(H129,H131,H132)</f>
        <v>320</v>
      </c>
      <c r="I134" s="728">
        <f>SUM(I129,I131,I132,I133,)</f>
        <v>20</v>
      </c>
      <c r="J134" s="1464">
        <f>SUM(J129,J131,J132)</f>
        <v>20</v>
      </c>
      <c r="K134" s="2056">
        <f t="shared" si="73"/>
        <v>-0.9375</v>
      </c>
      <c r="L134" s="728">
        <f>SUM(L129,L131,L132,L133)</f>
        <v>311.93400000000003</v>
      </c>
      <c r="M134" s="728">
        <f t="shared" ref="M134:N134" si="92">SUM(M129,M131,M132,M133)</f>
        <v>311.93400000000003</v>
      </c>
      <c r="N134" s="728">
        <f t="shared" si="92"/>
        <v>291.93400000000003</v>
      </c>
      <c r="O134" s="1503">
        <f t="shared" ref="O134" si="93">SUM(O129,O131,O132)</f>
        <v>291.93400000000003</v>
      </c>
      <c r="P134" s="2729"/>
      <c r="Q134" s="2734"/>
      <c r="R134" s="2694"/>
      <c r="S134" s="3285"/>
      <c r="T134" s="656"/>
      <c r="U134" s="3284"/>
      <c r="V134" s="2694"/>
      <c r="W134" s="3284"/>
      <c r="X134" s="3284"/>
      <c r="Y134" s="3292"/>
      <c r="Z134" s="3293"/>
    </row>
    <row r="135" spans="1:26" s="409" customFormat="1" ht="21" hidden="1" customHeight="1">
      <c r="A135" s="3104" t="s">
        <v>2938</v>
      </c>
      <c r="B135" s="3232" t="s">
        <v>2852</v>
      </c>
      <c r="C135" s="3233">
        <v>188711925</v>
      </c>
      <c r="D135" s="687" t="s">
        <v>246</v>
      </c>
      <c r="E135" s="686"/>
      <c r="F135" s="1146" t="e">
        <f t="shared" si="84"/>
        <v>#DIV/0!</v>
      </c>
      <c r="G135" s="1148"/>
      <c r="H135" s="686">
        <f>(2352.94118*85%)*50%</f>
        <v>1000.0000014999999</v>
      </c>
      <c r="I135" s="686">
        <f>(2352.94118*85%)*50%</f>
        <v>1000.0000014999999</v>
      </c>
      <c r="J135" s="1564">
        <f>(2352.94118*85%)*50%</f>
        <v>1000.0000014999999</v>
      </c>
      <c r="K135" s="2193">
        <f t="shared" si="73"/>
        <v>0</v>
      </c>
      <c r="L135" s="686"/>
      <c r="M135" s="1498"/>
      <c r="N135" s="686"/>
      <c r="O135" s="1498"/>
      <c r="P135" s="175"/>
      <c r="Q135" s="2901" t="s">
        <v>2935</v>
      </c>
      <c r="R135" s="3235" t="s">
        <v>2931</v>
      </c>
      <c r="S135" s="688" t="s">
        <v>2937</v>
      </c>
      <c r="T135" s="925"/>
      <c r="U135" s="925"/>
      <c r="V135" s="925" t="s">
        <v>2939</v>
      </c>
      <c r="W135" s="925"/>
      <c r="X135" s="925"/>
      <c r="Y135" s="227" t="s">
        <v>2933</v>
      </c>
      <c r="Z135" s="411" t="s">
        <v>2932</v>
      </c>
    </row>
    <row r="136" spans="1:26" s="409" customFormat="1" ht="21" hidden="1" customHeight="1">
      <c r="A136" s="3104"/>
      <c r="B136" s="3232"/>
      <c r="C136" s="3233"/>
      <c r="D136" s="687" t="s">
        <v>412</v>
      </c>
      <c r="E136" s="687"/>
      <c r="F136" s="1146" t="e">
        <f t="shared" si="84"/>
        <v>#DIV/0!</v>
      </c>
      <c r="G136" s="1178"/>
      <c r="H136" s="687"/>
      <c r="I136" s="687"/>
      <c r="J136" s="1729"/>
      <c r="K136" s="2193" t="e">
        <f t="shared" si="73"/>
        <v>#DIV/0!</v>
      </c>
      <c r="L136" s="687"/>
      <c r="M136" s="1740"/>
      <c r="N136" s="687"/>
      <c r="O136" s="1740"/>
      <c r="P136" s="175"/>
      <c r="Q136" s="2901"/>
      <c r="R136" s="3235"/>
      <c r="S136" s="688" t="s">
        <v>2940</v>
      </c>
      <c r="T136" s="925"/>
      <c r="U136" s="925" t="s">
        <v>432</v>
      </c>
      <c r="V136" s="925" t="s">
        <v>432</v>
      </c>
      <c r="W136" s="925"/>
      <c r="X136" s="925"/>
      <c r="Y136" s="412"/>
      <c r="Z136" s="176"/>
    </row>
    <row r="137" spans="1:26" s="409" customFormat="1" ht="49.2" hidden="1" customHeight="1">
      <c r="A137" s="3104"/>
      <c r="B137" s="3232"/>
      <c r="C137" s="3233"/>
      <c r="D137" s="687" t="s">
        <v>470</v>
      </c>
      <c r="E137" s="686"/>
      <c r="F137" s="1146" t="e">
        <f t="shared" si="84"/>
        <v>#DIV/0!</v>
      </c>
      <c r="G137" s="1148"/>
      <c r="H137" s="686">
        <f>(2352.94118*15%)*50%</f>
        <v>176.47058849999999</v>
      </c>
      <c r="I137" s="686">
        <f>(2352.94118*15%)*50%</f>
        <v>176.47058849999999</v>
      </c>
      <c r="J137" s="1564">
        <f>(2352.94118*15%)*50%</f>
        <v>176.47058849999999</v>
      </c>
      <c r="K137" s="2193">
        <f t="shared" si="73"/>
        <v>0</v>
      </c>
      <c r="L137" s="686"/>
      <c r="M137" s="1498"/>
      <c r="N137" s="686"/>
      <c r="O137" s="1498"/>
      <c r="P137" s="175"/>
      <c r="Q137" s="2901"/>
      <c r="R137" s="3235"/>
      <c r="S137" s="688" t="s">
        <v>2941</v>
      </c>
      <c r="T137" s="925"/>
      <c r="U137" s="925" t="s">
        <v>324</v>
      </c>
      <c r="V137" s="925" t="s">
        <v>324</v>
      </c>
      <c r="W137" s="925"/>
      <c r="X137" s="925"/>
      <c r="Y137" s="412"/>
      <c r="Z137" s="176"/>
    </row>
    <row r="138" spans="1:26" s="409" customFormat="1" ht="23.4" hidden="1" customHeight="1">
      <c r="A138" s="3104"/>
      <c r="B138" s="3232"/>
      <c r="C138" s="3233"/>
      <c r="D138" s="780" t="s">
        <v>1067</v>
      </c>
      <c r="E138" s="689">
        <f t="shared" ref="E138:I138" si="94">SUM(E135:E137)</f>
        <v>0</v>
      </c>
      <c r="F138" s="1146" t="e">
        <f t="shared" si="84"/>
        <v>#DIV/0!</v>
      </c>
      <c r="G138" s="1148"/>
      <c r="H138" s="689">
        <f t="shared" si="94"/>
        <v>1176.4705899999999</v>
      </c>
      <c r="I138" s="689">
        <f t="shared" si="94"/>
        <v>1176.4705899999999</v>
      </c>
      <c r="J138" s="1562">
        <f t="shared" ref="J138" si="95">SUM(J135:J137)</f>
        <v>1176.4705899999999</v>
      </c>
      <c r="K138" s="2193">
        <f t="shared" si="73"/>
        <v>0</v>
      </c>
      <c r="L138" s="689"/>
      <c r="M138" s="1484"/>
      <c r="N138" s="689"/>
      <c r="O138" s="1484"/>
      <c r="P138" s="175"/>
      <c r="Q138" s="3234"/>
      <c r="R138" s="3235"/>
      <c r="S138" s="688"/>
      <c r="T138" s="925"/>
      <c r="U138" s="925"/>
      <c r="V138" s="925"/>
      <c r="W138" s="925"/>
      <c r="X138" s="925"/>
      <c r="Y138" s="413"/>
      <c r="Z138" s="176"/>
    </row>
    <row r="139" spans="1:26" ht="50.4" hidden="1" customHeight="1">
      <c r="A139" s="3268" t="s">
        <v>2942</v>
      </c>
      <c r="B139" s="3269" t="s">
        <v>1269</v>
      </c>
      <c r="C139" s="3270">
        <v>188711925</v>
      </c>
      <c r="D139" s="1395" t="s">
        <v>470</v>
      </c>
      <c r="E139" s="1147">
        <v>0</v>
      </c>
      <c r="F139" s="1146" t="e">
        <f t="shared" si="84"/>
        <v>#DIV/0!</v>
      </c>
      <c r="G139" s="1148"/>
      <c r="H139" s="1147">
        <v>0</v>
      </c>
      <c r="I139" s="1147">
        <v>0</v>
      </c>
      <c r="J139" s="1721">
        <v>0</v>
      </c>
      <c r="K139" s="2193" t="e">
        <f t="shared" si="73"/>
        <v>#DIV/0!</v>
      </c>
      <c r="L139" s="1147"/>
      <c r="M139" s="1637"/>
      <c r="N139" s="1147"/>
      <c r="O139" s="1637"/>
      <c r="P139" s="3277" t="s">
        <v>2943</v>
      </c>
      <c r="Q139" s="3271" t="s">
        <v>2944</v>
      </c>
      <c r="R139" s="3236" t="s">
        <v>2945</v>
      </c>
      <c r="S139" s="3236" t="s">
        <v>2946</v>
      </c>
      <c r="T139" s="3236" t="s">
        <v>433</v>
      </c>
      <c r="U139" s="3236" t="s">
        <v>432</v>
      </c>
      <c r="V139" s="3236" t="s">
        <v>432</v>
      </c>
      <c r="W139" s="1047"/>
      <c r="X139" s="1047"/>
      <c r="Y139" s="3283" t="s">
        <v>2947</v>
      </c>
      <c r="Z139" s="3283"/>
    </row>
    <row r="140" spans="1:26" ht="40.5" hidden="1" customHeight="1">
      <c r="A140" s="3268"/>
      <c r="B140" s="3269"/>
      <c r="C140" s="3270"/>
      <c r="D140" s="1154" t="s">
        <v>1067</v>
      </c>
      <c r="E140" s="1147"/>
      <c r="F140" s="1146" t="e">
        <f t="shared" si="84"/>
        <v>#DIV/0!</v>
      </c>
      <c r="G140" s="1148"/>
      <c r="H140" s="1147"/>
      <c r="I140" s="1147"/>
      <c r="J140" s="1721"/>
      <c r="K140" s="2193" t="e">
        <f t="shared" si="73"/>
        <v>#DIV/0!</v>
      </c>
      <c r="L140" s="1147"/>
      <c r="M140" s="1637"/>
      <c r="N140" s="1147"/>
      <c r="O140" s="1637"/>
      <c r="P140" s="3277"/>
      <c r="Q140" s="3272"/>
      <c r="R140" s="3236"/>
      <c r="S140" s="3236"/>
      <c r="T140" s="3236"/>
      <c r="U140" s="3236"/>
      <c r="V140" s="3236"/>
      <c r="W140" s="1047"/>
      <c r="X140" s="1047"/>
      <c r="Y140" s="3283"/>
      <c r="Z140" s="3283"/>
    </row>
    <row r="141" spans="1:26" ht="21" hidden="1" customHeight="1">
      <c r="A141" s="3268" t="s">
        <v>2948</v>
      </c>
      <c r="B141" s="3275" t="s">
        <v>1270</v>
      </c>
      <c r="C141" s="3276">
        <v>188711925</v>
      </c>
      <c r="D141" s="1395" t="s">
        <v>470</v>
      </c>
      <c r="E141" s="1147"/>
      <c r="F141" s="1146" t="e">
        <f t="shared" si="84"/>
        <v>#DIV/0!</v>
      </c>
      <c r="G141" s="1148"/>
      <c r="H141" s="1147"/>
      <c r="I141" s="1147"/>
      <c r="J141" s="1721"/>
      <c r="K141" s="2193" t="e">
        <f t="shared" si="73"/>
        <v>#DIV/0!</v>
      </c>
      <c r="L141" s="1147"/>
      <c r="M141" s="1637"/>
      <c r="N141" s="1147"/>
      <c r="O141" s="1637"/>
      <c r="P141" s="3277"/>
      <c r="Q141" s="3271" t="s">
        <v>2438</v>
      </c>
      <c r="R141" s="3236" t="s">
        <v>2949</v>
      </c>
      <c r="S141" s="3236"/>
      <c r="T141" s="3278"/>
      <c r="U141" s="3278"/>
      <c r="V141" s="3278"/>
      <c r="W141" s="1331"/>
      <c r="X141" s="1331"/>
      <c r="Y141" s="3279"/>
      <c r="Z141" s="3280"/>
    </row>
    <row r="142" spans="1:26" ht="21" hidden="1" customHeight="1">
      <c r="A142" s="3268"/>
      <c r="B142" s="3275"/>
      <c r="C142" s="3276"/>
      <c r="D142" s="1395" t="s">
        <v>1111</v>
      </c>
      <c r="E142" s="1147"/>
      <c r="F142" s="1146" t="e">
        <f t="shared" si="84"/>
        <v>#DIV/0!</v>
      </c>
      <c r="G142" s="1148"/>
      <c r="H142" s="1147"/>
      <c r="I142" s="1147"/>
      <c r="J142" s="1721"/>
      <c r="K142" s="2193" t="e">
        <f t="shared" si="73"/>
        <v>#DIV/0!</v>
      </c>
      <c r="L142" s="1147"/>
      <c r="M142" s="1637"/>
      <c r="N142" s="1147"/>
      <c r="O142" s="1637"/>
      <c r="P142" s="3277"/>
      <c r="Q142" s="3271"/>
      <c r="R142" s="3236"/>
      <c r="S142" s="3236"/>
      <c r="T142" s="3278"/>
      <c r="U142" s="3278"/>
      <c r="V142" s="3278"/>
      <c r="W142" s="1331"/>
      <c r="X142" s="1331"/>
      <c r="Y142" s="3281"/>
      <c r="Z142" s="3282"/>
    </row>
    <row r="143" spans="1:26" ht="15" hidden="1" customHeight="1">
      <c r="A143" s="3268"/>
      <c r="B143" s="3275"/>
      <c r="C143" s="3276"/>
      <c r="D143" s="1154" t="s">
        <v>1067</v>
      </c>
      <c r="E143" s="1147"/>
      <c r="F143" s="1146" t="e">
        <f t="shared" si="84"/>
        <v>#DIV/0!</v>
      </c>
      <c r="G143" s="1148"/>
      <c r="H143" s="1147"/>
      <c r="I143" s="1147"/>
      <c r="J143" s="1721"/>
      <c r="K143" s="2193" t="e">
        <f t="shared" si="73"/>
        <v>#DIV/0!</v>
      </c>
      <c r="L143" s="1147"/>
      <c r="M143" s="1637"/>
      <c r="N143" s="1147"/>
      <c r="O143" s="1637"/>
      <c r="P143" s="3277"/>
      <c r="Q143" s="3272"/>
      <c r="R143" s="3236"/>
      <c r="S143" s="3236"/>
      <c r="T143" s="3278"/>
      <c r="U143" s="3278"/>
      <c r="V143" s="3278"/>
      <c r="W143" s="1331"/>
      <c r="X143" s="1331"/>
      <c r="Y143" s="3281"/>
      <c r="Z143" s="3282"/>
    </row>
    <row r="144" spans="1:26" ht="39" customHeight="1">
      <c r="A144" s="2879" t="s">
        <v>2950</v>
      </c>
      <c r="B144" s="2699" t="s">
        <v>1271</v>
      </c>
      <c r="C144" s="2719">
        <v>188711925</v>
      </c>
      <c r="D144" s="706" t="s">
        <v>470</v>
      </c>
      <c r="E144" s="722">
        <f>SUM(E146,E147,E148,E149,E151,E152,E153,E150)</f>
        <v>174</v>
      </c>
      <c r="F144" s="1137">
        <f t="shared" si="84"/>
        <v>-0.22988505747126442</v>
      </c>
      <c r="G144" s="1110">
        <f>SUM(G146,G147,G148,G149,G150,G151,G152,G153,G157,G158,)</f>
        <v>36</v>
      </c>
      <c r="H144" s="722">
        <f>SUM(H146,H147,H148,H149,H150,H151,H152,H153,H157,H158,H156,H159)</f>
        <v>134</v>
      </c>
      <c r="I144" s="722">
        <f>SUM(I158,I160,I161)</f>
        <v>111</v>
      </c>
      <c r="J144" s="1496">
        <v>36</v>
      </c>
      <c r="K144" s="2189">
        <f t="shared" si="73"/>
        <v>-0.17164179104477612</v>
      </c>
      <c r="L144" s="722">
        <v>28</v>
      </c>
      <c r="M144" s="1496">
        <v>28</v>
      </c>
      <c r="N144" s="722">
        <v>28</v>
      </c>
      <c r="O144" s="1496">
        <v>28</v>
      </c>
      <c r="P144" s="2729" t="s">
        <v>2346</v>
      </c>
      <c r="Q144" s="2704" t="s">
        <v>4259</v>
      </c>
      <c r="R144" s="2694" t="s">
        <v>2951</v>
      </c>
      <c r="S144" s="2694" t="s">
        <v>2952</v>
      </c>
      <c r="T144" s="2694"/>
      <c r="U144" s="2694"/>
      <c r="V144" s="2694" t="s">
        <v>432</v>
      </c>
      <c r="W144" s="2903" t="s">
        <v>432</v>
      </c>
      <c r="X144" s="2903" t="s">
        <v>432</v>
      </c>
      <c r="Y144" s="3274" t="s">
        <v>2347</v>
      </c>
      <c r="Z144" s="3274"/>
    </row>
    <row r="145" spans="1:26" ht="40.5" customHeight="1">
      <c r="A145" s="2879"/>
      <c r="B145" s="2699"/>
      <c r="C145" s="2719"/>
      <c r="D145" s="725" t="s">
        <v>1067</v>
      </c>
      <c r="E145" s="728">
        <f t="shared" ref="E145:L145" si="96">E144</f>
        <v>174</v>
      </c>
      <c r="F145" s="1141">
        <f t="shared" si="84"/>
        <v>-0.22988505747126442</v>
      </c>
      <c r="G145" s="1143">
        <f t="shared" si="96"/>
        <v>36</v>
      </c>
      <c r="H145" s="728">
        <f>H144</f>
        <v>134</v>
      </c>
      <c r="I145" s="728">
        <f t="shared" si="96"/>
        <v>111</v>
      </c>
      <c r="J145" s="1464">
        <f t="shared" ref="J145" si="97">J144</f>
        <v>36</v>
      </c>
      <c r="K145" s="2190">
        <f t="shared" si="73"/>
        <v>-0.17164179104477612</v>
      </c>
      <c r="L145" s="728">
        <f t="shared" si="96"/>
        <v>28</v>
      </c>
      <c r="M145" s="1464">
        <f t="shared" ref="M145:N145" si="98">M144</f>
        <v>28</v>
      </c>
      <c r="N145" s="728">
        <f t="shared" si="98"/>
        <v>28</v>
      </c>
      <c r="O145" s="1464">
        <f t="shared" ref="O145" si="99">O144</f>
        <v>28</v>
      </c>
      <c r="P145" s="2729"/>
      <c r="Q145" s="2734"/>
      <c r="R145" s="2694"/>
      <c r="S145" s="2694"/>
      <c r="T145" s="2694"/>
      <c r="U145" s="2694"/>
      <c r="V145" s="2694"/>
      <c r="W145" s="2905"/>
      <c r="X145" s="2905"/>
      <c r="Y145" s="3274"/>
      <c r="Z145" s="3274"/>
    </row>
    <row r="146" spans="1:26" ht="28.5" hidden="1" customHeight="1">
      <c r="A146" s="1752"/>
      <c r="B146" s="673" t="s">
        <v>2556</v>
      </c>
      <c r="C146" s="739"/>
      <c r="D146" s="3182" t="s">
        <v>470</v>
      </c>
      <c r="E146" s="681">
        <v>65</v>
      </c>
      <c r="F146" s="1180">
        <f t="shared" si="84"/>
        <v>0</v>
      </c>
      <c r="G146" s="681"/>
      <c r="H146" s="681">
        <v>65</v>
      </c>
      <c r="I146" s="681"/>
      <c r="J146" s="1559"/>
      <c r="K146" s="2194">
        <f t="shared" si="73"/>
        <v>-1</v>
      </c>
      <c r="L146" s="681"/>
      <c r="M146" s="1470"/>
      <c r="N146" s="681"/>
      <c r="O146" s="1470"/>
      <c r="P146" s="499"/>
      <c r="Q146" s="681"/>
      <c r="R146" s="683"/>
      <c r="S146" s="693"/>
      <c r="T146" s="693"/>
      <c r="U146" s="693"/>
      <c r="V146" s="693"/>
      <c r="W146" s="693"/>
      <c r="X146" s="693"/>
      <c r="Y146" s="2781"/>
      <c r="Z146" s="2783"/>
    </row>
    <row r="147" spans="1:26" ht="30" hidden="1" customHeight="1">
      <c r="A147" s="1752"/>
      <c r="B147" s="673" t="s">
        <v>2557</v>
      </c>
      <c r="C147" s="739"/>
      <c r="D147" s="3182"/>
      <c r="E147" s="681">
        <v>30</v>
      </c>
      <c r="F147" s="1180">
        <f t="shared" si="84"/>
        <v>-1</v>
      </c>
      <c r="G147" s="681"/>
      <c r="H147" s="681"/>
      <c r="I147" s="681"/>
      <c r="J147" s="1559"/>
      <c r="K147" s="2194" t="e">
        <f t="shared" si="73"/>
        <v>#DIV/0!</v>
      </c>
      <c r="L147" s="681"/>
      <c r="M147" s="1470"/>
      <c r="N147" s="681"/>
      <c r="O147" s="1470"/>
      <c r="P147" s="499"/>
      <c r="Q147" s="681"/>
      <c r="R147" s="683"/>
      <c r="S147" s="693"/>
      <c r="T147" s="693"/>
      <c r="U147" s="693"/>
      <c r="V147" s="693"/>
      <c r="W147" s="693"/>
      <c r="X147" s="693"/>
      <c r="Y147" s="2784"/>
      <c r="Z147" s="2786"/>
    </row>
    <row r="148" spans="1:26" ht="29.4" hidden="1" customHeight="1">
      <c r="A148" s="1752"/>
      <c r="B148" s="673" t="s">
        <v>2558</v>
      </c>
      <c r="C148" s="739"/>
      <c r="D148" s="3182"/>
      <c r="E148" s="681">
        <v>20</v>
      </c>
      <c r="F148" s="1180">
        <f t="shared" si="84"/>
        <v>-1</v>
      </c>
      <c r="G148" s="681"/>
      <c r="H148" s="681"/>
      <c r="I148" s="681"/>
      <c r="J148" s="1559"/>
      <c r="K148" s="2194" t="e">
        <f t="shared" si="73"/>
        <v>#DIV/0!</v>
      </c>
      <c r="L148" s="681"/>
      <c r="M148" s="1470"/>
      <c r="N148" s="681"/>
      <c r="O148" s="1470"/>
      <c r="P148" s="499"/>
      <c r="Q148" s="681"/>
      <c r="R148" s="683"/>
      <c r="S148" s="693"/>
      <c r="T148" s="693"/>
      <c r="U148" s="693"/>
      <c r="V148" s="693"/>
      <c r="W148" s="693"/>
      <c r="X148" s="693"/>
      <c r="Y148" s="2784"/>
      <c r="Z148" s="2786"/>
    </row>
    <row r="149" spans="1:26" ht="44.25" hidden="1" customHeight="1">
      <c r="A149" s="1752"/>
      <c r="B149" s="673" t="s">
        <v>2559</v>
      </c>
      <c r="C149" s="739"/>
      <c r="D149" s="3182"/>
      <c r="E149" s="681">
        <v>6</v>
      </c>
      <c r="F149" s="1180">
        <f t="shared" si="84"/>
        <v>-1</v>
      </c>
      <c r="G149" s="681">
        <v>6</v>
      </c>
      <c r="H149" s="681"/>
      <c r="I149" s="681"/>
      <c r="J149" s="1559"/>
      <c r="K149" s="2194" t="e">
        <f t="shared" ref="K149:K211" si="100">(I149-H149)/H149</f>
        <v>#DIV/0!</v>
      </c>
      <c r="L149" s="681"/>
      <c r="M149" s="1470"/>
      <c r="N149" s="681"/>
      <c r="O149" s="1470"/>
      <c r="P149" s="499"/>
      <c r="Q149" s="691" t="s">
        <v>3015</v>
      </c>
      <c r="R149" s="683"/>
      <c r="S149" s="693"/>
      <c r="T149" s="693"/>
      <c r="U149" s="693"/>
      <c r="V149" s="693"/>
      <c r="W149" s="693"/>
      <c r="X149" s="693"/>
      <c r="Y149" s="2784"/>
      <c r="Z149" s="2786"/>
    </row>
    <row r="150" spans="1:26" ht="27" hidden="1" customHeight="1">
      <c r="A150" s="1752"/>
      <c r="B150" s="673" t="s">
        <v>2563</v>
      </c>
      <c r="C150" s="739"/>
      <c r="D150" s="3182"/>
      <c r="E150" s="681">
        <v>5</v>
      </c>
      <c r="F150" s="1180">
        <f t="shared" si="84"/>
        <v>1.2000000000000002</v>
      </c>
      <c r="G150" s="681">
        <v>5</v>
      </c>
      <c r="H150" s="681">
        <v>11</v>
      </c>
      <c r="I150" s="681"/>
      <c r="J150" s="1559"/>
      <c r="K150" s="2194">
        <f t="shared" si="100"/>
        <v>-1</v>
      </c>
      <c r="L150" s="681"/>
      <c r="M150" s="1470"/>
      <c r="N150" s="681"/>
      <c r="O150" s="1470"/>
      <c r="P150" s="499"/>
      <c r="Q150" s="691"/>
      <c r="R150" s="683"/>
      <c r="S150" s="693"/>
      <c r="T150" s="693"/>
      <c r="U150" s="693"/>
      <c r="V150" s="693"/>
      <c r="W150" s="693"/>
      <c r="X150" s="693"/>
      <c r="Y150" s="2784"/>
      <c r="Z150" s="2786"/>
    </row>
    <row r="151" spans="1:26" ht="27.6" hidden="1" customHeight="1">
      <c r="A151" s="1752"/>
      <c r="B151" s="1131" t="s">
        <v>2560</v>
      </c>
      <c r="C151" s="739"/>
      <c r="D151" s="3182"/>
      <c r="E151" s="681">
        <v>15</v>
      </c>
      <c r="F151" s="1180">
        <f t="shared" si="84"/>
        <v>-1</v>
      </c>
      <c r="G151" s="681"/>
      <c r="H151" s="681"/>
      <c r="I151" s="681"/>
      <c r="J151" s="1559"/>
      <c r="K151" s="2194" t="e">
        <f t="shared" si="100"/>
        <v>#DIV/0!</v>
      </c>
      <c r="L151" s="681"/>
      <c r="M151" s="1470"/>
      <c r="N151" s="681"/>
      <c r="O151" s="1470"/>
      <c r="P151" s="499"/>
      <c r="Q151" s="691"/>
      <c r="R151" s="683"/>
      <c r="S151" s="693"/>
      <c r="T151" s="693"/>
      <c r="U151" s="693"/>
      <c r="V151" s="693"/>
      <c r="W151" s="693"/>
      <c r="X151" s="693"/>
      <c r="Y151" s="2784"/>
      <c r="Z151" s="2786"/>
    </row>
    <row r="152" spans="1:26" ht="28.2" hidden="1" customHeight="1">
      <c r="A152" s="1752"/>
      <c r="B152" s="673" t="s">
        <v>2561</v>
      </c>
      <c r="C152" s="739"/>
      <c r="D152" s="3182"/>
      <c r="E152" s="681">
        <v>3</v>
      </c>
      <c r="F152" s="1180">
        <f t="shared" si="84"/>
        <v>-1</v>
      </c>
      <c r="G152" s="681"/>
      <c r="H152" s="681"/>
      <c r="I152" s="681"/>
      <c r="J152" s="1559"/>
      <c r="K152" s="2194" t="e">
        <f t="shared" si="100"/>
        <v>#DIV/0!</v>
      </c>
      <c r="L152" s="681"/>
      <c r="M152" s="1470"/>
      <c r="N152" s="681"/>
      <c r="O152" s="1470"/>
      <c r="P152" s="499"/>
      <c r="Q152" s="691"/>
      <c r="R152" s="683"/>
      <c r="S152" s="693"/>
      <c r="T152" s="693"/>
      <c r="U152" s="693"/>
      <c r="V152" s="693"/>
      <c r="W152" s="693"/>
      <c r="X152" s="693"/>
      <c r="Y152" s="2784"/>
      <c r="Z152" s="2786"/>
    </row>
    <row r="153" spans="1:26" ht="25.95" hidden="1" customHeight="1">
      <c r="A153" s="1752"/>
      <c r="B153" s="693" t="s">
        <v>2562</v>
      </c>
      <c r="C153" s="893"/>
      <c r="D153" s="3182"/>
      <c r="E153" s="681">
        <v>30</v>
      </c>
      <c r="F153" s="1180">
        <f t="shared" si="84"/>
        <v>-1</v>
      </c>
      <c r="G153" s="681"/>
      <c r="H153" s="681"/>
      <c r="I153" s="681"/>
      <c r="J153" s="1559"/>
      <c r="K153" s="2194" t="e">
        <f t="shared" si="100"/>
        <v>#DIV/0!</v>
      </c>
      <c r="L153" s="681"/>
      <c r="M153" s="1470"/>
      <c r="N153" s="681"/>
      <c r="O153" s="1470"/>
      <c r="P153" s="641"/>
      <c r="Q153" s="1181"/>
      <c r="R153" s="1182"/>
      <c r="S153" s="692"/>
      <c r="T153" s="692"/>
      <c r="U153" s="693"/>
      <c r="V153" s="693"/>
      <c r="W153" s="693"/>
      <c r="X153" s="693"/>
      <c r="Y153" s="2784"/>
      <c r="Z153" s="2786"/>
    </row>
    <row r="154" spans="1:26" ht="81" hidden="1" customHeight="1">
      <c r="A154" s="1752"/>
      <c r="B154" s="2875" t="s">
        <v>1272</v>
      </c>
      <c r="C154" s="2722">
        <v>188711925</v>
      </c>
      <c r="D154" s="3182"/>
      <c r="E154" s="737"/>
      <c r="F154" s="1180" t="e">
        <f t="shared" si="84"/>
        <v>#DIV/0!</v>
      </c>
      <c r="G154" s="681"/>
      <c r="H154" s="681"/>
      <c r="I154" s="681"/>
      <c r="J154" s="1559"/>
      <c r="K154" s="2194" t="e">
        <f t="shared" si="100"/>
        <v>#DIV/0!</v>
      </c>
      <c r="L154" s="681"/>
      <c r="M154" s="1470"/>
      <c r="N154" s="681"/>
      <c r="O154" s="1470"/>
      <c r="P154" s="3253" t="s">
        <v>2953</v>
      </c>
      <c r="Q154" s="2936" t="s">
        <v>2954</v>
      </c>
      <c r="R154" s="2876" t="s">
        <v>2955</v>
      </c>
      <c r="S154" s="2876" t="s">
        <v>2956</v>
      </c>
      <c r="T154" s="2876" t="s">
        <v>432</v>
      </c>
      <c r="U154" s="2876" t="s">
        <v>432</v>
      </c>
      <c r="V154" s="2876" t="s">
        <v>432</v>
      </c>
      <c r="W154" s="693"/>
      <c r="X154" s="693"/>
      <c r="Y154" s="2784"/>
      <c r="Z154" s="2786"/>
    </row>
    <row r="155" spans="1:26" ht="95.25" hidden="1" customHeight="1">
      <c r="A155" s="1752"/>
      <c r="B155" s="2875"/>
      <c r="C155" s="2722"/>
      <c r="D155" s="3182"/>
      <c r="E155" s="737">
        <f t="shared" ref="E155:I155" si="101">E154</f>
        <v>0</v>
      </c>
      <c r="F155" s="1180" t="e">
        <f t="shared" si="84"/>
        <v>#DIV/0!</v>
      </c>
      <c r="G155" s="681"/>
      <c r="H155" s="681">
        <f t="shared" si="101"/>
        <v>0</v>
      </c>
      <c r="I155" s="681">
        <f t="shared" si="101"/>
        <v>0</v>
      </c>
      <c r="J155" s="1559"/>
      <c r="K155" s="2194" t="e">
        <f t="shared" si="100"/>
        <v>#DIV/0!</v>
      </c>
      <c r="L155" s="681"/>
      <c r="M155" s="1470"/>
      <c r="N155" s="681"/>
      <c r="O155" s="1470"/>
      <c r="P155" s="3253"/>
      <c r="Q155" s="3113"/>
      <c r="R155" s="2876"/>
      <c r="S155" s="2876"/>
      <c r="T155" s="2876"/>
      <c r="U155" s="2876"/>
      <c r="V155" s="2876"/>
      <c r="W155" s="693"/>
      <c r="X155" s="693"/>
      <c r="Y155" s="2784"/>
      <c r="Z155" s="2786"/>
    </row>
    <row r="156" spans="1:26" ht="36" hidden="1" customHeight="1">
      <c r="A156" s="1752"/>
      <c r="B156" s="673" t="s">
        <v>3496</v>
      </c>
      <c r="C156" s="739"/>
      <c r="D156" s="3182"/>
      <c r="E156" s="737"/>
      <c r="F156" s="1180"/>
      <c r="G156" s="681"/>
      <c r="H156" s="681">
        <v>50</v>
      </c>
      <c r="I156" s="681"/>
      <c r="J156" s="1559"/>
      <c r="K156" s="2194">
        <f t="shared" si="100"/>
        <v>-1</v>
      </c>
      <c r="L156" s="681"/>
      <c r="M156" s="1470"/>
      <c r="N156" s="681"/>
      <c r="O156" s="1470"/>
      <c r="P156" s="499"/>
      <c r="Q156" s="681"/>
      <c r="R156" s="693"/>
      <c r="S156" s="693"/>
      <c r="T156" s="693"/>
      <c r="U156" s="693"/>
      <c r="V156" s="693"/>
      <c r="W156" s="693"/>
      <c r="X156" s="693"/>
      <c r="Y156" s="2784"/>
      <c r="Z156" s="2786"/>
    </row>
    <row r="157" spans="1:26" ht="42" hidden="1" customHeight="1">
      <c r="A157" s="1752"/>
      <c r="B157" s="673" t="s">
        <v>3014</v>
      </c>
      <c r="C157" s="739"/>
      <c r="D157" s="3182"/>
      <c r="E157" s="681"/>
      <c r="F157" s="906"/>
      <c r="G157" s="681">
        <v>25</v>
      </c>
      <c r="H157" s="681">
        <v>0</v>
      </c>
      <c r="I157" s="681">
        <v>0</v>
      </c>
      <c r="J157" s="1559"/>
      <c r="K157" s="2194" t="e">
        <f t="shared" si="100"/>
        <v>#DIV/0!</v>
      </c>
      <c r="L157" s="681">
        <v>0</v>
      </c>
      <c r="M157" s="1470"/>
      <c r="N157" s="681"/>
      <c r="O157" s="1470"/>
      <c r="P157" s="499"/>
      <c r="Q157" s="3230" t="s">
        <v>4038</v>
      </c>
      <c r="R157" s="1711"/>
      <c r="S157" s="1711"/>
      <c r="T157" s="1711"/>
      <c r="U157" s="1711"/>
      <c r="V157" s="1711"/>
      <c r="W157" s="1711"/>
      <c r="X157" s="1711"/>
      <c r="Y157" s="2784"/>
      <c r="Z157" s="2786"/>
    </row>
    <row r="158" spans="1:26" ht="50.4" hidden="1" customHeight="1">
      <c r="A158" s="1753" t="s">
        <v>4044</v>
      </c>
      <c r="B158" s="1463" t="s">
        <v>4174</v>
      </c>
      <c r="C158" s="739"/>
      <c r="D158" s="3182"/>
      <c r="E158" s="681"/>
      <c r="F158" s="906"/>
      <c r="G158" s="681"/>
      <c r="H158" s="681"/>
      <c r="I158" s="681">
        <v>36</v>
      </c>
      <c r="J158" s="1559">
        <v>36</v>
      </c>
      <c r="K158" s="2194" t="e">
        <f t="shared" si="100"/>
        <v>#DIV/0!</v>
      </c>
      <c r="L158" s="681">
        <v>20</v>
      </c>
      <c r="M158" s="1470">
        <v>20</v>
      </c>
      <c r="N158" s="681">
        <v>20</v>
      </c>
      <c r="O158" s="1470">
        <v>20</v>
      </c>
      <c r="P158" s="499"/>
      <c r="Q158" s="3231"/>
      <c r="R158" s="1711"/>
      <c r="S158" s="1711"/>
      <c r="T158" s="1711"/>
      <c r="U158" s="1711"/>
      <c r="V158" s="1711" t="s">
        <v>1372</v>
      </c>
      <c r="W158" s="1711" t="s">
        <v>1372</v>
      </c>
      <c r="X158" s="1711" t="s">
        <v>1372</v>
      </c>
      <c r="Y158" s="2784"/>
      <c r="Z158" s="2786"/>
    </row>
    <row r="159" spans="1:26" ht="40.950000000000003" hidden="1" customHeight="1">
      <c r="A159" s="1753" t="s">
        <v>4043</v>
      </c>
      <c r="B159" s="1463" t="s">
        <v>3495</v>
      </c>
      <c r="C159" s="739"/>
      <c r="D159" s="3182"/>
      <c r="E159" s="681"/>
      <c r="F159" s="906"/>
      <c r="G159" s="681"/>
      <c r="H159" s="681">
        <v>8</v>
      </c>
      <c r="I159" s="681">
        <v>0</v>
      </c>
      <c r="J159" s="1559">
        <v>0</v>
      </c>
      <c r="K159" s="2194">
        <f t="shared" si="100"/>
        <v>-1</v>
      </c>
      <c r="L159" s="681">
        <v>8</v>
      </c>
      <c r="M159" s="1470">
        <v>8</v>
      </c>
      <c r="N159" s="681">
        <v>8</v>
      </c>
      <c r="O159" s="1470">
        <v>8</v>
      </c>
      <c r="P159" s="499"/>
      <c r="Q159" s="1470" t="s">
        <v>3495</v>
      </c>
      <c r="R159" s="1711"/>
      <c r="S159" s="1711"/>
      <c r="T159" s="1711"/>
      <c r="U159" s="1711"/>
      <c r="V159" s="1711" t="s">
        <v>1304</v>
      </c>
      <c r="W159" s="1711" t="s">
        <v>1304</v>
      </c>
      <c r="X159" s="1711" t="s">
        <v>1304</v>
      </c>
      <c r="Y159" s="2787"/>
      <c r="Z159" s="2789"/>
    </row>
    <row r="160" spans="1:26" ht="40.950000000000003" hidden="1" customHeight="1">
      <c r="A160" s="1753" t="s">
        <v>4043</v>
      </c>
      <c r="B160" s="1463" t="s">
        <v>4215</v>
      </c>
      <c r="C160" s="739"/>
      <c r="D160" s="682"/>
      <c r="E160" s="681"/>
      <c r="F160" s="906"/>
      <c r="G160" s="681"/>
      <c r="H160" s="681"/>
      <c r="I160" s="681">
        <v>5</v>
      </c>
      <c r="J160" s="1559"/>
      <c r="K160" s="2194"/>
      <c r="L160" s="681"/>
      <c r="M160" s="1470"/>
      <c r="N160" s="681"/>
      <c r="O160" s="1470"/>
      <c r="P160" s="499"/>
      <c r="Q160" s="1470"/>
      <c r="R160" s="1711"/>
      <c r="S160" s="1711"/>
      <c r="T160" s="1711"/>
      <c r="U160" s="1711"/>
      <c r="V160" s="1711"/>
      <c r="W160" s="1711"/>
      <c r="X160" s="1711"/>
      <c r="Y160" s="1987"/>
      <c r="Z160" s="1988"/>
    </row>
    <row r="161" spans="1:26" ht="40.950000000000003" hidden="1" customHeight="1">
      <c r="A161" s="1753" t="s">
        <v>4043</v>
      </c>
      <c r="B161" s="1463" t="s">
        <v>4689</v>
      </c>
      <c r="C161" s="739"/>
      <c r="D161" s="682"/>
      <c r="E161" s="681"/>
      <c r="F161" s="906"/>
      <c r="G161" s="681"/>
      <c r="H161" s="681"/>
      <c r="I161" s="681">
        <v>70</v>
      </c>
      <c r="J161" s="1559"/>
      <c r="K161" s="2194"/>
      <c r="L161" s="681"/>
      <c r="M161" s="1470"/>
      <c r="N161" s="681"/>
      <c r="O161" s="1470"/>
      <c r="P161" s="499"/>
      <c r="Q161" s="1470"/>
      <c r="R161" s="1711"/>
      <c r="S161" s="1711"/>
      <c r="T161" s="1711"/>
      <c r="U161" s="1711"/>
      <c r="V161" s="1711"/>
      <c r="W161" s="1711"/>
      <c r="X161" s="1711"/>
      <c r="Y161" s="1987"/>
      <c r="Z161" s="1988"/>
    </row>
    <row r="162" spans="1:26" s="415" customFormat="1" ht="33.6" customHeight="1">
      <c r="A162" s="2879" t="s">
        <v>2957</v>
      </c>
      <c r="B162" s="2699" t="s">
        <v>3764</v>
      </c>
      <c r="C162" s="2719" t="s">
        <v>1195</v>
      </c>
      <c r="D162" s="706" t="s">
        <v>246</v>
      </c>
      <c r="E162" s="722">
        <v>2.375</v>
      </c>
      <c r="F162" s="1137">
        <f t="shared" si="84"/>
        <v>64.947663157894738</v>
      </c>
      <c r="G162" s="720">
        <v>156.62569999999999</v>
      </c>
      <c r="H162" s="722">
        <v>156.62569999999999</v>
      </c>
      <c r="I162" s="974">
        <v>60.679000000000002</v>
      </c>
      <c r="J162" s="1557">
        <v>60.679000000000002</v>
      </c>
      <c r="K162" s="2189">
        <f t="shared" si="100"/>
        <v>-0.61258592938451351</v>
      </c>
      <c r="L162" s="722"/>
      <c r="M162" s="1496"/>
      <c r="N162" s="722"/>
      <c r="O162" s="1496"/>
      <c r="P162" s="2729" t="s">
        <v>2930</v>
      </c>
      <c r="Q162" s="2704" t="s">
        <v>4056</v>
      </c>
      <c r="R162" s="2694" t="s">
        <v>4726</v>
      </c>
      <c r="S162" s="2694" t="s">
        <v>2958</v>
      </c>
      <c r="T162" s="2694" t="s">
        <v>433</v>
      </c>
      <c r="U162" s="2694" t="s">
        <v>2959</v>
      </c>
      <c r="V162" s="2694" t="s">
        <v>4057</v>
      </c>
      <c r="W162" s="2694" t="s">
        <v>433</v>
      </c>
      <c r="X162" s="2694" t="s">
        <v>433</v>
      </c>
      <c r="Y162" s="3237" t="s">
        <v>2932</v>
      </c>
      <c r="Z162" s="3238"/>
    </row>
    <row r="163" spans="1:26" s="415" customFormat="1" ht="28.95" customHeight="1">
      <c r="A163" s="2879"/>
      <c r="B163" s="2699"/>
      <c r="C163" s="2719"/>
      <c r="D163" s="706" t="s">
        <v>412</v>
      </c>
      <c r="E163" s="722"/>
      <c r="F163" s="1137" t="e">
        <f t="shared" si="84"/>
        <v>#DIV/0!</v>
      </c>
      <c r="G163" s="1110"/>
      <c r="H163" s="722"/>
      <c r="I163" s="974">
        <v>4.5460000000000003</v>
      </c>
      <c r="J163" s="1557">
        <v>4.5460000000000003</v>
      </c>
      <c r="K163" s="2189"/>
      <c r="L163" s="722"/>
      <c r="M163" s="1496"/>
      <c r="N163" s="722"/>
      <c r="O163" s="1496"/>
      <c r="P163" s="2729"/>
      <c r="Q163" s="2704"/>
      <c r="R163" s="2694"/>
      <c r="S163" s="3256"/>
      <c r="T163" s="2694"/>
      <c r="U163" s="2694"/>
      <c r="V163" s="2694"/>
      <c r="W163" s="2694"/>
      <c r="X163" s="2694"/>
      <c r="Y163" s="3237"/>
      <c r="Z163" s="3238"/>
    </row>
    <row r="164" spans="1:26" s="415" customFormat="1" ht="31.2" hidden="1" customHeight="1">
      <c r="A164" s="2879"/>
      <c r="B164" s="2699"/>
      <c r="C164" s="2719"/>
      <c r="D164" s="706" t="s">
        <v>2747</v>
      </c>
      <c r="E164" s="722">
        <v>284.88600000000002</v>
      </c>
      <c r="F164" s="1137">
        <f t="shared" si="84"/>
        <v>-1</v>
      </c>
      <c r="G164" s="1110"/>
      <c r="H164" s="722"/>
      <c r="I164" s="722"/>
      <c r="J164" s="1557"/>
      <c r="K164" s="2189"/>
      <c r="L164" s="722"/>
      <c r="M164" s="1496"/>
      <c r="N164" s="722"/>
      <c r="O164" s="1496"/>
      <c r="P164" s="2729"/>
      <c r="Q164" s="2704"/>
      <c r="R164" s="2694"/>
      <c r="S164" s="3256"/>
      <c r="T164" s="2694"/>
      <c r="U164" s="2694"/>
      <c r="V164" s="2694"/>
      <c r="W164" s="2694"/>
      <c r="X164" s="2694"/>
      <c r="Y164" s="3237"/>
      <c r="Z164" s="3238"/>
    </row>
    <row r="165" spans="1:26" s="415" customFormat="1" ht="36.6" customHeight="1">
      <c r="A165" s="2879"/>
      <c r="B165" s="2699"/>
      <c r="C165" s="2719"/>
      <c r="D165" s="706" t="s">
        <v>48</v>
      </c>
      <c r="E165" s="722"/>
      <c r="F165" s="1137"/>
      <c r="G165" s="1110"/>
      <c r="H165" s="722"/>
      <c r="I165" s="722"/>
      <c r="J165" s="1557"/>
      <c r="K165" s="2189"/>
      <c r="L165" s="722"/>
      <c r="M165" s="1496"/>
      <c r="N165" s="722"/>
      <c r="O165" s="1496"/>
      <c r="P165" s="2729"/>
      <c r="Q165" s="2704"/>
      <c r="R165" s="2694"/>
      <c r="S165" s="3256"/>
      <c r="T165" s="2694"/>
      <c r="U165" s="2694"/>
      <c r="V165" s="2694"/>
      <c r="W165" s="2694"/>
      <c r="X165" s="2694"/>
      <c r="Y165" s="3237"/>
      <c r="Z165" s="3238"/>
    </row>
    <row r="166" spans="1:26" s="415" customFormat="1" ht="44.25" customHeight="1">
      <c r="A166" s="2879"/>
      <c r="B166" s="2699"/>
      <c r="C166" s="2719"/>
      <c r="D166" s="725" t="s">
        <v>1067</v>
      </c>
      <c r="E166" s="728">
        <f>SUM(E162:E164)</f>
        <v>287.26100000000002</v>
      </c>
      <c r="F166" s="1141">
        <f t="shared" si="84"/>
        <v>-0.45476169755031148</v>
      </c>
      <c r="G166" s="1143">
        <f>SUM(G162:G164)</f>
        <v>156.62569999999999</v>
      </c>
      <c r="H166" s="728">
        <f>SUM(H162:H164)</f>
        <v>156.62569999999999</v>
      </c>
      <c r="I166" s="728">
        <f>SUM(I162:I164)</f>
        <v>65.225000000000009</v>
      </c>
      <c r="J166" s="1558">
        <f t="shared" ref="I166:J166" si="102">SUM(J162:J164)</f>
        <v>65.225000000000009</v>
      </c>
      <c r="K166" s="2190">
        <f t="shared" si="100"/>
        <v>-0.58356131848093884</v>
      </c>
      <c r="L166" s="728">
        <f>SUM(L162:L164)</f>
        <v>0</v>
      </c>
      <c r="M166" s="1464">
        <f>SUM(M162:M164)</f>
        <v>0</v>
      </c>
      <c r="N166" s="728">
        <f>SUM(N162:N164)</f>
        <v>0</v>
      </c>
      <c r="O166" s="1464">
        <f>SUM(O162:O164)</f>
        <v>0</v>
      </c>
      <c r="P166" s="2729"/>
      <c r="Q166" s="2734"/>
      <c r="R166" s="2694"/>
      <c r="S166" s="3256"/>
      <c r="T166" s="2694"/>
      <c r="U166" s="2694"/>
      <c r="V166" s="2694"/>
      <c r="W166" s="2694"/>
      <c r="X166" s="2694"/>
      <c r="Y166" s="3239"/>
      <c r="Z166" s="3240"/>
    </row>
    <row r="167" spans="1:26" ht="62.4" customHeight="1">
      <c r="A167" s="697" t="s">
        <v>2960</v>
      </c>
      <c r="B167" s="663" t="s">
        <v>2343</v>
      </c>
      <c r="C167" s="697"/>
      <c r="D167" s="697"/>
      <c r="E167" s="746">
        <f>SUM(E170,E182,E184,E187)</f>
        <v>477.02</v>
      </c>
      <c r="F167" s="1135">
        <f t="shared" si="84"/>
        <v>7.3749528321663815E-2</v>
      </c>
      <c r="G167" s="1136">
        <f>SUM(G170,G182,G184,G187)</f>
        <v>553.60599999999999</v>
      </c>
      <c r="H167" s="746">
        <f t="shared" ref="H167:I167" si="103">SUM(H170,H182,H184,H187)</f>
        <v>512.20000000000005</v>
      </c>
      <c r="I167" s="746">
        <f>SUM(I170,I182,I184,I187)</f>
        <v>577.42899999999997</v>
      </c>
      <c r="J167" s="746">
        <f t="shared" ref="J167:N167" si="104">SUM(J170,J182,J184,J187)</f>
        <v>544.23099999999999</v>
      </c>
      <c r="K167" s="746" t="e">
        <f t="shared" si="104"/>
        <v>#DIV/0!</v>
      </c>
      <c r="L167" s="746">
        <f t="shared" si="104"/>
        <v>551.45000000000005</v>
      </c>
      <c r="M167" s="746">
        <f t="shared" si="104"/>
        <v>460.81</v>
      </c>
      <c r="N167" s="746">
        <f t="shared" si="104"/>
        <v>568.43899999999996</v>
      </c>
      <c r="O167" s="1497">
        <f>SUM(O170,O182,O184,O187)</f>
        <v>484.37999999999994</v>
      </c>
      <c r="P167" s="179"/>
      <c r="Q167" s="697"/>
      <c r="R167" s="697" t="s">
        <v>2961</v>
      </c>
      <c r="S167" s="663" t="s">
        <v>2913</v>
      </c>
      <c r="T167" s="697">
        <v>72</v>
      </c>
      <c r="U167" s="697">
        <v>55</v>
      </c>
      <c r="V167" s="697">
        <v>54</v>
      </c>
      <c r="W167" s="697">
        <v>54</v>
      </c>
      <c r="X167" s="697">
        <v>54</v>
      </c>
      <c r="Y167" s="3241" t="s">
        <v>2913</v>
      </c>
      <c r="Z167" s="3242"/>
    </row>
    <row r="168" spans="1:26" ht="40.200000000000003" customHeight="1">
      <c r="A168" s="2879" t="s">
        <v>2962</v>
      </c>
      <c r="B168" s="2695" t="s">
        <v>1273</v>
      </c>
      <c r="C168" s="2723">
        <v>188711925</v>
      </c>
      <c r="D168" s="719" t="s">
        <v>470</v>
      </c>
      <c r="E168" s="722">
        <f>33</f>
        <v>33</v>
      </c>
      <c r="F168" s="1137">
        <f t="shared" si="84"/>
        <v>0.69090909090909092</v>
      </c>
      <c r="G168" s="1110">
        <f>G171</f>
        <v>99.825999999999993</v>
      </c>
      <c r="H168" s="722">
        <f>H171</f>
        <v>55.8</v>
      </c>
      <c r="I168" s="722">
        <f>I171</f>
        <v>60</v>
      </c>
      <c r="J168" s="1557">
        <f>J171+J174</f>
        <v>107.691</v>
      </c>
      <c r="K168" s="2189">
        <f t="shared" si="100"/>
        <v>7.5268817204301133E-2</v>
      </c>
      <c r="L168" s="722">
        <f>I168+(I168*5%)</f>
        <v>63</v>
      </c>
      <c r="M168" s="1496">
        <f t="shared" ref="M168:O168" si="105">M171+M174</f>
        <v>112.2</v>
      </c>
      <c r="N168" s="722">
        <f>L168+(L168*5%)</f>
        <v>66.150000000000006</v>
      </c>
      <c r="O168" s="1496">
        <f t="shared" si="105"/>
        <v>112.2</v>
      </c>
      <c r="P168" s="2729" t="s">
        <v>2963</v>
      </c>
      <c r="Q168" s="2704" t="s">
        <v>2964</v>
      </c>
      <c r="R168" s="2694" t="s">
        <v>2965</v>
      </c>
      <c r="S168" s="2694" t="s">
        <v>3770</v>
      </c>
      <c r="T168" s="2694" t="s">
        <v>2287</v>
      </c>
      <c r="U168" s="2694" t="s">
        <v>2288</v>
      </c>
      <c r="V168" s="2694" t="s">
        <v>2289</v>
      </c>
      <c r="W168" s="2694" t="s">
        <v>2289</v>
      </c>
      <c r="X168" s="2694" t="s">
        <v>2289</v>
      </c>
      <c r="Y168" s="3243" t="s">
        <v>2966</v>
      </c>
      <c r="Z168" s="3244"/>
    </row>
    <row r="169" spans="1:26" ht="33.6" customHeight="1">
      <c r="A169" s="2879"/>
      <c r="B169" s="2695"/>
      <c r="C169" s="2723"/>
      <c r="D169" s="719" t="s">
        <v>2747</v>
      </c>
      <c r="E169" s="722">
        <v>9.1199999999999992</v>
      </c>
      <c r="F169" s="1137">
        <f t="shared" si="84"/>
        <v>0</v>
      </c>
      <c r="G169" s="1110">
        <f>G173</f>
        <v>9.1199999999999992</v>
      </c>
      <c r="H169" s="722">
        <f>H173</f>
        <v>9.1199999999999992</v>
      </c>
      <c r="I169" s="722">
        <f>I174</f>
        <v>13.2</v>
      </c>
      <c r="J169" s="1557"/>
      <c r="K169" s="2189">
        <f t="shared" si="100"/>
        <v>0.44736842105263164</v>
      </c>
      <c r="L169" s="722"/>
      <c r="M169" s="1496"/>
      <c r="N169" s="722"/>
      <c r="O169" s="1496"/>
      <c r="P169" s="2729"/>
      <c r="Q169" s="2704"/>
      <c r="R169" s="2694"/>
      <c r="S169" s="2694"/>
      <c r="T169" s="2694"/>
      <c r="U169" s="2694"/>
      <c r="V169" s="2694"/>
      <c r="W169" s="2694"/>
      <c r="X169" s="2694"/>
      <c r="Y169" s="3245"/>
      <c r="Z169" s="3246"/>
    </row>
    <row r="170" spans="1:26" ht="74.25" customHeight="1">
      <c r="A170" s="2879"/>
      <c r="B170" s="2695"/>
      <c r="C170" s="2723"/>
      <c r="D170" s="725" t="s">
        <v>1067</v>
      </c>
      <c r="E170" s="728">
        <f>E168+E169</f>
        <v>42.12</v>
      </c>
      <c r="F170" s="1141">
        <f t="shared" si="84"/>
        <v>0.54131054131054146</v>
      </c>
      <c r="G170" s="1143">
        <f>G168+G169</f>
        <v>108.946</v>
      </c>
      <c r="H170" s="728">
        <f>H168+H169</f>
        <v>64.92</v>
      </c>
      <c r="I170" s="728">
        <f>I168+I169</f>
        <v>73.2</v>
      </c>
      <c r="J170" s="1558">
        <f>J168+J169</f>
        <v>107.691</v>
      </c>
      <c r="K170" s="2190">
        <f t="shared" si="100"/>
        <v>0.12754158964879853</v>
      </c>
      <c r="L170" s="728">
        <f t="shared" ref="L170:M170" si="106">L168+L169</f>
        <v>63</v>
      </c>
      <c r="M170" s="1464">
        <f t="shared" si="106"/>
        <v>112.2</v>
      </c>
      <c r="N170" s="728">
        <f t="shared" ref="N170:O170" si="107">N168+N169</f>
        <v>66.150000000000006</v>
      </c>
      <c r="O170" s="1464">
        <f t="shared" si="107"/>
        <v>112.2</v>
      </c>
      <c r="P170" s="2729"/>
      <c r="Q170" s="2704"/>
      <c r="R170" s="2694"/>
      <c r="S170" s="2694"/>
      <c r="T170" s="2694"/>
      <c r="U170" s="2694"/>
      <c r="V170" s="2694"/>
      <c r="W170" s="2694"/>
      <c r="X170" s="2694"/>
      <c r="Y170" s="3247"/>
      <c r="Z170" s="3248"/>
    </row>
    <row r="171" spans="1:26" s="409" customFormat="1" ht="38.4" hidden="1" customHeight="1">
      <c r="A171" s="2874" t="s">
        <v>2967</v>
      </c>
      <c r="B171" s="2876" t="s">
        <v>2279</v>
      </c>
      <c r="C171" s="2922">
        <v>188711925</v>
      </c>
      <c r="D171" s="913" t="s">
        <v>470</v>
      </c>
      <c r="E171" s="681">
        <v>33</v>
      </c>
      <c r="F171" s="1180">
        <f t="shared" si="84"/>
        <v>0.69090909090909092</v>
      </c>
      <c r="G171" s="755">
        <v>99.825999999999993</v>
      </c>
      <c r="H171" s="681">
        <v>55.8</v>
      </c>
      <c r="I171" s="681">
        <v>60</v>
      </c>
      <c r="J171" s="1470">
        <v>94.491</v>
      </c>
      <c r="K171" s="2194">
        <f>(I171-H171)/H171</f>
        <v>7.5268817204301133E-2</v>
      </c>
      <c r="L171" s="681">
        <v>63.66</v>
      </c>
      <c r="M171" s="1470">
        <v>99</v>
      </c>
      <c r="N171" s="681">
        <v>67.503</v>
      </c>
      <c r="O171" s="1470">
        <v>99</v>
      </c>
      <c r="P171" s="499"/>
      <c r="Q171" s="2861"/>
      <c r="R171" s="2862"/>
      <c r="S171" s="2781"/>
      <c r="T171" s="2782"/>
      <c r="U171" s="2782"/>
      <c r="V171" s="2782"/>
      <c r="W171" s="2782"/>
      <c r="X171" s="2782"/>
      <c r="Y171" s="2782"/>
      <c r="Z171" s="2783"/>
    </row>
    <row r="172" spans="1:26" s="409" customFormat="1" ht="36" hidden="1" customHeight="1">
      <c r="A172" s="2874"/>
      <c r="B172" s="2876"/>
      <c r="C172" s="2922"/>
      <c r="D172" s="1023" t="s">
        <v>1067</v>
      </c>
      <c r="E172" s="1021">
        <f t="shared" ref="E172:O172" si="108">SUM(E171:E171)</f>
        <v>33</v>
      </c>
      <c r="F172" s="1842">
        <f t="shared" si="84"/>
        <v>0.69090909090909092</v>
      </c>
      <c r="G172" s="1018">
        <f t="shared" si="108"/>
        <v>99.825999999999993</v>
      </c>
      <c r="H172" s="1021">
        <f t="shared" si="108"/>
        <v>55.8</v>
      </c>
      <c r="I172" s="1021">
        <f t="shared" si="108"/>
        <v>60</v>
      </c>
      <c r="J172" s="1739">
        <f t="shared" si="108"/>
        <v>94.491</v>
      </c>
      <c r="K172" s="2197">
        <f t="shared" si="100"/>
        <v>7.5268817204301133E-2</v>
      </c>
      <c r="L172" s="1021">
        <f t="shared" si="108"/>
        <v>63.66</v>
      </c>
      <c r="M172" s="1739">
        <f t="shared" si="108"/>
        <v>99</v>
      </c>
      <c r="N172" s="1021">
        <f t="shared" si="108"/>
        <v>67.503</v>
      </c>
      <c r="O172" s="1739">
        <f t="shared" si="108"/>
        <v>99</v>
      </c>
      <c r="P172" s="499"/>
      <c r="Q172" s="2863"/>
      <c r="R172" s="2864"/>
      <c r="S172" s="2784"/>
      <c r="T172" s="2785"/>
      <c r="U172" s="2785"/>
      <c r="V172" s="2785"/>
      <c r="W172" s="2785"/>
      <c r="X172" s="2785"/>
      <c r="Y172" s="2785"/>
      <c r="Z172" s="2786"/>
    </row>
    <row r="173" spans="1:26" s="409" customFormat="1" ht="31.2" hidden="1" customHeight="1">
      <c r="A173" s="2874" t="s">
        <v>2968</v>
      </c>
      <c r="B173" s="2876" t="s">
        <v>1556</v>
      </c>
      <c r="C173" s="2922">
        <v>188711925</v>
      </c>
      <c r="D173" s="913" t="s">
        <v>2747</v>
      </c>
      <c r="E173" s="681">
        <v>9.1199999999999992</v>
      </c>
      <c r="F173" s="1180">
        <f t="shared" si="84"/>
        <v>0</v>
      </c>
      <c r="G173" s="755">
        <v>9.1199999999999992</v>
      </c>
      <c r="H173" s="681">
        <v>9.1199999999999992</v>
      </c>
      <c r="I173" s="681"/>
      <c r="J173" s="1470"/>
      <c r="K173" s="2194"/>
      <c r="L173" s="681"/>
      <c r="M173" s="1470"/>
      <c r="N173" s="681"/>
      <c r="O173" s="1470"/>
      <c r="P173" s="499"/>
      <c r="Q173" s="2863"/>
      <c r="R173" s="2864"/>
      <c r="S173" s="2784"/>
      <c r="T173" s="2785"/>
      <c r="U173" s="2785"/>
      <c r="V173" s="2785"/>
      <c r="W173" s="2785"/>
      <c r="X173" s="2785"/>
      <c r="Y173" s="2785"/>
      <c r="Z173" s="2786"/>
    </row>
    <row r="174" spans="1:26" s="409" customFormat="1" ht="31.2" hidden="1" customHeight="1">
      <c r="A174" s="2874"/>
      <c r="B174" s="2876"/>
      <c r="C174" s="2922"/>
      <c r="D174" s="913" t="s">
        <v>470</v>
      </c>
      <c r="E174" s="681"/>
      <c r="F174" s="1180"/>
      <c r="G174" s="755"/>
      <c r="H174" s="681"/>
      <c r="I174" s="681">
        <f>J174</f>
        <v>13.2</v>
      </c>
      <c r="J174" s="1470">
        <v>13.2</v>
      </c>
      <c r="K174" s="2194"/>
      <c r="L174" s="681">
        <v>13.2</v>
      </c>
      <c r="M174" s="1470">
        <v>13.2</v>
      </c>
      <c r="N174" s="681">
        <v>13.2</v>
      </c>
      <c r="O174" s="1470">
        <v>13.2</v>
      </c>
      <c r="P174" s="499"/>
      <c r="Q174" s="2863"/>
      <c r="R174" s="2864"/>
      <c r="S174" s="2784"/>
      <c r="T174" s="2785"/>
      <c r="U174" s="2785"/>
      <c r="V174" s="2785"/>
      <c r="W174" s="2785"/>
      <c r="X174" s="2785"/>
      <c r="Y174" s="2785"/>
      <c r="Z174" s="2786"/>
    </row>
    <row r="175" spans="1:26" s="409" customFormat="1" ht="39" hidden="1" customHeight="1">
      <c r="A175" s="2874"/>
      <c r="B175" s="2876"/>
      <c r="C175" s="2922"/>
      <c r="D175" s="1023" t="s">
        <v>1067</v>
      </c>
      <c r="E175" s="1021">
        <f t="shared" ref="E175:G175" si="109">SUM(E173:E173)</f>
        <v>9.1199999999999992</v>
      </c>
      <c r="F175" s="1842">
        <f t="shared" si="84"/>
        <v>-1</v>
      </c>
      <c r="G175" s="1018">
        <f t="shared" si="109"/>
        <v>9.1199999999999992</v>
      </c>
      <c r="H175" s="1021">
        <f t="shared" ref="H175:J175" si="110">SUM(H174:H174)</f>
        <v>0</v>
      </c>
      <c r="I175" s="1021">
        <f t="shared" si="110"/>
        <v>13.2</v>
      </c>
      <c r="J175" s="1739">
        <f t="shared" si="110"/>
        <v>13.2</v>
      </c>
      <c r="K175" s="2197"/>
      <c r="L175" s="1021"/>
      <c r="M175" s="1739">
        <f t="shared" ref="M175:O175" si="111">SUM(M174:M174)</f>
        <v>13.2</v>
      </c>
      <c r="N175" s="1021">
        <f t="shared" si="111"/>
        <v>13.2</v>
      </c>
      <c r="O175" s="1739">
        <f t="shared" si="111"/>
        <v>13.2</v>
      </c>
      <c r="P175" s="499"/>
      <c r="Q175" s="2865"/>
      <c r="R175" s="2866"/>
      <c r="S175" s="2787"/>
      <c r="T175" s="2788"/>
      <c r="U175" s="2788"/>
      <c r="V175" s="2788"/>
      <c r="W175" s="2788"/>
      <c r="X175" s="2788"/>
      <c r="Y175" s="2788"/>
      <c r="Z175" s="2789"/>
    </row>
    <row r="176" spans="1:26" s="409" customFormat="1" ht="61.95" hidden="1" customHeight="1">
      <c r="A176" s="3104" t="s">
        <v>2969</v>
      </c>
      <c r="B176" s="3235" t="s">
        <v>1257</v>
      </c>
      <c r="C176" s="3273">
        <v>188711925</v>
      </c>
      <c r="D176" s="899" t="s">
        <v>470</v>
      </c>
      <c r="E176" s="686">
        <v>0</v>
      </c>
      <c r="F176" s="1146" t="e">
        <f t="shared" si="84"/>
        <v>#DIV/0!</v>
      </c>
      <c r="G176" s="1148"/>
      <c r="H176" s="686">
        <v>0</v>
      </c>
      <c r="I176" s="686">
        <v>0</v>
      </c>
      <c r="J176" s="1564">
        <v>0</v>
      </c>
      <c r="K176" s="2193" t="e">
        <f t="shared" si="100"/>
        <v>#DIV/0!</v>
      </c>
      <c r="L176" s="686"/>
      <c r="M176" s="1498"/>
      <c r="N176" s="686"/>
      <c r="O176" s="1498"/>
      <c r="P176" s="175"/>
      <c r="Q176" s="2901" t="s">
        <v>2970</v>
      </c>
      <c r="R176" s="3235" t="s">
        <v>1084</v>
      </c>
      <c r="S176" s="3235"/>
      <c r="T176" s="3235"/>
      <c r="U176" s="3235"/>
      <c r="V176" s="3235"/>
      <c r="W176" s="688"/>
      <c r="X176" s="688"/>
      <c r="Y176" s="205"/>
      <c r="Z176" s="3254"/>
    </row>
    <row r="177" spans="1:26" s="409" customFormat="1" ht="61.95" hidden="1" customHeight="1">
      <c r="A177" s="3104"/>
      <c r="B177" s="3235"/>
      <c r="C177" s="3273"/>
      <c r="D177" s="780" t="s">
        <v>1067</v>
      </c>
      <c r="E177" s="689">
        <f t="shared" ref="E177:I177" si="112">SUM(E176:E176)</f>
        <v>0</v>
      </c>
      <c r="F177" s="1146" t="e">
        <f t="shared" ref="F177:F211" si="113">H177/E177-1</f>
        <v>#DIV/0!</v>
      </c>
      <c r="G177" s="1148"/>
      <c r="H177" s="689">
        <f t="shared" si="112"/>
        <v>0</v>
      </c>
      <c r="I177" s="689">
        <f t="shared" si="112"/>
        <v>0</v>
      </c>
      <c r="J177" s="1562">
        <f t="shared" ref="J177" si="114">SUM(J176:J176)</f>
        <v>0</v>
      </c>
      <c r="K177" s="2193" t="e">
        <f t="shared" si="100"/>
        <v>#DIV/0!</v>
      </c>
      <c r="L177" s="689"/>
      <c r="M177" s="1484"/>
      <c r="N177" s="689"/>
      <c r="O177" s="1484"/>
      <c r="P177" s="175"/>
      <c r="Q177" s="3234"/>
      <c r="R177" s="3235"/>
      <c r="S177" s="3235"/>
      <c r="T177" s="3235"/>
      <c r="U177" s="3235"/>
      <c r="V177" s="3235"/>
      <c r="W177" s="688"/>
      <c r="X177" s="688"/>
      <c r="Y177" s="204"/>
      <c r="Z177" s="3255"/>
    </row>
    <row r="178" spans="1:26" ht="36.6" customHeight="1">
      <c r="A178" s="2879" t="s">
        <v>2971</v>
      </c>
      <c r="B178" s="2695" t="s">
        <v>3765</v>
      </c>
      <c r="C178" s="2723" t="s">
        <v>2972</v>
      </c>
      <c r="D178" s="719" t="s">
        <v>470</v>
      </c>
      <c r="E178" s="722">
        <f>213.8-0.6</f>
        <v>213.20000000000002</v>
      </c>
      <c r="F178" s="1175">
        <f t="shared" si="113"/>
        <v>0.17251407129455898</v>
      </c>
      <c r="G178" s="1110">
        <v>247.36</v>
      </c>
      <c r="H178" s="722">
        <v>249.98</v>
      </c>
      <c r="I178" s="722">
        <v>263.60000000000002</v>
      </c>
      <c r="J178" s="1557">
        <v>199.87</v>
      </c>
      <c r="K178" s="2189">
        <f t="shared" si="100"/>
        <v>5.4484358748700029E-2</v>
      </c>
      <c r="L178" s="722">
        <f>I178+(I178*5%)</f>
        <v>276.78000000000003</v>
      </c>
      <c r="M178" s="1496">
        <v>186.94</v>
      </c>
      <c r="N178" s="722">
        <f>L178+(L178*5%)</f>
        <v>290.61900000000003</v>
      </c>
      <c r="O178" s="1496">
        <v>210.51</v>
      </c>
      <c r="P178" s="2729" t="s">
        <v>1056</v>
      </c>
      <c r="Q178" s="2704" t="s">
        <v>4260</v>
      </c>
      <c r="R178" s="2694" t="s">
        <v>2973</v>
      </c>
      <c r="S178" s="2694" t="s">
        <v>2974</v>
      </c>
      <c r="T178" s="2694" t="s">
        <v>324</v>
      </c>
      <c r="U178" s="2694" t="s">
        <v>324</v>
      </c>
      <c r="V178" s="2694" t="s">
        <v>324</v>
      </c>
      <c r="W178" s="2694" t="s">
        <v>433</v>
      </c>
      <c r="X178" s="2694" t="s">
        <v>433</v>
      </c>
      <c r="Y178" s="3262" t="s">
        <v>848</v>
      </c>
      <c r="Z178" s="3263"/>
    </row>
    <row r="179" spans="1:26" ht="29.4" customHeight="1">
      <c r="A179" s="2879"/>
      <c r="B179" s="2695"/>
      <c r="C179" s="2723"/>
      <c r="D179" s="719" t="s">
        <v>1353</v>
      </c>
      <c r="E179" s="722">
        <v>131.69999999999999</v>
      </c>
      <c r="F179" s="1175">
        <f t="shared" si="113"/>
        <v>0.10326499620349305</v>
      </c>
      <c r="G179" s="1110">
        <v>145.30000000000001</v>
      </c>
      <c r="H179" s="722">
        <v>145.30000000000001</v>
      </c>
      <c r="I179" s="722">
        <v>161.66999999999999</v>
      </c>
      <c r="J179" s="1557">
        <v>161.66999999999999</v>
      </c>
      <c r="K179" s="2189">
        <f t="shared" si="100"/>
        <v>0.11266345492085324</v>
      </c>
      <c r="L179" s="722">
        <v>161.66999999999999</v>
      </c>
      <c r="M179" s="1496">
        <v>161.66999999999999</v>
      </c>
      <c r="N179" s="722">
        <f>O179</f>
        <v>161.66999999999999</v>
      </c>
      <c r="O179" s="1496">
        <v>161.66999999999999</v>
      </c>
      <c r="P179" s="2729"/>
      <c r="Q179" s="2704"/>
      <c r="R179" s="2694"/>
      <c r="S179" s="2694"/>
      <c r="T179" s="2694"/>
      <c r="U179" s="2694"/>
      <c r="V179" s="2694"/>
      <c r="W179" s="2694"/>
      <c r="X179" s="2694"/>
      <c r="Y179" s="3264"/>
      <c r="Z179" s="3265"/>
    </row>
    <row r="180" spans="1:26" ht="29.4" customHeight="1">
      <c r="A180" s="2879"/>
      <c r="B180" s="2695"/>
      <c r="C180" s="2723"/>
      <c r="D180" s="719" t="s">
        <v>2824</v>
      </c>
      <c r="E180" s="722"/>
      <c r="F180" s="1175"/>
      <c r="G180" s="1110"/>
      <c r="H180" s="722"/>
      <c r="I180" s="1818">
        <v>3.9590000000000001</v>
      </c>
      <c r="J180" s="1557"/>
      <c r="K180" s="2189"/>
      <c r="L180" s="722"/>
      <c r="M180" s="1496"/>
      <c r="N180" s="722"/>
      <c r="O180" s="1496"/>
      <c r="P180" s="2729"/>
      <c r="Q180" s="2704"/>
      <c r="R180" s="2694"/>
      <c r="S180" s="2694"/>
      <c r="T180" s="2694"/>
      <c r="U180" s="2694"/>
      <c r="V180" s="2694"/>
      <c r="W180" s="2694"/>
      <c r="X180" s="2694"/>
      <c r="Y180" s="3264"/>
      <c r="Z180" s="3265"/>
    </row>
    <row r="181" spans="1:26" ht="29.4" customHeight="1">
      <c r="A181" s="2879"/>
      <c r="B181" s="2695"/>
      <c r="C181" s="2723"/>
      <c r="D181" s="719" t="s">
        <v>1111</v>
      </c>
      <c r="E181" s="722"/>
      <c r="F181" s="1175"/>
      <c r="G181" s="1110"/>
      <c r="H181" s="722"/>
      <c r="I181" s="722"/>
      <c r="J181" s="1557"/>
      <c r="K181" s="2189"/>
      <c r="L181" s="722"/>
      <c r="M181" s="1496"/>
      <c r="N181" s="722"/>
      <c r="O181" s="1496"/>
      <c r="P181" s="2729"/>
      <c r="Q181" s="2704"/>
      <c r="R181" s="2694"/>
      <c r="S181" s="2694"/>
      <c r="T181" s="2694"/>
      <c r="U181" s="2694"/>
      <c r="V181" s="2694"/>
      <c r="W181" s="2694"/>
      <c r="X181" s="2694"/>
      <c r="Y181" s="3264"/>
      <c r="Z181" s="3265"/>
    </row>
    <row r="182" spans="1:26" ht="39.6" customHeight="1">
      <c r="A182" s="2879"/>
      <c r="B182" s="2695"/>
      <c r="C182" s="2723"/>
      <c r="D182" s="725" t="s">
        <v>1067</v>
      </c>
      <c r="E182" s="728">
        <f>SUM(E178:E181)</f>
        <v>344.9</v>
      </c>
      <c r="F182" s="1184">
        <f t="shared" si="113"/>
        <v>0.14607132502174536</v>
      </c>
      <c r="G182" s="1143">
        <f t="shared" ref="G182:H182" si="115">SUM(G178:G181)</f>
        <v>392.66</v>
      </c>
      <c r="H182" s="728">
        <f t="shared" si="115"/>
        <v>395.28</v>
      </c>
      <c r="I182" s="728">
        <f>SUM(I178:I181)</f>
        <v>429.22899999999998</v>
      </c>
      <c r="J182" s="1558">
        <f>SUM(J178:J181)</f>
        <v>361.53999999999996</v>
      </c>
      <c r="K182" s="2190">
        <f t="shared" si="100"/>
        <v>8.5885954260271236E-2</v>
      </c>
      <c r="L182" s="728">
        <f>SUM(L178:L181)</f>
        <v>438.45000000000005</v>
      </c>
      <c r="M182" s="1464">
        <f t="shared" ref="M182" si="116">SUM(M178:M181)</f>
        <v>348.61</v>
      </c>
      <c r="N182" s="728">
        <f>SUM(N178:N181)</f>
        <v>452.28899999999999</v>
      </c>
      <c r="O182" s="1464">
        <f t="shared" ref="O182" si="117">SUM(O178:O181)</f>
        <v>372.17999999999995</v>
      </c>
      <c r="P182" s="2729"/>
      <c r="Q182" s="2734"/>
      <c r="R182" s="2694"/>
      <c r="S182" s="2694"/>
      <c r="T182" s="2694"/>
      <c r="U182" s="2694"/>
      <c r="V182" s="2694"/>
      <c r="W182" s="2694"/>
      <c r="X182" s="2694"/>
      <c r="Y182" s="3264"/>
      <c r="Z182" s="3265"/>
    </row>
    <row r="183" spans="1:26" s="409" customFormat="1" ht="31.95" hidden="1" customHeight="1">
      <c r="A183" s="3268" t="s">
        <v>2975</v>
      </c>
      <c r="B183" s="3269" t="s">
        <v>1274</v>
      </c>
      <c r="C183" s="3270">
        <v>188711925</v>
      </c>
      <c r="D183" s="1395" t="s">
        <v>470</v>
      </c>
      <c r="E183" s="1147"/>
      <c r="F183" s="1146" t="e">
        <f t="shared" si="113"/>
        <v>#DIV/0!</v>
      </c>
      <c r="G183" s="1148"/>
      <c r="H183" s="1147"/>
      <c r="I183" s="1147"/>
      <c r="J183" s="1721"/>
      <c r="K183" s="2193" t="e">
        <f t="shared" si="100"/>
        <v>#DIV/0!</v>
      </c>
      <c r="L183" s="1147"/>
      <c r="M183" s="1637"/>
      <c r="N183" s="1147"/>
      <c r="O183" s="1637"/>
      <c r="P183" s="2729"/>
      <c r="Q183" s="3271" t="s">
        <v>2438</v>
      </c>
      <c r="R183" s="3236" t="s">
        <v>2976</v>
      </c>
      <c r="S183" s="3236" t="s">
        <v>58</v>
      </c>
      <c r="T183" s="3236" t="s">
        <v>1420</v>
      </c>
      <c r="U183" s="3236" t="s">
        <v>433</v>
      </c>
      <c r="V183" s="3236" t="s">
        <v>433</v>
      </c>
      <c r="W183" s="1047"/>
      <c r="X183" s="1047"/>
      <c r="Y183" s="3264"/>
      <c r="Z183" s="3265"/>
    </row>
    <row r="184" spans="1:26" s="409" customFormat="1" ht="35.4" hidden="1" customHeight="1">
      <c r="A184" s="3268"/>
      <c r="B184" s="3269"/>
      <c r="C184" s="3270"/>
      <c r="D184" s="1154" t="s">
        <v>1067</v>
      </c>
      <c r="E184" s="1147">
        <f t="shared" ref="E184:I184" si="118">E183</f>
        <v>0</v>
      </c>
      <c r="F184" s="1146" t="e">
        <f t="shared" si="113"/>
        <v>#DIV/0!</v>
      </c>
      <c r="G184" s="1148"/>
      <c r="H184" s="1147">
        <f t="shared" si="118"/>
        <v>0</v>
      </c>
      <c r="I184" s="1147">
        <f t="shared" si="118"/>
        <v>0</v>
      </c>
      <c r="J184" s="1721">
        <f t="shared" ref="J184" si="119">J183</f>
        <v>0</v>
      </c>
      <c r="K184" s="2193" t="e">
        <f t="shared" si="100"/>
        <v>#DIV/0!</v>
      </c>
      <c r="L184" s="1147"/>
      <c r="M184" s="1637"/>
      <c r="N184" s="1147"/>
      <c r="O184" s="1637"/>
      <c r="P184" s="2729"/>
      <c r="Q184" s="3272"/>
      <c r="R184" s="3236"/>
      <c r="S184" s="3236"/>
      <c r="T184" s="3236"/>
      <c r="U184" s="3236"/>
      <c r="V184" s="3236"/>
      <c r="W184" s="1047"/>
      <c r="X184" s="1047"/>
      <c r="Y184" s="3264"/>
      <c r="Z184" s="3265"/>
    </row>
    <row r="185" spans="1:26" ht="39" customHeight="1">
      <c r="A185" s="2879" t="s">
        <v>2977</v>
      </c>
      <c r="B185" s="2699" t="s">
        <v>1275</v>
      </c>
      <c r="C185" s="2719">
        <v>188711925</v>
      </c>
      <c r="D185" s="706" t="s">
        <v>470</v>
      </c>
      <c r="E185" s="722">
        <f t="shared" ref="E185" si="120">SUM(E188,E189)</f>
        <v>90</v>
      </c>
      <c r="F185" s="1175">
        <f t="shared" si="113"/>
        <v>-0.42222222222222228</v>
      </c>
      <c r="G185" s="1179">
        <f>G190+G191</f>
        <v>52</v>
      </c>
      <c r="H185" s="722">
        <f>H190+H191</f>
        <v>52</v>
      </c>
      <c r="I185" s="974"/>
      <c r="J185" s="1557">
        <f>SUM(J191,J192,J193)</f>
        <v>75</v>
      </c>
      <c r="K185" s="2189">
        <f t="shared" si="100"/>
        <v>-1</v>
      </c>
      <c r="L185" s="722">
        <v>50</v>
      </c>
      <c r="M185" s="1496">
        <f>SUM(M191,M192)</f>
        <v>0</v>
      </c>
      <c r="N185" s="722">
        <v>50</v>
      </c>
      <c r="O185" s="1496">
        <f t="shared" ref="O185" si="121">O190+O191</f>
        <v>0</v>
      </c>
      <c r="P185" s="2729"/>
      <c r="Q185" s="2704" t="s">
        <v>2978</v>
      </c>
      <c r="R185" s="2694" t="s">
        <v>2979</v>
      </c>
      <c r="S185" s="2694" t="s">
        <v>2980</v>
      </c>
      <c r="T185" s="2694" t="s">
        <v>432</v>
      </c>
      <c r="U185" s="2694" t="s">
        <v>432</v>
      </c>
      <c r="V185" s="2694" t="s">
        <v>1372</v>
      </c>
      <c r="W185" s="2694" t="s">
        <v>1372</v>
      </c>
      <c r="X185" s="2694" t="s">
        <v>1372</v>
      </c>
      <c r="Y185" s="3264"/>
      <c r="Z185" s="3265"/>
    </row>
    <row r="186" spans="1:26" ht="39" customHeight="1">
      <c r="A186" s="2879"/>
      <c r="B186" s="2699"/>
      <c r="C186" s="2719"/>
      <c r="D186" s="719" t="s">
        <v>2747</v>
      </c>
      <c r="E186" s="722"/>
      <c r="F186" s="1175"/>
      <c r="G186" s="1179"/>
      <c r="H186" s="722"/>
      <c r="I186" s="974">
        <v>75</v>
      </c>
      <c r="J186" s="1557"/>
      <c r="K186" s="2189"/>
      <c r="L186" s="722"/>
      <c r="M186" s="1496"/>
      <c r="N186" s="722"/>
      <c r="O186" s="1496"/>
      <c r="P186" s="2729"/>
      <c r="Q186" s="2704"/>
      <c r="R186" s="2694"/>
      <c r="S186" s="2694"/>
      <c r="T186" s="2694"/>
      <c r="U186" s="2694"/>
      <c r="V186" s="2694"/>
      <c r="W186" s="2694"/>
      <c r="X186" s="2694"/>
      <c r="Y186" s="3264"/>
      <c r="Z186" s="3265"/>
    </row>
    <row r="187" spans="1:26" ht="42" customHeight="1">
      <c r="A187" s="2879"/>
      <c r="B187" s="2699"/>
      <c r="C187" s="2719"/>
      <c r="D187" s="725" t="s">
        <v>1067</v>
      </c>
      <c r="E187" s="728">
        <f t="shared" ref="E187:L187" si="122">E185</f>
        <v>90</v>
      </c>
      <c r="F187" s="1184">
        <f t="shared" si="113"/>
        <v>-0.42222222222222228</v>
      </c>
      <c r="G187" s="1142">
        <f>G185</f>
        <v>52</v>
      </c>
      <c r="H187" s="728">
        <f t="shared" si="122"/>
        <v>52</v>
      </c>
      <c r="I187" s="728">
        <f>SUM(I185,I186)</f>
        <v>75</v>
      </c>
      <c r="J187" s="1558">
        <f t="shared" ref="J187" si="123">J185</f>
        <v>75</v>
      </c>
      <c r="K187" s="2190">
        <f t="shared" si="100"/>
        <v>0.44230769230769229</v>
      </c>
      <c r="L187" s="728">
        <f t="shared" si="122"/>
        <v>50</v>
      </c>
      <c r="M187" s="1464">
        <f t="shared" ref="M187:N187" si="124">M185</f>
        <v>0</v>
      </c>
      <c r="N187" s="728">
        <f t="shared" si="124"/>
        <v>50</v>
      </c>
      <c r="O187" s="1464">
        <f t="shared" ref="O187" si="125">O185</f>
        <v>0</v>
      </c>
      <c r="P187" s="2729"/>
      <c r="Q187" s="2734"/>
      <c r="R187" s="2694"/>
      <c r="S187" s="2694"/>
      <c r="T187" s="2694"/>
      <c r="U187" s="2694"/>
      <c r="V187" s="2694"/>
      <c r="W187" s="2694"/>
      <c r="X187" s="2694"/>
      <c r="Y187" s="3266"/>
      <c r="Z187" s="3267"/>
    </row>
    <row r="188" spans="1:26" ht="51" hidden="1" customHeight="1">
      <c r="A188" s="1185" t="s">
        <v>3010</v>
      </c>
      <c r="B188" s="1186" t="s">
        <v>2344</v>
      </c>
      <c r="C188" s="1121"/>
      <c r="D188" s="1035"/>
      <c r="E188" s="1033">
        <v>50</v>
      </c>
      <c r="F188" s="1187"/>
      <c r="G188" s="1031"/>
      <c r="H188" s="1031"/>
      <c r="I188" s="1031"/>
      <c r="J188" s="1568"/>
      <c r="K188" s="2192" t="e">
        <f t="shared" si="100"/>
        <v>#DIV/0!</v>
      </c>
      <c r="L188" s="1031"/>
      <c r="M188" s="1741"/>
      <c r="N188" s="1031"/>
      <c r="O188" s="1741"/>
      <c r="P188" s="502"/>
      <c r="Q188" s="1033"/>
      <c r="R188" s="1188"/>
      <c r="S188" s="1189"/>
      <c r="T188" s="1190"/>
      <c r="U188" s="1190"/>
      <c r="V188" s="1190"/>
      <c r="W188" s="1190"/>
      <c r="X188" s="1190"/>
      <c r="Y188" s="410"/>
      <c r="Z188" s="410"/>
    </row>
    <row r="189" spans="1:26" ht="55.2" hidden="1" customHeight="1">
      <c r="A189" s="1185" t="s">
        <v>3010</v>
      </c>
      <c r="B189" s="1186" t="s">
        <v>2345</v>
      </c>
      <c r="C189" s="1121"/>
      <c r="D189" s="1035"/>
      <c r="E189" s="1033">
        <v>40</v>
      </c>
      <c r="F189" s="1187"/>
      <c r="G189" s="1031"/>
      <c r="H189" s="1031"/>
      <c r="I189" s="1031"/>
      <c r="J189" s="1568"/>
      <c r="K189" s="2192" t="e">
        <f t="shared" si="100"/>
        <v>#DIV/0!</v>
      </c>
      <c r="L189" s="1031"/>
      <c r="M189" s="1741"/>
      <c r="N189" s="1031"/>
      <c r="O189" s="1741"/>
      <c r="P189" s="502"/>
      <c r="Q189" s="1033"/>
      <c r="R189" s="1188"/>
      <c r="S189" s="1189"/>
      <c r="T189" s="1190"/>
      <c r="U189" s="1190"/>
      <c r="V189" s="1190"/>
      <c r="W189" s="1190"/>
      <c r="X189" s="1190"/>
      <c r="Y189" s="410"/>
      <c r="Z189" s="410"/>
    </row>
    <row r="190" spans="1:26" ht="66.75" hidden="1" customHeight="1">
      <c r="A190" s="893" t="s">
        <v>3011</v>
      </c>
      <c r="B190" s="673" t="s">
        <v>3012</v>
      </c>
      <c r="C190" s="739"/>
      <c r="D190" s="682"/>
      <c r="E190" s="681"/>
      <c r="F190" s="778"/>
      <c r="G190" s="1191">
        <v>52</v>
      </c>
      <c r="H190" s="681">
        <v>52</v>
      </c>
      <c r="I190" s="681"/>
      <c r="J190" s="1559"/>
      <c r="K190" s="2194">
        <f t="shared" si="100"/>
        <v>-1</v>
      </c>
      <c r="L190" s="681"/>
      <c r="M190" s="1470"/>
      <c r="N190" s="681"/>
      <c r="O190" s="1470"/>
      <c r="P190" s="428"/>
      <c r="Q190" s="691" t="s">
        <v>3249</v>
      </c>
      <c r="R190" s="693"/>
      <c r="S190" s="688"/>
      <c r="T190" s="688"/>
      <c r="U190" s="688"/>
      <c r="V190" s="688"/>
      <c r="W190" s="688"/>
      <c r="X190" s="688"/>
      <c r="Y190" s="1751"/>
      <c r="Z190" s="1751"/>
    </row>
    <row r="191" spans="1:26" ht="45" hidden="1" customHeight="1">
      <c r="A191" s="1748" t="s">
        <v>4023</v>
      </c>
      <c r="B191" s="1463" t="s">
        <v>4024</v>
      </c>
      <c r="C191" s="1710"/>
      <c r="D191" s="1509"/>
      <c r="E191" s="1470"/>
      <c r="F191" s="1510"/>
      <c r="G191" s="1470"/>
      <c r="H191" s="1470"/>
      <c r="I191" s="681">
        <v>40</v>
      </c>
      <c r="J191" s="1559">
        <v>40</v>
      </c>
      <c r="K191" s="2194"/>
      <c r="L191" s="681"/>
      <c r="M191" s="1470"/>
      <c r="N191" s="681"/>
      <c r="O191" s="1470"/>
      <c r="P191" s="428"/>
      <c r="Q191" s="1509" t="s">
        <v>4025</v>
      </c>
      <c r="R191" s="693"/>
      <c r="S191" s="688"/>
      <c r="T191" s="688"/>
      <c r="U191" s="688"/>
      <c r="V191" s="688"/>
      <c r="W191" s="688"/>
      <c r="X191" s="688"/>
      <c r="Y191" s="1751"/>
      <c r="Z191" s="1751"/>
    </row>
    <row r="192" spans="1:26" ht="45" hidden="1" customHeight="1">
      <c r="A192" s="1748" t="s">
        <v>4023</v>
      </c>
      <c r="B192" s="1463" t="s">
        <v>4026</v>
      </c>
      <c r="C192" s="1710"/>
      <c r="D192" s="1509"/>
      <c r="E192" s="1470"/>
      <c r="F192" s="1510"/>
      <c r="G192" s="1470"/>
      <c r="H192" s="1470"/>
      <c r="I192" s="681">
        <v>30</v>
      </c>
      <c r="J192" s="1559">
        <v>30</v>
      </c>
      <c r="K192" s="2194"/>
      <c r="L192" s="681"/>
      <c r="M192" s="1470"/>
      <c r="N192" s="681"/>
      <c r="O192" s="1470"/>
      <c r="P192" s="428"/>
      <c r="Q192" s="1509" t="s">
        <v>4025</v>
      </c>
      <c r="R192" s="693"/>
      <c r="S192" s="688"/>
      <c r="T192" s="688"/>
      <c r="U192" s="688"/>
      <c r="V192" s="688"/>
      <c r="W192" s="688"/>
      <c r="X192" s="688"/>
      <c r="Y192" s="1751"/>
      <c r="Z192" s="1751"/>
    </row>
    <row r="193" spans="1:26" ht="45" hidden="1" customHeight="1">
      <c r="A193" s="1748" t="s">
        <v>4032</v>
      </c>
      <c r="B193" s="1463" t="s">
        <v>4033</v>
      </c>
      <c r="C193" s="1710"/>
      <c r="D193" s="1509"/>
      <c r="E193" s="1470"/>
      <c r="F193" s="1510"/>
      <c r="G193" s="1470"/>
      <c r="H193" s="1470"/>
      <c r="I193" s="681">
        <v>5</v>
      </c>
      <c r="J193" s="1470">
        <v>5</v>
      </c>
      <c r="K193" s="2194"/>
      <c r="L193" s="681"/>
      <c r="M193" s="1470"/>
      <c r="N193" s="681"/>
      <c r="O193" s="1470"/>
      <c r="P193" s="428"/>
      <c r="Q193" s="1509" t="s">
        <v>4034</v>
      </c>
      <c r="R193" s="693"/>
      <c r="S193" s="688"/>
      <c r="T193" s="688"/>
      <c r="U193" s="688"/>
      <c r="V193" s="688"/>
      <c r="W193" s="688"/>
      <c r="X193" s="688"/>
      <c r="Y193" s="1751"/>
      <c r="Z193" s="1751"/>
    </row>
    <row r="194" spans="1:26" ht="74.25" customHeight="1">
      <c r="A194" s="697" t="s">
        <v>2981</v>
      </c>
      <c r="B194" s="663" t="s">
        <v>3766</v>
      </c>
      <c r="C194" s="697"/>
      <c r="D194" s="697"/>
      <c r="E194" s="746">
        <f>SUM(E197)</f>
        <v>13.5</v>
      </c>
      <c r="F194" s="1192">
        <f t="shared" si="113"/>
        <v>-0.5185185185185186</v>
      </c>
      <c r="G194" s="1136"/>
      <c r="H194" s="746">
        <f t="shared" ref="H194:L194" si="126">SUM(H197)</f>
        <v>6.5</v>
      </c>
      <c r="I194" s="746">
        <f t="shared" si="126"/>
        <v>20</v>
      </c>
      <c r="J194" s="1591">
        <f t="shared" ref="J194" si="127">SUM(J197)</f>
        <v>20</v>
      </c>
      <c r="K194" s="2188">
        <f t="shared" si="100"/>
        <v>2.0769230769230771</v>
      </c>
      <c r="L194" s="746">
        <f t="shared" si="126"/>
        <v>20</v>
      </c>
      <c r="M194" s="1497"/>
      <c r="N194" s="746">
        <f t="shared" ref="N194" si="128">SUM(N197)</f>
        <v>60</v>
      </c>
      <c r="O194" s="1497">
        <f t="shared" ref="O194" si="129">SUM(O197)</f>
        <v>60</v>
      </c>
      <c r="P194" s="179" t="s">
        <v>2982</v>
      </c>
      <c r="Q194" s="697"/>
      <c r="R194" s="697" t="s">
        <v>2983</v>
      </c>
      <c r="S194" s="663" t="s">
        <v>2984</v>
      </c>
      <c r="T194" s="697">
        <v>0</v>
      </c>
      <c r="U194" s="697">
        <v>0</v>
      </c>
      <c r="V194" s="697">
        <v>20</v>
      </c>
      <c r="W194" s="697">
        <v>40</v>
      </c>
      <c r="X194" s="697">
        <v>40</v>
      </c>
      <c r="Y194" s="3257" t="s">
        <v>812</v>
      </c>
      <c r="Z194" s="3257"/>
    </row>
    <row r="195" spans="1:26" ht="34.200000000000003" customHeight="1">
      <c r="A195" s="2879" t="s">
        <v>2985</v>
      </c>
      <c r="B195" s="2695" t="s">
        <v>3703</v>
      </c>
      <c r="C195" s="2723">
        <v>188711925</v>
      </c>
      <c r="D195" s="719" t="s">
        <v>2747</v>
      </c>
      <c r="E195" s="722">
        <v>13.5</v>
      </c>
      <c r="F195" s="1175">
        <f t="shared" si="113"/>
        <v>-1</v>
      </c>
      <c r="G195" s="1110"/>
      <c r="H195" s="722"/>
      <c r="I195" s="722"/>
      <c r="J195" s="1557"/>
      <c r="K195" s="2189"/>
      <c r="L195" s="722"/>
      <c r="M195" s="1496"/>
      <c r="N195" s="722"/>
      <c r="O195" s="1496"/>
      <c r="P195" s="2729" t="s">
        <v>2986</v>
      </c>
      <c r="Q195" s="2704" t="s">
        <v>4041</v>
      </c>
      <c r="R195" s="2694" t="s">
        <v>2987</v>
      </c>
      <c r="S195" s="2694" t="s">
        <v>3007</v>
      </c>
      <c r="T195" s="2694" t="s">
        <v>324</v>
      </c>
      <c r="U195" s="2694" t="s">
        <v>433</v>
      </c>
      <c r="V195" s="2694" t="s">
        <v>324</v>
      </c>
      <c r="W195" s="2694" t="s">
        <v>324</v>
      </c>
      <c r="X195" s="2694" t="s">
        <v>324</v>
      </c>
      <c r="Y195" s="3258" t="s">
        <v>812</v>
      </c>
      <c r="Z195" s="3258"/>
    </row>
    <row r="196" spans="1:26" ht="34.200000000000003" customHeight="1">
      <c r="A196" s="2879"/>
      <c r="B196" s="2695"/>
      <c r="C196" s="2723"/>
      <c r="D196" s="719" t="s">
        <v>470</v>
      </c>
      <c r="E196" s="722">
        <v>0</v>
      </c>
      <c r="F196" s="1175" t="e">
        <f t="shared" si="113"/>
        <v>#DIV/0!</v>
      </c>
      <c r="G196" s="1110">
        <v>10</v>
      </c>
      <c r="H196" s="722">
        <f>10-3.5</f>
        <v>6.5</v>
      </c>
      <c r="I196" s="722">
        <v>20</v>
      </c>
      <c r="J196" s="1557">
        <v>20</v>
      </c>
      <c r="K196" s="2189">
        <f t="shared" si="100"/>
        <v>2.0769230769230771</v>
      </c>
      <c r="L196" s="722">
        <v>20</v>
      </c>
      <c r="M196" s="1496">
        <v>20</v>
      </c>
      <c r="N196" s="722">
        <v>60</v>
      </c>
      <c r="O196" s="1496">
        <v>60</v>
      </c>
      <c r="P196" s="2729"/>
      <c r="Q196" s="2704"/>
      <c r="R196" s="2694"/>
      <c r="S196" s="2694"/>
      <c r="T196" s="2694"/>
      <c r="U196" s="2694"/>
      <c r="V196" s="2694"/>
      <c r="W196" s="2694"/>
      <c r="X196" s="2694"/>
      <c r="Y196" s="3258"/>
      <c r="Z196" s="3258"/>
    </row>
    <row r="197" spans="1:26" ht="37.950000000000003" customHeight="1">
      <c r="A197" s="2879"/>
      <c r="B197" s="2695"/>
      <c r="C197" s="2723"/>
      <c r="D197" s="725" t="s">
        <v>1067</v>
      </c>
      <c r="E197" s="728">
        <f>SUM(E195:E195)</f>
        <v>13.5</v>
      </c>
      <c r="F197" s="1184">
        <f t="shared" si="113"/>
        <v>-0.5185185185185186</v>
      </c>
      <c r="G197" s="1143">
        <f>G195+G196</f>
        <v>10</v>
      </c>
      <c r="H197" s="728">
        <f t="shared" ref="H197:O197" si="130">H196</f>
        <v>6.5</v>
      </c>
      <c r="I197" s="728">
        <f t="shared" si="130"/>
        <v>20</v>
      </c>
      <c r="J197" s="1558">
        <f t="shared" si="130"/>
        <v>20</v>
      </c>
      <c r="K197" s="2190">
        <f t="shared" si="100"/>
        <v>2.0769230769230771</v>
      </c>
      <c r="L197" s="728">
        <f t="shared" si="130"/>
        <v>20</v>
      </c>
      <c r="M197" s="1464">
        <f t="shared" si="130"/>
        <v>20</v>
      </c>
      <c r="N197" s="728">
        <f t="shared" si="130"/>
        <v>60</v>
      </c>
      <c r="O197" s="1464">
        <f t="shared" si="130"/>
        <v>60</v>
      </c>
      <c r="P197" s="2729"/>
      <c r="Q197" s="2734"/>
      <c r="R197" s="2694"/>
      <c r="S197" s="2694"/>
      <c r="T197" s="2694"/>
      <c r="U197" s="2694"/>
      <c r="V197" s="2694"/>
      <c r="W197" s="2694"/>
      <c r="X197" s="2694"/>
      <c r="Y197" s="3258"/>
      <c r="Z197" s="3258"/>
    </row>
    <row r="198" spans="1:26" ht="50.4" customHeight="1">
      <c r="A198" s="3251"/>
      <c r="B198" s="3251"/>
      <c r="C198" s="3251"/>
      <c r="D198" s="3251"/>
      <c r="E198" s="182" t="str">
        <f>E17</f>
        <v>2024  m. asignavimai ir kitos lėšos, tūkst. Eur</v>
      </c>
      <c r="F198" s="435" t="s">
        <v>2882</v>
      </c>
      <c r="G198" s="436" t="s">
        <v>2883</v>
      </c>
      <c r="H198" s="182" t="str">
        <f>H17</f>
        <v>2025 m. asignavimai ir kitos lėšos, tūkst. Eur</v>
      </c>
      <c r="I198" s="3772" t="str">
        <f>I17</f>
        <v>2026 m. asignavimai ir kitos lėšos, tūkst. Eur</v>
      </c>
      <c r="J198" s="1599" t="str">
        <f>J17</f>
        <v>2026 m.asignavimai ir kitos lėšos, tūkst. Eur
(poreikis)</v>
      </c>
      <c r="K198" s="3773"/>
      <c r="L198" s="184" t="str">
        <f>L17</f>
        <v>2027 m.asignavimai ir kitos lėšos, tūkst. Eur</v>
      </c>
      <c r="M198" s="3774" t="str">
        <f>M17</f>
        <v>2027 m.asignavimai ir kitos lėšos, tūkst. Eur
(poreikis)</v>
      </c>
      <c r="N198" s="184" t="str">
        <f>N17</f>
        <v>2028 m.asignavimai ir kitos lėšos, tūkst. Eur</v>
      </c>
      <c r="O198" s="1505" t="str">
        <f>O17</f>
        <v>2028 m.asignavimai ir kitos lėšos, tūkst. Eur
(poreikis)</v>
      </c>
      <c r="P198" s="824"/>
      <c r="Q198" s="824"/>
      <c r="R198" s="89"/>
      <c r="S198" s="89"/>
      <c r="T198" s="202"/>
      <c r="U198" s="202"/>
      <c r="V198" s="202"/>
      <c r="W198" s="202"/>
      <c r="X198" s="202"/>
      <c r="Y198" s="89"/>
      <c r="Z198" s="89"/>
    </row>
    <row r="199" spans="1:26" ht="31.95" customHeight="1">
      <c r="A199" s="2977"/>
      <c r="B199" s="2972" t="s">
        <v>720</v>
      </c>
      <c r="C199" s="2972"/>
      <c r="D199" s="2972"/>
      <c r="E199" s="169">
        <f>SUM(E200,E201,E204,E205,E206,E207,)</f>
        <v>1924.9740000000002</v>
      </c>
      <c r="F199" s="434">
        <f t="shared" si="113"/>
        <v>0.48496327742608458</v>
      </c>
      <c r="G199" s="430">
        <f t="shared" ref="G199:O199" si="131">SUM(G200,G201,G204,G205,G206,G207,)</f>
        <v>2169.125</v>
      </c>
      <c r="H199" s="169">
        <f t="shared" si="131"/>
        <v>2858.5156999999999</v>
      </c>
      <c r="I199" s="226">
        <f t="shared" si="131"/>
        <v>3319.0779999999995</v>
      </c>
      <c r="J199" s="1600">
        <f>SUM(J200,J201,J204,J205,J206,J207,)</f>
        <v>3239.7010000000009</v>
      </c>
      <c r="K199" s="3775">
        <f t="shared" si="100"/>
        <v>0.16111938793969177</v>
      </c>
      <c r="L199" s="225">
        <f t="shared" si="131"/>
        <v>6253.945999999999</v>
      </c>
      <c r="M199" s="1539">
        <f t="shared" si="131"/>
        <v>6193.4470000000001</v>
      </c>
      <c r="N199" s="225">
        <f t="shared" si="131"/>
        <v>3741.8110000000001</v>
      </c>
      <c r="O199" s="1644">
        <f t="shared" si="131"/>
        <v>3688.893</v>
      </c>
      <c r="P199" s="191"/>
      <c r="Q199" s="172"/>
      <c r="R199" s="172"/>
      <c r="S199" s="172"/>
      <c r="T199" s="193"/>
      <c r="U199" s="193"/>
      <c r="V199" s="193"/>
      <c r="W199" s="193"/>
      <c r="X199" s="191"/>
      <c r="Y199" s="172"/>
      <c r="Z199" s="172"/>
    </row>
    <row r="200" spans="1:26" ht="39" customHeight="1">
      <c r="A200" s="2978"/>
      <c r="B200" s="2971" t="s">
        <v>1913</v>
      </c>
      <c r="C200" s="2971"/>
      <c r="D200" s="2971"/>
      <c r="E200" s="170">
        <f>SUM(E22,E28,E32,E34,E36,E38,E43,E47,E53,E55,E57,E60,E62,E67,E70,E81,E83,E125,E131,E139,E144,E154,E168,E178,E183,E185,)</f>
        <v>773.7</v>
      </c>
      <c r="F200" s="434">
        <f t="shared" si="113"/>
        <v>-4.9398991857309116E-2</v>
      </c>
      <c r="G200" s="429">
        <f>SUM(G22,G28,G32,G34,G36,G38,G43,G47,G53,G55,G57,G60,G62,G67,G70,G81,G83,G125,G131,G139,G144,G154,G168,G178,G183,G185,G94,G196)</f>
        <v>1274.2330000000002</v>
      </c>
      <c r="H200" s="439">
        <f>SUM(H22,H28,H32,H34,H36,H38,H43,H47,H53,H55,H57,H60,H62,H67,H70,H81,H83,H125,H131,H139,H144,H154,H168,H178,H183,H185,H94,H196,H165,H120,H88,H41)</f>
        <v>735.48</v>
      </c>
      <c r="I200" s="213">
        <f>SUM(I22,I28,I32,I34,I36,I38,I43,I47,I53,I55,I57,I60,I62,I67,I70,I81,I83,I125,I131,I139,I144,I154,I168,I178,I183,I185,I94,I196,I165,I120,I88,I41)</f>
        <v>1166.431</v>
      </c>
      <c r="J200" s="1527">
        <f>SUM(J22,J28,J32,J34,J36,J38,J43,J47,J53,J55,J57,J60,J62,J67,J70,J81,J83,J125,J131,J139,J144,J154,J168,J178,J183,J185,J94,J196,J165,J120,J88,J41)</f>
        <v>2550.4240000000004</v>
      </c>
      <c r="K200" s="3788">
        <f>(I200-H200+H207)/H200</f>
        <v>2.9056384945885676</v>
      </c>
      <c r="L200" s="213">
        <f>SUM(L22,L28,L32,L34,L36,L38,L43,L47,L53,L55,L57,L60,L62,L67,L70,L81,L83,L125,L131,L139,L144,L154,L168,L178,L183,L185,L94,L196,L165,L120,L88,L41)</f>
        <v>2776.7069999999999</v>
      </c>
      <c r="M200" s="1527">
        <f t="shared" ref="M200:O200" si="132">SUM(M22,M28,M32,M34,M36,M38,M43,M47,M53,M55,M57,M60,M62,M67,M70,M81,M83,M125,M131,M139,M144,M154,M168,M178,M183,M185,M94,M196,M165,M120,M88,M41)</f>
        <v>2936.7569999999996</v>
      </c>
      <c r="N200" s="213">
        <f>SUM(N22,N28,N32,N34,N36,N38,N43,N47,N53,N55,N57,N60,N62,N67,N70,N81,N83,N125,N131,N139,N144,N154,N168,N178,N183,N185,N94,N196,N165,N120,N88,N41)</f>
        <v>2520.2190000000001</v>
      </c>
      <c r="O200" s="1742">
        <f t="shared" si="132"/>
        <v>2506.0680000000002</v>
      </c>
      <c r="P200" s="192"/>
      <c r="Q200" s="207"/>
      <c r="R200" s="172"/>
      <c r="S200" s="172"/>
      <c r="T200" s="193"/>
      <c r="U200" s="193"/>
      <c r="V200" s="193"/>
      <c r="W200" s="193"/>
      <c r="X200" s="191"/>
      <c r="Y200" s="172"/>
      <c r="Z200" s="172"/>
    </row>
    <row r="201" spans="1:26" ht="27" customHeight="1">
      <c r="A201" s="2978"/>
      <c r="B201" s="2971" t="s">
        <v>722</v>
      </c>
      <c r="C201" s="2971"/>
      <c r="D201" s="2971"/>
      <c r="E201" s="170">
        <f>SUM(E181,E142,E49,E39,E72)</f>
        <v>98.503</v>
      </c>
      <c r="F201" s="434">
        <f t="shared" si="113"/>
        <v>0.16770047612763062</v>
      </c>
      <c r="G201" s="429">
        <f>SUM(G181,G142,G49,G39,,G163,G92,G72,)</f>
        <v>145.54399999999998</v>
      </c>
      <c r="H201" s="170">
        <f>SUM(H202,H203)</f>
        <v>115.02200000000001</v>
      </c>
      <c r="I201" s="213">
        <f t="shared" ref="I201:O201" si="133">SUM(I202,I203)</f>
        <v>73.37</v>
      </c>
      <c r="J201" s="1601">
        <f>SUM(J202,J203)</f>
        <v>114.72199999999999</v>
      </c>
      <c r="K201" s="3776">
        <f t="shared" si="100"/>
        <v>-0.36212202882926742</v>
      </c>
      <c r="L201" s="213">
        <f>SUM(L202,L203)</f>
        <v>73.37</v>
      </c>
      <c r="M201" s="1527">
        <f t="shared" si="133"/>
        <v>89.510999999999996</v>
      </c>
      <c r="N201" s="213">
        <f t="shared" si="133"/>
        <v>73.37</v>
      </c>
      <c r="O201" s="1645">
        <f t="shared" si="133"/>
        <v>89.510999999999996</v>
      </c>
      <c r="P201" s="192"/>
      <c r="Q201" s="172"/>
      <c r="R201" s="172"/>
      <c r="S201" s="172"/>
      <c r="T201" s="193"/>
      <c r="U201" s="193"/>
      <c r="V201" s="193"/>
      <c r="W201" s="193"/>
      <c r="X201" s="191"/>
      <c r="Y201" s="172"/>
      <c r="Z201" s="172"/>
    </row>
    <row r="202" spans="1:26" ht="27" hidden="1" customHeight="1">
      <c r="A202" s="2978"/>
      <c r="B202" s="3259" t="s">
        <v>3517</v>
      </c>
      <c r="C202" s="3260"/>
      <c r="D202" s="3261"/>
      <c r="E202" s="499"/>
      <c r="F202" s="504"/>
      <c r="G202" s="641"/>
      <c r="H202" s="428">
        <f>H39</f>
        <v>89.81</v>
      </c>
      <c r="I202" s="445">
        <f t="shared" ref="I202:L202" si="134">I39</f>
        <v>73.37</v>
      </c>
      <c r="J202" s="1602">
        <f t="shared" ref="J202" si="135">J39</f>
        <v>89.510999999999996</v>
      </c>
      <c r="K202" s="3777">
        <f t="shared" si="100"/>
        <v>-0.18305311212559847</v>
      </c>
      <c r="L202" s="445">
        <f t="shared" si="134"/>
        <v>73.37</v>
      </c>
      <c r="M202" s="1529">
        <f t="shared" ref="M202:N202" si="136">M39</f>
        <v>89.510999999999996</v>
      </c>
      <c r="N202" s="445">
        <f t="shared" si="136"/>
        <v>73.37</v>
      </c>
      <c r="O202" s="1743">
        <f t="shared" ref="O202" si="137">O39</f>
        <v>89.510999999999996</v>
      </c>
      <c r="P202" s="240"/>
      <c r="Q202" s="172"/>
      <c r="R202" s="172"/>
      <c r="S202" s="172"/>
      <c r="T202" s="193"/>
      <c r="U202" s="193"/>
      <c r="V202" s="193"/>
      <c r="W202" s="193"/>
      <c r="X202" s="191"/>
      <c r="Y202" s="172"/>
      <c r="Z202" s="172"/>
    </row>
    <row r="203" spans="1:26" ht="27" hidden="1" customHeight="1">
      <c r="A203" s="2978"/>
      <c r="B203" s="3259" t="s">
        <v>3516</v>
      </c>
      <c r="C203" s="3260"/>
      <c r="D203" s="3261"/>
      <c r="E203" s="499"/>
      <c r="F203" s="504"/>
      <c r="G203" s="641"/>
      <c r="H203" s="428">
        <f>H74</f>
        <v>25.212</v>
      </c>
      <c r="I203" s="445">
        <f t="shared" ref="I203:L203" si="138">I74</f>
        <v>0</v>
      </c>
      <c r="J203" s="1602">
        <f t="shared" ref="J203" si="139">J74</f>
        <v>25.210999999999999</v>
      </c>
      <c r="K203" s="3777">
        <f t="shared" si="100"/>
        <v>-1</v>
      </c>
      <c r="L203" s="445">
        <f t="shared" si="138"/>
        <v>0</v>
      </c>
      <c r="M203" s="1529">
        <f t="shared" ref="M203:N203" si="140">M74</f>
        <v>0</v>
      </c>
      <c r="N203" s="445">
        <f t="shared" si="140"/>
        <v>0</v>
      </c>
      <c r="O203" s="1743">
        <f t="shared" ref="O203" si="141">O74</f>
        <v>0</v>
      </c>
      <c r="P203" s="192"/>
      <c r="Q203" s="172"/>
      <c r="R203" s="172"/>
      <c r="S203" s="172"/>
      <c r="T203" s="193"/>
      <c r="U203" s="193"/>
      <c r="V203" s="193"/>
      <c r="W203" s="193"/>
      <c r="X203" s="191"/>
      <c r="Y203" s="172"/>
      <c r="Z203" s="172"/>
    </row>
    <row r="204" spans="1:26" ht="28.8" customHeight="1">
      <c r="A204" s="2978"/>
      <c r="B204" s="2971" t="s">
        <v>3716</v>
      </c>
      <c r="C204" s="2971"/>
      <c r="D204" s="2971"/>
      <c r="E204" s="170">
        <f>E179</f>
        <v>131.69999999999999</v>
      </c>
      <c r="F204" s="434">
        <f t="shared" si="113"/>
        <v>0.10326499620349305</v>
      </c>
      <c r="G204" s="429">
        <f>G179</f>
        <v>145.30000000000001</v>
      </c>
      <c r="H204" s="170">
        <f t="shared" ref="H204:O204" si="142">H179</f>
        <v>145.30000000000001</v>
      </c>
      <c r="I204" s="213">
        <f>SUM(I179,I180)</f>
        <v>165.62899999999999</v>
      </c>
      <c r="J204" s="1601">
        <f t="shared" si="142"/>
        <v>161.66999999999999</v>
      </c>
      <c r="K204" s="3776">
        <f t="shared" si="100"/>
        <v>0.13991052993805903</v>
      </c>
      <c r="L204" s="213">
        <f t="shared" si="142"/>
        <v>161.66999999999999</v>
      </c>
      <c r="M204" s="1527">
        <f t="shared" si="142"/>
        <v>161.66999999999999</v>
      </c>
      <c r="N204" s="213">
        <f t="shared" si="142"/>
        <v>161.66999999999999</v>
      </c>
      <c r="O204" s="1645">
        <f t="shared" si="142"/>
        <v>161.66999999999999</v>
      </c>
      <c r="P204" s="240"/>
      <c r="Q204" s="172"/>
      <c r="R204" s="172"/>
      <c r="S204" s="172"/>
      <c r="T204" s="193"/>
      <c r="U204" s="193"/>
      <c r="V204" s="193"/>
      <c r="W204" s="193"/>
      <c r="X204" s="191"/>
      <c r="Y204" s="172"/>
      <c r="Z204" s="172"/>
    </row>
    <row r="205" spans="1:26" ht="29.4" customHeight="1">
      <c r="A205" s="2978"/>
      <c r="B205" s="2973" t="s">
        <v>2687</v>
      </c>
      <c r="C205" s="2973"/>
      <c r="D205" s="2973"/>
      <c r="E205" s="241">
        <f>E162</f>
        <v>2.375</v>
      </c>
      <c r="F205" s="434">
        <f t="shared" si="113"/>
        <v>64.947663157894738</v>
      </c>
      <c r="G205" s="429">
        <f>SUM(G20,G26,G91,G92,G123,G129,)</f>
        <v>0</v>
      </c>
      <c r="H205" s="170">
        <f>SUM(H162,H129,H123,H91,H26,H20,H163)</f>
        <v>156.62569999999999</v>
      </c>
      <c r="I205" s="213">
        <f>SUM(I162,I129,I123,I26,I20,I163,I91,)</f>
        <v>412.88500000000005</v>
      </c>
      <c r="J205" s="1601">
        <f>SUM(J162,J129,J123,J91,J26,J20,J163)</f>
        <v>412.88500000000005</v>
      </c>
      <c r="K205" s="3776">
        <f t="shared" si="100"/>
        <v>1.6361254889842476</v>
      </c>
      <c r="L205" s="213">
        <f>SUM(L162,L129,L123,L26,L20,L163,L91,)</f>
        <v>3005.509</v>
      </c>
      <c r="M205" s="1527">
        <f t="shared" ref="M205:O205" si="143">SUM(M162,M129,M123,M91,M26,M20,M163)</f>
        <v>3005.509</v>
      </c>
      <c r="N205" s="213">
        <f>SUM(N162,N129,N123,N91,N26,N20,N163)</f>
        <v>931.64400000000001</v>
      </c>
      <c r="O205" s="1645">
        <f t="shared" si="143"/>
        <v>931.64400000000001</v>
      </c>
      <c r="P205" s="192"/>
      <c r="Q205" s="172"/>
      <c r="R205" s="172"/>
      <c r="S205" s="172"/>
      <c r="T205" s="193"/>
      <c r="U205" s="193"/>
      <c r="V205" s="193"/>
      <c r="W205" s="193"/>
      <c r="X205" s="191"/>
      <c r="Y205" s="172"/>
      <c r="Z205" s="172"/>
    </row>
    <row r="206" spans="1:26" ht="21" customHeight="1">
      <c r="A206" s="2978"/>
      <c r="B206" s="2971" t="s">
        <v>724</v>
      </c>
      <c r="C206" s="2971"/>
      <c r="D206" s="2971"/>
      <c r="E206" s="170">
        <v>0</v>
      </c>
      <c r="F206" s="434">
        <v>0</v>
      </c>
      <c r="G206" s="429">
        <v>0</v>
      </c>
      <c r="H206" s="170">
        <f>SUM(H24,H30,H95,H127,H133,)</f>
        <v>0</v>
      </c>
      <c r="I206" s="213">
        <f>SUM(I24,I30,I95,I127,I133,)</f>
        <v>451.762</v>
      </c>
      <c r="J206" s="1601">
        <f>SUM(J24,J30,J95,J127,J133,)</f>
        <v>0</v>
      </c>
      <c r="K206" s="3776" t="e">
        <f t="shared" si="100"/>
        <v>#DIV/0!</v>
      </c>
      <c r="L206" s="213">
        <f>SUM(L24,L30,L95,L127,L133,)</f>
        <v>236.68999999999997</v>
      </c>
      <c r="M206" s="1527">
        <f>SUM(M24,M30,M95,M127,M133,)</f>
        <v>0</v>
      </c>
      <c r="N206" s="213">
        <f>SUM(N24,N30,N95,N127,N133,)</f>
        <v>54.908000000000001</v>
      </c>
      <c r="O206" s="1645">
        <f>SUM(O24,O30,O95,O127,O133,)</f>
        <v>0</v>
      </c>
      <c r="P206" s="192"/>
      <c r="Q206" s="172"/>
      <c r="R206" s="172"/>
      <c r="S206" s="172"/>
      <c r="T206" s="193"/>
      <c r="U206" s="193"/>
      <c r="V206" s="193"/>
      <c r="W206" s="193"/>
      <c r="X206" s="191"/>
      <c r="Y206" s="172"/>
      <c r="Z206" s="172"/>
    </row>
    <row r="207" spans="1:26" ht="21" customHeight="1">
      <c r="A207" s="2978"/>
      <c r="B207" s="2971" t="s">
        <v>725</v>
      </c>
      <c r="C207" s="2971"/>
      <c r="D207" s="2971"/>
      <c r="E207" s="170">
        <f>SUM(E79,E87,E93,E120,E164,E195,E169,E44)</f>
        <v>918.69600000000003</v>
      </c>
      <c r="F207" s="434">
        <f t="shared" si="113"/>
        <v>0.8570756811828939</v>
      </c>
      <c r="G207" s="429">
        <f>SUM(G79,G87,G93,G120,G164,G195,G169,G44)</f>
        <v>604.048</v>
      </c>
      <c r="H207" s="170">
        <f>SUM(H79,H87,H93,H164,H195,H169,H44,H132,H126,H29,H23,H71,H121)</f>
        <v>1706.088</v>
      </c>
      <c r="I207" s="213">
        <f>SUM(I79,I87,I93,I164,I195,I169,I44,I132,I126,I29,I23,I71,I121,I68,I186,)</f>
        <v>1049.001</v>
      </c>
      <c r="J207" s="1601">
        <f>SUM(J79,J87,J93,J164,J195,J169,J44,J132,J126,J29,J23,J71,J121)</f>
        <v>0</v>
      </c>
      <c r="K207" s="3776">
        <f t="shared" si="100"/>
        <v>-0.38514250144189516</v>
      </c>
      <c r="L207" s="213">
        <f>SUM(L79,L87,L93,L164,L195,L169,L44,L132,L126,L29,L23,L71,L121)</f>
        <v>0</v>
      </c>
      <c r="M207" s="1527">
        <f>SUM(M79,M87,M93,M164,M195,M169,M44,M132,M126,M29,M23,M71,M121)</f>
        <v>0</v>
      </c>
      <c r="N207" s="213">
        <f>SUM(N79,N87,N93,N164,N195,N169,N44,N132,N126,N29,N23,N71,N121)</f>
        <v>0</v>
      </c>
      <c r="O207" s="1645">
        <f>SUM(O79,O87,O93,O164,O195,O169,O44,O132,O126,O29,O23,O71,O121)</f>
        <v>0</v>
      </c>
      <c r="P207" s="240"/>
      <c r="Q207" s="172"/>
      <c r="R207" s="172"/>
      <c r="S207" s="172"/>
      <c r="T207" s="193"/>
      <c r="U207" s="193"/>
      <c r="V207" s="193"/>
      <c r="W207" s="193"/>
      <c r="X207" s="191"/>
      <c r="Y207" s="172"/>
      <c r="Z207" s="172"/>
    </row>
    <row r="208" spans="1:26" ht="36.6" customHeight="1">
      <c r="A208" s="2978"/>
      <c r="B208" s="2972" t="s">
        <v>726</v>
      </c>
      <c r="C208" s="2972"/>
      <c r="D208" s="2972"/>
      <c r="E208" s="194">
        <f>SUM(E91,E85)</f>
        <v>94.785000000000011</v>
      </c>
      <c r="F208" s="434">
        <f t="shared" si="113"/>
        <v>-1</v>
      </c>
      <c r="G208" s="431">
        <f>SUM(G91,G85)</f>
        <v>0</v>
      </c>
      <c r="H208" s="194">
        <f>SUM(H91,H85)</f>
        <v>0</v>
      </c>
      <c r="I208" s="314">
        <v>0</v>
      </c>
      <c r="J208" s="1603">
        <f>SUM(J91,J85)</f>
        <v>0</v>
      </c>
      <c r="K208" s="3778"/>
      <c r="L208" s="314">
        <v>0</v>
      </c>
      <c r="M208" s="1688">
        <f t="shared" ref="M208:O208" si="144">SUM(M91,M85)</f>
        <v>0</v>
      </c>
      <c r="N208" s="314">
        <f t="shared" si="144"/>
        <v>0</v>
      </c>
      <c r="O208" s="1714">
        <f t="shared" si="144"/>
        <v>0</v>
      </c>
      <c r="P208" s="192"/>
      <c r="Q208" s="172"/>
      <c r="R208" s="172"/>
      <c r="S208" s="172"/>
      <c r="T208" s="193"/>
      <c r="U208" s="193"/>
      <c r="V208" s="193"/>
      <c r="W208" s="193"/>
      <c r="X208" s="191"/>
      <c r="Y208" s="172"/>
      <c r="Z208" s="172"/>
    </row>
    <row r="209" spans="1:26" ht="34.950000000000003" customHeight="1">
      <c r="A209" s="2978"/>
      <c r="B209" s="2972" t="s">
        <v>1082</v>
      </c>
      <c r="C209" s="2972"/>
      <c r="D209" s="2972"/>
      <c r="E209" s="166">
        <f>E199+E208</f>
        <v>2019.7590000000002</v>
      </c>
      <c r="F209" s="434">
        <f t="shared" si="113"/>
        <v>0.41527563437023907</v>
      </c>
      <c r="G209" s="432">
        <f t="shared" ref="G209:O209" si="145">G199+G208</f>
        <v>2169.125</v>
      </c>
      <c r="H209" s="166">
        <f t="shared" si="145"/>
        <v>2858.5156999999999</v>
      </c>
      <c r="I209" s="225">
        <f>I199+I208</f>
        <v>3319.0779999999995</v>
      </c>
      <c r="J209" s="1604">
        <f>J199+J208</f>
        <v>3239.7010000000009</v>
      </c>
      <c r="K209" s="3779">
        <f>(I209-H209)/H209</f>
        <v>0.16111938793969177</v>
      </c>
      <c r="L209" s="225">
        <f t="shared" si="145"/>
        <v>6253.945999999999</v>
      </c>
      <c r="M209" s="1539">
        <f t="shared" si="145"/>
        <v>6193.4470000000001</v>
      </c>
      <c r="N209" s="225">
        <f>N199+N208</f>
        <v>3741.8110000000001</v>
      </c>
      <c r="O209" s="1644">
        <f t="shared" si="145"/>
        <v>3688.893</v>
      </c>
      <c r="P209" s="191"/>
      <c r="Q209" s="172"/>
      <c r="R209" s="172"/>
      <c r="S209" s="172"/>
      <c r="T209" s="193"/>
      <c r="U209" s="193"/>
      <c r="V209" s="193"/>
      <c r="W209" s="193"/>
      <c r="X209" s="191"/>
      <c r="Y209" s="172"/>
      <c r="Z209" s="172"/>
    </row>
    <row r="210" spans="1:26" ht="21" customHeight="1">
      <c r="A210" s="2978"/>
      <c r="B210" s="2972" t="s">
        <v>1914</v>
      </c>
      <c r="C210" s="2972"/>
      <c r="D210" s="2972"/>
      <c r="E210" s="169">
        <v>0</v>
      </c>
      <c r="F210" s="434" t="e">
        <f t="shared" si="113"/>
        <v>#DIV/0!</v>
      </c>
      <c r="G210" s="430">
        <f>SUM(G25,G31,G128,G134,G197)</f>
        <v>532.04700000000003</v>
      </c>
      <c r="H210" s="169">
        <f>SUM(H25,H31,H128,H134,H197)</f>
        <v>528.548</v>
      </c>
      <c r="I210" s="226">
        <f>SUM(I25,I31,I128,I134,I197)</f>
        <v>977.96299999999997</v>
      </c>
      <c r="J210" s="1600">
        <f>SUM(J25,J31,J128,J134,J197)</f>
        <v>977.96299999999997</v>
      </c>
      <c r="K210" s="3775">
        <f t="shared" si="100"/>
        <v>0.85028228278226381</v>
      </c>
      <c r="L210" s="226">
        <f t="shared" ref="L210:N210" si="146">SUM(L25,L31,L128,L134,L197)</f>
        <v>3295.2870000000003</v>
      </c>
      <c r="M210" s="1687">
        <f t="shared" si="146"/>
        <v>3295.2870000000003</v>
      </c>
      <c r="N210" s="226">
        <f t="shared" si="146"/>
        <v>1046.5520000000001</v>
      </c>
      <c r="O210" s="1715">
        <f t="shared" ref="O210" si="147">SUM(O25,O31,O128,O134,O197)</f>
        <v>1046.5520000000001</v>
      </c>
      <c r="P210" s="191"/>
      <c r="Q210" s="172"/>
      <c r="R210" s="172"/>
      <c r="S210" s="172"/>
      <c r="T210" s="193"/>
      <c r="U210" s="193"/>
      <c r="V210" s="193"/>
      <c r="W210" s="193"/>
      <c r="X210" s="191"/>
      <c r="Y210" s="172"/>
      <c r="Z210" s="172"/>
    </row>
    <row r="211" spans="1:26" ht="40.950000000000003" customHeight="1">
      <c r="A211" s="2979"/>
      <c r="B211" s="2972" t="s">
        <v>727</v>
      </c>
      <c r="C211" s="2972"/>
      <c r="D211" s="2972"/>
      <c r="E211" s="195"/>
      <c r="F211" s="434" t="e">
        <f t="shared" si="113"/>
        <v>#DIV/0!</v>
      </c>
      <c r="G211" s="433"/>
      <c r="H211" s="195">
        <f>H209/E209-1</f>
        <v>0.41527563437023907</v>
      </c>
      <c r="I211" s="3780">
        <f>I209/H209-1</f>
        <v>0.16111938793969172</v>
      </c>
      <c r="J211" s="3781">
        <f>J209/I209-1</f>
        <v>-2.3915376499135776E-2</v>
      </c>
      <c r="K211" s="3782">
        <f t="shared" si="100"/>
        <v>-0.61201820043203958</v>
      </c>
      <c r="L211" s="291">
        <f>L209/I209-1</f>
        <v>0.88424194911960496</v>
      </c>
      <c r="M211" s="1806">
        <f>M209/J209-1</f>
        <v>0.91173413842820628</v>
      </c>
      <c r="N211" s="291">
        <f>N209/L209-1</f>
        <v>-0.40168799027046276</v>
      </c>
      <c r="O211" s="1646">
        <f>O209/M209-1</f>
        <v>-0.40438773432629682</v>
      </c>
      <c r="P211" s="191"/>
      <c r="Q211" s="89"/>
      <c r="R211" s="172"/>
      <c r="S211" s="172"/>
      <c r="T211" s="193"/>
      <c r="U211" s="193"/>
      <c r="V211" s="193"/>
      <c r="W211" s="193"/>
      <c r="X211" s="191"/>
      <c r="Y211" s="172"/>
      <c r="Z211" s="172"/>
    </row>
    <row r="212" spans="1:26" ht="21" hidden="1" customHeight="1"/>
    <row r="213" spans="1:26" ht="21" hidden="1" customHeight="1">
      <c r="E213" s="87">
        <v>1824.096</v>
      </c>
    </row>
    <row r="214" spans="1:26" ht="21" hidden="1" customHeight="1">
      <c r="E214" s="115">
        <f>E213-E200-E204-E207</f>
        <v>0</v>
      </c>
      <c r="F214" s="115"/>
      <c r="G214" s="115"/>
    </row>
    <row r="215" spans="1:26" ht="21" hidden="1" customHeight="1">
      <c r="B215" s="3249"/>
      <c r="C215" s="3249"/>
      <c r="D215" s="3249"/>
    </row>
    <row r="216" spans="1:26" ht="21" hidden="1" customHeight="1">
      <c r="G216" s="87" t="s">
        <v>3557</v>
      </c>
      <c r="H216" s="87">
        <v>2586.8679999999999</v>
      </c>
    </row>
    <row r="217" spans="1:26" ht="21" hidden="1" customHeight="1">
      <c r="H217" s="115">
        <f>H216-H200-H204-H206-H207</f>
        <v>0</v>
      </c>
    </row>
    <row r="218" spans="1:26" ht="21" hidden="1" customHeight="1"/>
    <row r="219" spans="1:26" ht="21" hidden="1" customHeight="1">
      <c r="G219" s="804"/>
      <c r="H219" s="806">
        <v>2701.89</v>
      </c>
      <c r="I219" s="804">
        <v>5654.4359999999997</v>
      </c>
      <c r="J219" s="1730">
        <v>5654.4359999999997</v>
      </c>
      <c r="K219" s="2198"/>
      <c r="L219" s="811">
        <v>4854.4129999999996</v>
      </c>
      <c r="M219" s="1744">
        <v>4854.4129999999996</v>
      </c>
      <c r="N219" s="811">
        <v>4854.4129999999996</v>
      </c>
      <c r="O219" s="1744">
        <v>4854.4129999999996</v>
      </c>
    </row>
    <row r="220" spans="1:26" ht="21" hidden="1" customHeight="1">
      <c r="G220" s="805" t="s">
        <v>3585</v>
      </c>
      <c r="H220" s="806">
        <f t="shared" ref="H220:O220" si="148">H219-H209</f>
        <v>-156.62570000000005</v>
      </c>
      <c r="I220" s="806">
        <f t="shared" si="148"/>
        <v>2335.3580000000002</v>
      </c>
      <c r="J220" s="1731">
        <f t="shared" si="148"/>
        <v>2414.7349999999988</v>
      </c>
      <c r="K220" s="2199"/>
      <c r="L220" s="812">
        <f t="shared" si="148"/>
        <v>-1399.5329999999994</v>
      </c>
      <c r="M220" s="1745">
        <f t="shared" si="148"/>
        <v>-1339.0340000000006</v>
      </c>
      <c r="N220" s="812">
        <f t="shared" si="148"/>
        <v>1112.6019999999994</v>
      </c>
      <c r="O220" s="1745">
        <f t="shared" si="148"/>
        <v>1165.5199999999995</v>
      </c>
    </row>
    <row r="221" spans="1:26" ht="21" customHeight="1">
      <c r="H221" s="115"/>
    </row>
    <row r="222" spans="1:26" ht="21" hidden="1" customHeight="1">
      <c r="H222" s="115"/>
    </row>
    <row r="223" spans="1:26" ht="21" hidden="1" customHeight="1">
      <c r="J223" s="84"/>
      <c r="K223" s="2200"/>
      <c r="L223" s="710"/>
      <c r="M223" s="1923" t="s">
        <v>4157</v>
      </c>
      <c r="N223" s="1923" t="s">
        <v>4159</v>
      </c>
      <c r="O223" s="1923" t="s">
        <v>4158</v>
      </c>
      <c r="P223" s="278"/>
    </row>
    <row r="224" spans="1:26" ht="21" hidden="1" customHeight="1">
      <c r="J224" s="84"/>
      <c r="K224" s="3370" t="s">
        <v>4160</v>
      </c>
      <c r="L224" s="1923" t="s">
        <v>4156</v>
      </c>
      <c r="M224" s="1924">
        <f>SUM(H178)</f>
        <v>249.98</v>
      </c>
      <c r="N224" s="1924">
        <f t="shared" ref="N224:O224" si="149">SUM(I178)</f>
        <v>263.60000000000002</v>
      </c>
      <c r="O224" s="1924">
        <f t="shared" si="149"/>
        <v>199.87</v>
      </c>
      <c r="P224" s="1981"/>
    </row>
    <row r="225" spans="10:16" ht="21" hidden="1" customHeight="1">
      <c r="J225" s="84"/>
      <c r="K225" s="3370"/>
      <c r="L225" s="1923" t="s">
        <v>3508</v>
      </c>
      <c r="M225" s="1924">
        <f>SUM(H32,H34,H36,H38,H41,H43,H53,H55,H57,H62,H67,H70,H121,H120,H94,H144,H168,H185,H195,H196,H71,H44,)</f>
        <v>1427.9199999999998</v>
      </c>
      <c r="N225" s="1924">
        <f>SUM(I32,I34,I36,I38,I41,I43,I53,I55,I57,I62,I67,I70,I121,I120,I94,I144,I185,I195,I196,I71,I44,I171,I174)</f>
        <v>1366.0309999999999</v>
      </c>
      <c r="O225" s="1924">
        <f>SUM(J32,J34,J36,J38,J41,J43,J53,J55,J57,J62,J67,J70,J121,J120,J94,J144,J185,J195,J196,J71,J44,J171)</f>
        <v>1514.5509999999999</v>
      </c>
      <c r="P225" s="1900">
        <f>(N225-M225)/M225</f>
        <v>-4.3342063981175349E-2</v>
      </c>
    </row>
    <row r="226" spans="10:16" ht="21" hidden="1" customHeight="1" thickBot="1">
      <c r="J226" s="84"/>
      <c r="K226" s="3370"/>
      <c r="L226" s="1923" t="s">
        <v>4155</v>
      </c>
      <c r="M226" s="1925">
        <f>SUM(H169,H126,H125,H87,H88,H29,H28,H23,H22,H131,H132,H93)</f>
        <v>763.66800000000001</v>
      </c>
      <c r="N226" s="1925">
        <f>SUM(I126,I125,I87,I88,I29,I28,I23,I22,I131,I132,)</f>
        <v>371.041</v>
      </c>
      <c r="O226" s="1925">
        <f>SUM(J174,J126,J125,J87,J88,J29,J28,J23,J22,J131,J132,)</f>
        <v>836.00299999999993</v>
      </c>
      <c r="P226" s="1900">
        <f>(N226-M226)/M226</f>
        <v>-0.51413310496184206</v>
      </c>
    </row>
    <row r="227" spans="10:16" ht="21" hidden="1" customHeight="1" thickBot="1">
      <c r="J227" s="84"/>
      <c r="K227" s="2201"/>
      <c r="L227" s="1647" t="s">
        <v>4173</v>
      </c>
      <c r="M227" s="1926">
        <f>SUM(M224,M225,M226)</f>
        <v>2441.5679999999998</v>
      </c>
      <c r="N227" s="1926">
        <f t="shared" ref="N227:O227" si="150">SUM(N224,N225,N226)</f>
        <v>2000.6719999999998</v>
      </c>
      <c r="O227" s="1926">
        <f t="shared" si="150"/>
        <v>2550.424</v>
      </c>
      <c r="P227" s="1900">
        <f>(N227-M227)/M227</f>
        <v>-0.18057903773312889</v>
      </c>
    </row>
    <row r="228" spans="10:16" ht="21" hidden="1" customHeight="1">
      <c r="J228" s="84"/>
      <c r="K228" s="2201"/>
      <c r="L228" s="1647"/>
      <c r="M228" s="1920">
        <f>H200+H207</f>
        <v>2441.5680000000002</v>
      </c>
      <c r="N228" s="1920">
        <f t="shared" ref="N228:O228" si="151">I200+I207</f>
        <v>2215.4319999999998</v>
      </c>
      <c r="O228" s="1920">
        <f t="shared" si="151"/>
        <v>2550.4240000000004</v>
      </c>
      <c r="P228" s="84"/>
    </row>
    <row r="229" spans="10:16" ht="62.4" hidden="1" customHeight="1">
      <c r="J229" s="1921" t="s">
        <v>4171</v>
      </c>
      <c r="K229" s="2202">
        <f>N225-M225</f>
        <v>-61.888999999999896</v>
      </c>
      <c r="L229" s="1649"/>
      <c r="M229" s="115">
        <f>SUM(M227-H200-H207)</f>
        <v>-2.2737367544323206E-13</v>
      </c>
      <c r="N229" s="1922">
        <f t="shared" ref="N229:O229" si="152">N227-N228</f>
        <v>-214.76</v>
      </c>
      <c r="O229" s="87">
        <f t="shared" si="152"/>
        <v>0</v>
      </c>
      <c r="P229" s="113"/>
    </row>
    <row r="230" spans="10:16" ht="58.2" hidden="1" customHeight="1">
      <c r="J230" s="1921" t="s">
        <v>4172</v>
      </c>
      <c r="K230" s="2202">
        <f>N226-M226</f>
        <v>-392.62700000000001</v>
      </c>
      <c r="L230" s="1649"/>
      <c r="M230" s="1442"/>
      <c r="N230" s="84"/>
      <c r="O230" s="1647"/>
      <c r="P230" s="84"/>
    </row>
    <row r="231" spans="10:16" ht="21" hidden="1" customHeight="1">
      <c r="M231" s="1695">
        <f>SUM(L32,L34,L36,L38,L41,L43,L53,L55,L57,L62,L67,L70,L94,L120,L144,L168,L185,L196,)</f>
        <v>1066.8389999999999</v>
      </c>
      <c r="N231" s="115">
        <f>SUM(N32,N34,N36,N38,N41,N43,N53,N55,N57,N62,N67,N70,N94,N144,N168,N185,N196)</f>
        <v>979.6</v>
      </c>
    </row>
    <row r="232" spans="10:16" ht="21" hidden="1" customHeight="1">
      <c r="K232" s="2203">
        <f>SUM(K229,K230)</f>
        <v>-454.51599999999991</v>
      </c>
    </row>
    <row r="233" spans="10:16" ht="21" hidden="1" customHeight="1"/>
    <row r="234" spans="10:16" ht="21" hidden="1" customHeight="1"/>
    <row r="235" spans="10:16" ht="21" hidden="1" customHeight="1"/>
    <row r="236" spans="10:16" ht="21" hidden="1" customHeight="1"/>
    <row r="237" spans="10:16" ht="21" hidden="1" customHeight="1"/>
    <row r="238" spans="10:16" ht="21" hidden="1" customHeight="1"/>
    <row r="239" spans="10:16" ht="21" hidden="1" customHeight="1"/>
    <row r="240" spans="10:16" ht="21" hidden="1" customHeight="1"/>
    <row r="241" ht="21" hidden="1" customHeight="1"/>
    <row r="242" ht="21" hidden="1" customHeight="1"/>
    <row r="243" ht="21" hidden="1" customHeight="1"/>
    <row r="244" ht="21" hidden="1" customHeight="1"/>
    <row r="245" ht="21" hidden="1" customHeight="1"/>
    <row r="246" ht="21" hidden="1" customHeight="1"/>
    <row r="247" ht="21" hidden="1" customHeight="1"/>
    <row r="248" ht="21" hidden="1" customHeight="1"/>
    <row r="249" ht="21" hidden="1" customHeight="1"/>
    <row r="250" ht="21" hidden="1" customHeight="1"/>
    <row r="251" ht="21" hidden="1" customHeight="1"/>
    <row r="252" ht="21" hidden="1" customHeight="1"/>
    <row r="253" ht="21" hidden="1" customHeight="1"/>
    <row r="254" ht="21" hidden="1" customHeight="1"/>
    <row r="255" ht="21" hidden="1" customHeight="1"/>
    <row r="256" ht="21" hidden="1" customHeight="1"/>
    <row r="257" spans="9:14" ht="21" hidden="1" customHeight="1"/>
    <row r="258" spans="9:14" ht="21" hidden="1" customHeight="1"/>
    <row r="259" spans="9:14" ht="21" hidden="1" customHeight="1"/>
    <row r="260" spans="9:14" ht="21" hidden="1" customHeight="1"/>
    <row r="261" spans="9:14" ht="21" hidden="1" customHeight="1"/>
    <row r="262" spans="9:14" ht="21" hidden="1" customHeight="1"/>
    <row r="263" spans="9:14" ht="21" hidden="1" customHeight="1"/>
    <row r="264" spans="9:14" ht="21" hidden="1" customHeight="1"/>
    <row r="265" spans="9:14" ht="21" hidden="1" customHeight="1">
      <c r="I265" s="115">
        <f>SUM(I19,I52,I59,I78,I90,I167,I194,)</f>
        <v>3319.078</v>
      </c>
      <c r="J265" s="115">
        <f t="shared" ref="J265:N265" si="153">SUM(J19,J52,J59,J78,J90,J167,J194,)</f>
        <v>3239.701</v>
      </c>
      <c r="K265" s="115" t="e">
        <f t="shared" si="153"/>
        <v>#DIV/0!</v>
      </c>
      <c r="L265" s="115">
        <f t="shared" si="153"/>
        <v>6253.9459999999999</v>
      </c>
      <c r="M265" s="115">
        <f t="shared" si="153"/>
        <v>6173.447000000001</v>
      </c>
      <c r="N265" s="115">
        <f t="shared" si="153"/>
        <v>3741.8110000000001</v>
      </c>
    </row>
    <row r="266" spans="9:14" ht="21" hidden="1" customHeight="1">
      <c r="I266" s="115">
        <f>I209-I265</f>
        <v>0</v>
      </c>
      <c r="J266" s="115">
        <f t="shared" ref="J266:N266" si="154">J209-J265</f>
        <v>0</v>
      </c>
      <c r="K266" s="115" t="e">
        <f t="shared" si="154"/>
        <v>#DIV/0!</v>
      </c>
      <c r="L266" s="115">
        <f t="shared" si="154"/>
        <v>0</v>
      </c>
      <c r="M266" s="115">
        <f t="shared" si="154"/>
        <v>19.999999999999091</v>
      </c>
      <c r="N266" s="115">
        <f t="shared" si="154"/>
        <v>0</v>
      </c>
    </row>
    <row r="267" spans="9:14" ht="21" hidden="1" customHeight="1"/>
  </sheetData>
  <sheetProtection algorithmName="SHA-512" hashValue="+0jNNsnUzjf1ID2zOhCFgv77EkbGoU7hPapOGOK42Fw/7+pMFiQQkPLvUZHxG8PgaFnbN14KilFyciSXdndWUg==" saltValue="tG1TmYOfWWpfFKG9xEZnMw==" spinCount="100000" sheet="1" objects="1" scenarios="1"/>
  <mergeCells count="525">
    <mergeCell ref="K224:K226"/>
    <mergeCell ref="X178:X182"/>
    <mergeCell ref="X185:X187"/>
    <mergeCell ref="X195:X197"/>
    <mergeCell ref="T17:X17"/>
    <mergeCell ref="X55:X56"/>
    <mergeCell ref="X57:X58"/>
    <mergeCell ref="X62:X63"/>
    <mergeCell ref="X67:X69"/>
    <mergeCell ref="X70:X77"/>
    <mergeCell ref="X87:X89"/>
    <mergeCell ref="X91:X96"/>
    <mergeCell ref="X97:X101"/>
    <mergeCell ref="X106:X109"/>
    <mergeCell ref="W97:W101"/>
    <mergeCell ref="V97:V101"/>
    <mergeCell ref="T102:T105"/>
    <mergeCell ref="U102:U105"/>
    <mergeCell ref="V102:V105"/>
    <mergeCell ref="T97:T101"/>
    <mergeCell ref="U97:U101"/>
    <mergeCell ref="V60:V61"/>
    <mergeCell ref="W62:W63"/>
    <mergeCell ref="U38:U40"/>
    <mergeCell ref="X26:X30"/>
    <mergeCell ref="X32:X33"/>
    <mergeCell ref="X34:X35"/>
    <mergeCell ref="X36:X37"/>
    <mergeCell ref="X38:X40"/>
    <mergeCell ref="X43:X45"/>
    <mergeCell ref="X53:X54"/>
    <mergeCell ref="V47:V51"/>
    <mergeCell ref="Q34:Q35"/>
    <mergeCell ref="R34:R35"/>
    <mergeCell ref="S26:S30"/>
    <mergeCell ref="U26:U30"/>
    <mergeCell ref="V26:V30"/>
    <mergeCell ref="W26:W30"/>
    <mergeCell ref="S34:S35"/>
    <mergeCell ref="T34:T35"/>
    <mergeCell ref="U34:U35"/>
    <mergeCell ref="V34:V35"/>
    <mergeCell ref="B74:B77"/>
    <mergeCell ref="A81:A82"/>
    <mergeCell ref="B81:B82"/>
    <mergeCell ref="C81:C82"/>
    <mergeCell ref="P81:P82"/>
    <mergeCell ref="P70:P77"/>
    <mergeCell ref="A97:A101"/>
    <mergeCell ref="B97:B101"/>
    <mergeCell ref="C97:C101"/>
    <mergeCell ref="A83:A84"/>
    <mergeCell ref="B83:B84"/>
    <mergeCell ref="C83:C84"/>
    <mergeCell ref="P83:P84"/>
    <mergeCell ref="P85:P86"/>
    <mergeCell ref="A85:A86"/>
    <mergeCell ref="B85:B86"/>
    <mergeCell ref="C85:C86"/>
    <mergeCell ref="Y26:Z31"/>
    <mergeCell ref="Y59:Z61"/>
    <mergeCell ref="Y34:Z45"/>
    <mergeCell ref="U36:U37"/>
    <mergeCell ref="V36:V37"/>
    <mergeCell ref="V38:V40"/>
    <mergeCell ref="Q102:Q105"/>
    <mergeCell ref="R102:R105"/>
    <mergeCell ref="S102:S105"/>
    <mergeCell ref="W38:W40"/>
    <mergeCell ref="V41:V42"/>
    <mergeCell ref="W41:W42"/>
    <mergeCell ref="X41:X42"/>
    <mergeCell ref="U43:U45"/>
    <mergeCell ref="V43:V45"/>
    <mergeCell ref="Y47:Z51"/>
    <mergeCell ref="Y52:Z58"/>
    <mergeCell ref="V53:V54"/>
    <mergeCell ref="V55:V56"/>
    <mergeCell ref="V57:V58"/>
    <mergeCell ref="W55:W56"/>
    <mergeCell ref="W57:W58"/>
    <mergeCell ref="V62:V63"/>
    <mergeCell ref="Y62:Z63"/>
    <mergeCell ref="B43:B45"/>
    <mergeCell ref="T39:T40"/>
    <mergeCell ref="B34:B35"/>
    <mergeCell ref="C34:C35"/>
    <mergeCell ref="P34:P35"/>
    <mergeCell ref="R38:R40"/>
    <mergeCell ref="Q26:Q31"/>
    <mergeCell ref="Q43:Q45"/>
    <mergeCell ref="R43:R45"/>
    <mergeCell ref="S43:S45"/>
    <mergeCell ref="T43:T45"/>
    <mergeCell ref="P36:P37"/>
    <mergeCell ref="Q36:Q37"/>
    <mergeCell ref="R36:R37"/>
    <mergeCell ref="S36:S37"/>
    <mergeCell ref="T36:T37"/>
    <mergeCell ref="S38:S40"/>
    <mergeCell ref="Q38:Q40"/>
    <mergeCell ref="A43:A45"/>
    <mergeCell ref="C43:C45"/>
    <mergeCell ref="P43:P45"/>
    <mergeCell ref="A1:P1"/>
    <mergeCell ref="E17:E18"/>
    <mergeCell ref="C17:C18"/>
    <mergeCell ref="D17:D18"/>
    <mergeCell ref="A26:A31"/>
    <mergeCell ref="B26:B31"/>
    <mergeCell ref="C26:C31"/>
    <mergeCell ref="P26:P31"/>
    <mergeCell ref="B17:B18"/>
    <mergeCell ref="A17:A18"/>
    <mergeCell ref="A34:A35"/>
    <mergeCell ref="A36:A37"/>
    <mergeCell ref="B36:B37"/>
    <mergeCell ref="C36:C37"/>
    <mergeCell ref="A38:A40"/>
    <mergeCell ref="B38:B40"/>
    <mergeCell ref="C38:C40"/>
    <mergeCell ref="P38:P40"/>
    <mergeCell ref="J17:J18"/>
    <mergeCell ref="M17:M18"/>
    <mergeCell ref="N17:N18"/>
    <mergeCell ref="Y20:Z25"/>
    <mergeCell ref="H17:H18"/>
    <mergeCell ref="Q17:Q18"/>
    <mergeCell ref="R17:R18"/>
    <mergeCell ref="S17:S18"/>
    <mergeCell ref="P17:P18"/>
    <mergeCell ref="P20:P25"/>
    <mergeCell ref="I17:I18"/>
    <mergeCell ref="O17:O18"/>
    <mergeCell ref="X20:X24"/>
    <mergeCell ref="K17:K18"/>
    <mergeCell ref="S20:S24"/>
    <mergeCell ref="U20:U24"/>
    <mergeCell ref="V20:V24"/>
    <mergeCell ref="W20:W24"/>
    <mergeCell ref="T1:Z1"/>
    <mergeCell ref="A2:Z2"/>
    <mergeCell ref="A12:D12"/>
    <mergeCell ref="A14:Z14"/>
    <mergeCell ref="Y17:Z18"/>
    <mergeCell ref="V32:V33"/>
    <mergeCell ref="Y32:Z33"/>
    <mergeCell ref="R26:R31"/>
    <mergeCell ref="T26:T31"/>
    <mergeCell ref="A20:A25"/>
    <mergeCell ref="B20:B25"/>
    <mergeCell ref="C20:C25"/>
    <mergeCell ref="Q20:Q25"/>
    <mergeCell ref="R20:R25"/>
    <mergeCell ref="A32:A33"/>
    <mergeCell ref="B32:B33"/>
    <mergeCell ref="C32:C33"/>
    <mergeCell ref="P32:P33"/>
    <mergeCell ref="Q32:Q33"/>
    <mergeCell ref="R32:R33"/>
    <mergeCell ref="S32:S33"/>
    <mergeCell ref="T32:T33"/>
    <mergeCell ref="U32:U33"/>
    <mergeCell ref="Y19:Z19"/>
    <mergeCell ref="A47:A51"/>
    <mergeCell ref="B47:B51"/>
    <mergeCell ref="C47:C51"/>
    <mergeCell ref="P47:P51"/>
    <mergeCell ref="Q47:Q51"/>
    <mergeCell ref="R47:R51"/>
    <mergeCell ref="S47:S51"/>
    <mergeCell ref="T47:T51"/>
    <mergeCell ref="U47:U51"/>
    <mergeCell ref="A53:A54"/>
    <mergeCell ref="B53:B54"/>
    <mergeCell ref="C53:C54"/>
    <mergeCell ref="P53:P54"/>
    <mergeCell ref="Q53:Q54"/>
    <mergeCell ref="R53:R54"/>
    <mergeCell ref="S53:S54"/>
    <mergeCell ref="T53:T54"/>
    <mergeCell ref="U53:U54"/>
    <mergeCell ref="A55:A56"/>
    <mergeCell ref="B55:B56"/>
    <mergeCell ref="C55:C56"/>
    <mergeCell ref="P55:P56"/>
    <mergeCell ref="Q55:Q56"/>
    <mergeCell ref="R55:R56"/>
    <mergeCell ref="S55:S56"/>
    <mergeCell ref="T55:T56"/>
    <mergeCell ref="U55:U56"/>
    <mergeCell ref="A57:A58"/>
    <mergeCell ref="B57:B58"/>
    <mergeCell ref="C57:C58"/>
    <mergeCell ref="P57:P58"/>
    <mergeCell ref="Q57:Q58"/>
    <mergeCell ref="R57:R58"/>
    <mergeCell ref="S57:S58"/>
    <mergeCell ref="T57:T58"/>
    <mergeCell ref="U57:U58"/>
    <mergeCell ref="A60:A61"/>
    <mergeCell ref="B60:B61"/>
    <mergeCell ref="C60:C61"/>
    <mergeCell ref="P60:P61"/>
    <mergeCell ref="Q60:Q61"/>
    <mergeCell ref="R60:R61"/>
    <mergeCell ref="S60:S61"/>
    <mergeCell ref="T60:T61"/>
    <mergeCell ref="U60:U61"/>
    <mergeCell ref="Y67:Z69"/>
    <mergeCell ref="A62:A63"/>
    <mergeCell ref="B62:B63"/>
    <mergeCell ref="C62:C63"/>
    <mergeCell ref="Q62:Q63"/>
    <mergeCell ref="R62:R63"/>
    <mergeCell ref="S62:S63"/>
    <mergeCell ref="P62:P63"/>
    <mergeCell ref="W67:W69"/>
    <mergeCell ref="T62:T63"/>
    <mergeCell ref="U62:U63"/>
    <mergeCell ref="A67:A69"/>
    <mergeCell ref="B67:B69"/>
    <mergeCell ref="C67:C69"/>
    <mergeCell ref="P67:P69"/>
    <mergeCell ref="Q67:Q69"/>
    <mergeCell ref="R67:R69"/>
    <mergeCell ref="S67:S69"/>
    <mergeCell ref="T67:T69"/>
    <mergeCell ref="U67:U69"/>
    <mergeCell ref="V67:V69"/>
    <mergeCell ref="Y70:Z77"/>
    <mergeCell ref="Y78:Z78"/>
    <mergeCell ref="A79:A80"/>
    <mergeCell ref="C79:C80"/>
    <mergeCell ref="P79:P80"/>
    <mergeCell ref="Q79:Q80"/>
    <mergeCell ref="R79:R80"/>
    <mergeCell ref="S79:S80"/>
    <mergeCell ref="T79:T80"/>
    <mergeCell ref="U79:U80"/>
    <mergeCell ref="V79:V80"/>
    <mergeCell ref="Y79:Z80"/>
    <mergeCell ref="B79:B80"/>
    <mergeCell ref="B70:B73"/>
    <mergeCell ref="C70:C73"/>
    <mergeCell ref="T70:T73"/>
    <mergeCell ref="R70:R77"/>
    <mergeCell ref="S70:S77"/>
    <mergeCell ref="U70:U77"/>
    <mergeCell ref="W70:W77"/>
    <mergeCell ref="V70:V77"/>
    <mergeCell ref="Q70:Q77"/>
    <mergeCell ref="A70:A73"/>
    <mergeCell ref="A74:A77"/>
    <mergeCell ref="R83:R84"/>
    <mergeCell ref="S83:S84"/>
    <mergeCell ref="T83:T84"/>
    <mergeCell ref="U83:U84"/>
    <mergeCell ref="Y81:Z86"/>
    <mergeCell ref="V83:V84"/>
    <mergeCell ref="V85:V86"/>
    <mergeCell ref="Q81:Q82"/>
    <mergeCell ref="R81:R82"/>
    <mergeCell ref="S81:S82"/>
    <mergeCell ref="T81:T82"/>
    <mergeCell ref="U81:U82"/>
    <mergeCell ref="V81:V82"/>
    <mergeCell ref="Q85:Q86"/>
    <mergeCell ref="R85:R86"/>
    <mergeCell ref="S85:S86"/>
    <mergeCell ref="T85:T86"/>
    <mergeCell ref="U85:U86"/>
    <mergeCell ref="Q83:Q84"/>
    <mergeCell ref="A106:A109"/>
    <mergeCell ref="B106:B109"/>
    <mergeCell ref="W91:W96"/>
    <mergeCell ref="Q106:Q109"/>
    <mergeCell ref="R106:R109"/>
    <mergeCell ref="R87:R89"/>
    <mergeCell ref="S87:S89"/>
    <mergeCell ref="T87:T89"/>
    <mergeCell ref="U87:U89"/>
    <mergeCell ref="P87:P89"/>
    <mergeCell ref="Q87:Q89"/>
    <mergeCell ref="W106:W109"/>
    <mergeCell ref="T106:T109"/>
    <mergeCell ref="U106:U109"/>
    <mergeCell ref="A102:A105"/>
    <mergeCell ref="B102:B105"/>
    <mergeCell ref="V106:V109"/>
    <mergeCell ref="S106:S109"/>
    <mergeCell ref="C102:C105"/>
    <mergeCell ref="Q97:Q101"/>
    <mergeCell ref="R97:R101"/>
    <mergeCell ref="S97:S101"/>
    <mergeCell ref="Y87:Z89"/>
    <mergeCell ref="Y90:Z90"/>
    <mergeCell ref="A91:A96"/>
    <mergeCell ref="B91:B96"/>
    <mergeCell ref="C91:C96"/>
    <mergeCell ref="P91:P96"/>
    <mergeCell ref="Q91:Q96"/>
    <mergeCell ref="R91:R96"/>
    <mergeCell ref="S91:S96"/>
    <mergeCell ref="T91:T96"/>
    <mergeCell ref="U91:U96"/>
    <mergeCell ref="V91:V96"/>
    <mergeCell ref="Y91:Z96"/>
    <mergeCell ref="A87:A89"/>
    <mergeCell ref="B87:B89"/>
    <mergeCell ref="C87:C89"/>
    <mergeCell ref="W87:W89"/>
    <mergeCell ref="V87:V89"/>
    <mergeCell ref="X120:X122"/>
    <mergeCell ref="X125:X128"/>
    <mergeCell ref="S125:S128"/>
    <mergeCell ref="U125:U128"/>
    <mergeCell ref="V125:V128"/>
    <mergeCell ref="W125:W128"/>
    <mergeCell ref="Y120:Z122"/>
    <mergeCell ref="A123:A128"/>
    <mergeCell ref="B120:B122"/>
    <mergeCell ref="W120:W122"/>
    <mergeCell ref="Y123:Z134"/>
    <mergeCell ref="A120:A122"/>
    <mergeCell ref="C120:C122"/>
    <mergeCell ref="P120:P122"/>
    <mergeCell ref="Q120:Q122"/>
    <mergeCell ref="R120:R122"/>
    <mergeCell ref="S120:S122"/>
    <mergeCell ref="T120:T122"/>
    <mergeCell ref="U120:U122"/>
    <mergeCell ref="V120:V122"/>
    <mergeCell ref="Y139:Z140"/>
    <mergeCell ref="X131:X134"/>
    <mergeCell ref="S131:S134"/>
    <mergeCell ref="U131:U134"/>
    <mergeCell ref="V131:V134"/>
    <mergeCell ref="W131:W134"/>
    <mergeCell ref="A129:A134"/>
    <mergeCell ref="B129:B134"/>
    <mergeCell ref="A139:A140"/>
    <mergeCell ref="B139:B140"/>
    <mergeCell ref="C139:C140"/>
    <mergeCell ref="P139:P140"/>
    <mergeCell ref="Q139:Q140"/>
    <mergeCell ref="R139:R140"/>
    <mergeCell ref="S139:S140"/>
    <mergeCell ref="T139:T140"/>
    <mergeCell ref="U139:U140"/>
    <mergeCell ref="A135:A138"/>
    <mergeCell ref="Y144:Z145"/>
    <mergeCell ref="A141:A143"/>
    <mergeCell ref="B141:B143"/>
    <mergeCell ref="C141:C143"/>
    <mergeCell ref="P141:P143"/>
    <mergeCell ref="Q141:Q143"/>
    <mergeCell ref="R141:R143"/>
    <mergeCell ref="S141:S143"/>
    <mergeCell ref="T141:T143"/>
    <mergeCell ref="U141:U143"/>
    <mergeCell ref="V141:V143"/>
    <mergeCell ref="X144:X145"/>
    <mergeCell ref="A144:A145"/>
    <mergeCell ref="B144:B145"/>
    <mergeCell ref="C144:C145"/>
    <mergeCell ref="P144:P145"/>
    <mergeCell ref="Q144:Q145"/>
    <mergeCell ref="R144:R145"/>
    <mergeCell ref="S144:S145"/>
    <mergeCell ref="U144:U145"/>
    <mergeCell ref="Y141:Z143"/>
    <mergeCell ref="W144:W145"/>
    <mergeCell ref="T144:T145"/>
    <mergeCell ref="A173:A175"/>
    <mergeCell ref="B173:B175"/>
    <mergeCell ref="C173:C175"/>
    <mergeCell ref="Q171:R175"/>
    <mergeCell ref="A171:A172"/>
    <mergeCell ref="B171:B172"/>
    <mergeCell ref="C171:C172"/>
    <mergeCell ref="C162:C166"/>
    <mergeCell ref="P162:P166"/>
    <mergeCell ref="Q162:Q166"/>
    <mergeCell ref="R162:R166"/>
    <mergeCell ref="B168:B170"/>
    <mergeCell ref="C168:C170"/>
    <mergeCell ref="P168:P170"/>
    <mergeCell ref="Q168:Q170"/>
    <mergeCell ref="R168:R170"/>
    <mergeCell ref="B162:B166"/>
    <mergeCell ref="A168:A170"/>
    <mergeCell ref="A162:A166"/>
    <mergeCell ref="A176:A177"/>
    <mergeCell ref="B176:B177"/>
    <mergeCell ref="C176:C177"/>
    <mergeCell ref="Q176:Q177"/>
    <mergeCell ref="R176:R177"/>
    <mergeCell ref="S176:S177"/>
    <mergeCell ref="T176:T177"/>
    <mergeCell ref="U176:U177"/>
    <mergeCell ref="V176:V177"/>
    <mergeCell ref="A178:A182"/>
    <mergeCell ref="B178:B182"/>
    <mergeCell ref="C178:C182"/>
    <mergeCell ref="P178:P187"/>
    <mergeCell ref="Q178:Q182"/>
    <mergeCell ref="R178:R182"/>
    <mergeCell ref="S178:S182"/>
    <mergeCell ref="T178:T182"/>
    <mergeCell ref="U178:U182"/>
    <mergeCell ref="A183:A184"/>
    <mergeCell ref="B183:B184"/>
    <mergeCell ref="C183:C184"/>
    <mergeCell ref="Q183:Q184"/>
    <mergeCell ref="R183:R184"/>
    <mergeCell ref="S183:S184"/>
    <mergeCell ref="T183:T184"/>
    <mergeCell ref="U183:U184"/>
    <mergeCell ref="A185:A187"/>
    <mergeCell ref="B185:B187"/>
    <mergeCell ref="C185:C187"/>
    <mergeCell ref="U185:U187"/>
    <mergeCell ref="A195:A197"/>
    <mergeCell ref="B195:B197"/>
    <mergeCell ref="C195:C197"/>
    <mergeCell ref="P195:P197"/>
    <mergeCell ref="Q195:Q197"/>
    <mergeCell ref="R195:R197"/>
    <mergeCell ref="S195:S197"/>
    <mergeCell ref="T195:T197"/>
    <mergeCell ref="U195:U197"/>
    <mergeCell ref="Y195:Z197"/>
    <mergeCell ref="W195:W197"/>
    <mergeCell ref="B203:D203"/>
    <mergeCell ref="B202:D202"/>
    <mergeCell ref="W185:W187"/>
    <mergeCell ref="V185:V187"/>
    <mergeCell ref="Y178:Z187"/>
    <mergeCell ref="V183:V184"/>
    <mergeCell ref="W178:W182"/>
    <mergeCell ref="B208:D208"/>
    <mergeCell ref="B209:D209"/>
    <mergeCell ref="B210:D210"/>
    <mergeCell ref="B211:D211"/>
    <mergeCell ref="Q185:Q187"/>
    <mergeCell ref="R185:R187"/>
    <mergeCell ref="S185:S187"/>
    <mergeCell ref="T185:T187"/>
    <mergeCell ref="B154:B155"/>
    <mergeCell ref="C154:C155"/>
    <mergeCell ref="P154:P155"/>
    <mergeCell ref="Q154:Q155"/>
    <mergeCell ref="R154:R155"/>
    <mergeCell ref="S154:S155"/>
    <mergeCell ref="T154:T155"/>
    <mergeCell ref="S171:Z175"/>
    <mergeCell ref="Z176:Z177"/>
    <mergeCell ref="V178:V182"/>
    <mergeCell ref="S162:S166"/>
    <mergeCell ref="T162:T166"/>
    <mergeCell ref="U162:U166"/>
    <mergeCell ref="W168:W170"/>
    <mergeCell ref="Y194:Z194"/>
    <mergeCell ref="V195:V197"/>
    <mergeCell ref="Y146:Z159"/>
    <mergeCell ref="Y162:Z166"/>
    <mergeCell ref="Y167:Z167"/>
    <mergeCell ref="Y168:Z170"/>
    <mergeCell ref="B215:D215"/>
    <mergeCell ref="F17:F18"/>
    <mergeCell ref="G17:G18"/>
    <mergeCell ref="L17:L18"/>
    <mergeCell ref="T20:T22"/>
    <mergeCell ref="W32:W33"/>
    <mergeCell ref="W34:W35"/>
    <mergeCell ref="W36:W37"/>
    <mergeCell ref="W43:W45"/>
    <mergeCell ref="W53:W54"/>
    <mergeCell ref="A198:D198"/>
    <mergeCell ref="A199:A211"/>
    <mergeCell ref="B199:D199"/>
    <mergeCell ref="B200:D200"/>
    <mergeCell ref="B201:D201"/>
    <mergeCell ref="B204:D204"/>
    <mergeCell ref="B205:D205"/>
    <mergeCell ref="B206:D206"/>
    <mergeCell ref="B207:D207"/>
    <mergeCell ref="C106:C109"/>
    <mergeCell ref="D146:D159"/>
    <mergeCell ref="V162:V166"/>
    <mergeCell ref="B123:B128"/>
    <mergeCell ref="C123:C128"/>
    <mergeCell ref="P123:P128"/>
    <mergeCell ref="Q123:Q128"/>
    <mergeCell ref="R123:R128"/>
    <mergeCell ref="C129:C134"/>
    <mergeCell ref="P129:P134"/>
    <mergeCell ref="Q129:Q134"/>
    <mergeCell ref="R129:R134"/>
    <mergeCell ref="B135:B138"/>
    <mergeCell ref="C135:C138"/>
    <mergeCell ref="Q135:Q138"/>
    <mergeCell ref="R135:R138"/>
    <mergeCell ref="V139:V140"/>
    <mergeCell ref="A41:A42"/>
    <mergeCell ref="B41:B42"/>
    <mergeCell ref="C41:C42"/>
    <mergeCell ref="P41:P42"/>
    <mergeCell ref="Q41:Q42"/>
    <mergeCell ref="R41:R42"/>
    <mergeCell ref="S41:S42"/>
    <mergeCell ref="T41:T42"/>
    <mergeCell ref="U41:U42"/>
    <mergeCell ref="W162:W166"/>
    <mergeCell ref="S168:S170"/>
    <mergeCell ref="T168:T170"/>
    <mergeCell ref="U168:U170"/>
    <mergeCell ref="V168:V170"/>
    <mergeCell ref="Q157:Q158"/>
    <mergeCell ref="V144:V145"/>
    <mergeCell ref="X162:X166"/>
    <mergeCell ref="X168:X170"/>
    <mergeCell ref="U154:U155"/>
    <mergeCell ref="V154:V155"/>
  </mergeCells>
  <phoneticPr fontId="18" type="noConversion"/>
  <conditionalFormatting sqref="E17:E18 P17:Q17">
    <cfRule type="dataBar" priority="16">
      <dataBar>
        <cfvo type="min"/>
        <cfvo type="max"/>
        <color rgb="FF638EC6"/>
      </dataBar>
      <extLst>
        <ext xmlns:x14="http://schemas.microsoft.com/office/spreadsheetml/2009/9/main" uri="{B025F937-C7B1-47D3-B67F-A62EFF666E3E}">
          <x14:id>{B165F7E7-5EE0-4B11-93BE-F197C24B14E5}</x14:id>
        </ext>
      </extLst>
    </cfRule>
  </conditionalFormatting>
  <conditionalFormatting sqref="F17:G17">
    <cfRule type="dataBar" priority="15">
      <dataBar>
        <cfvo type="min"/>
        <cfvo type="max"/>
        <color rgb="FF638EC6"/>
      </dataBar>
      <extLst>
        <ext xmlns:x14="http://schemas.microsoft.com/office/spreadsheetml/2009/9/main" uri="{B025F937-C7B1-47D3-B67F-A62EFF666E3E}">
          <x14:id>{B494DBD6-3E4C-459D-85DF-862150D41FD6}</x14:id>
        </ext>
      </extLst>
    </cfRule>
  </conditionalFormatting>
  <conditionalFormatting sqref="G18">
    <cfRule type="dataBar" priority="14">
      <dataBar>
        <cfvo type="min"/>
        <cfvo type="max"/>
        <color rgb="FF638EC6"/>
      </dataBar>
      <extLst>
        <ext xmlns:x14="http://schemas.microsoft.com/office/spreadsheetml/2009/9/main" uri="{B025F937-C7B1-47D3-B67F-A62EFF666E3E}">
          <x14:id>{4678AD6B-1531-42C9-B564-523FE50FACAD}</x14:id>
        </ext>
      </extLst>
    </cfRule>
  </conditionalFormatting>
  <conditionalFormatting sqref="H17:I18">
    <cfRule type="dataBar" priority="11">
      <dataBar>
        <cfvo type="min"/>
        <cfvo type="max"/>
        <color rgb="FF638EC6"/>
      </dataBar>
      <extLst>
        <ext xmlns:x14="http://schemas.microsoft.com/office/spreadsheetml/2009/9/main" uri="{B025F937-C7B1-47D3-B67F-A62EFF666E3E}">
          <x14:id>{A2435741-506D-48A0-9A97-5986F000095F}</x14:id>
        </ext>
      </extLst>
    </cfRule>
  </conditionalFormatting>
  <conditionalFormatting sqref="J18">
    <cfRule type="dataBar" priority="7">
      <dataBar>
        <cfvo type="min"/>
        <cfvo type="max"/>
        <color rgb="FF638EC6"/>
      </dataBar>
      <extLst>
        <ext xmlns:x14="http://schemas.microsoft.com/office/spreadsheetml/2009/9/main" uri="{B025F937-C7B1-47D3-B67F-A62EFF666E3E}">
          <x14:id>{ADD0B195-F51B-47C2-A29D-7946F2F7EA54}</x14:id>
        </ext>
      </extLst>
    </cfRule>
  </conditionalFormatting>
  <conditionalFormatting sqref="J17:K17">
    <cfRule type="dataBar" priority="8">
      <dataBar>
        <cfvo type="min"/>
        <cfvo type="max"/>
        <color rgb="FF638EC6"/>
      </dataBar>
      <extLst>
        <ext xmlns:x14="http://schemas.microsoft.com/office/spreadsheetml/2009/9/main" uri="{B025F937-C7B1-47D3-B67F-A62EFF666E3E}">
          <x14:id>{9577F3FD-AAC2-445B-B437-9136FB38BF63}</x14:id>
        </ext>
      </extLst>
    </cfRule>
  </conditionalFormatting>
  <conditionalFormatting sqref="L17">
    <cfRule type="dataBar" priority="10">
      <dataBar>
        <cfvo type="min"/>
        <cfvo type="max"/>
        <color rgb="FF638EC6"/>
      </dataBar>
      <extLst>
        <ext xmlns:x14="http://schemas.microsoft.com/office/spreadsheetml/2009/9/main" uri="{B025F937-C7B1-47D3-B67F-A62EFF666E3E}">
          <x14:id>{3A8C7E0F-3E28-4581-B5CD-30F102698276}</x14:id>
        </ext>
      </extLst>
    </cfRule>
  </conditionalFormatting>
  <conditionalFormatting sqref="L18">
    <cfRule type="dataBar" priority="9">
      <dataBar>
        <cfvo type="min"/>
        <cfvo type="max"/>
        <color rgb="FF638EC6"/>
      </dataBar>
      <extLst>
        <ext xmlns:x14="http://schemas.microsoft.com/office/spreadsheetml/2009/9/main" uri="{B025F937-C7B1-47D3-B67F-A62EFF666E3E}">
          <x14:id>{301B4286-B4B9-420D-A6B3-1BC6839F9135}</x14:id>
        </ext>
      </extLst>
    </cfRule>
  </conditionalFormatting>
  <conditionalFormatting sqref="M17">
    <cfRule type="dataBar" priority="6">
      <dataBar>
        <cfvo type="min"/>
        <cfvo type="max"/>
        <color rgb="FF638EC6"/>
      </dataBar>
      <extLst>
        <ext xmlns:x14="http://schemas.microsoft.com/office/spreadsheetml/2009/9/main" uri="{B025F937-C7B1-47D3-B67F-A62EFF666E3E}">
          <x14:id>{67CEBFCB-AC98-4F42-AB31-AC496CCDAF9D}</x14:id>
        </ext>
      </extLst>
    </cfRule>
  </conditionalFormatting>
  <conditionalFormatting sqref="M18">
    <cfRule type="dataBar" priority="5">
      <dataBar>
        <cfvo type="min"/>
        <cfvo type="max"/>
        <color rgb="FF638EC6"/>
      </dataBar>
      <extLst>
        <ext xmlns:x14="http://schemas.microsoft.com/office/spreadsheetml/2009/9/main" uri="{B025F937-C7B1-47D3-B67F-A62EFF666E3E}">
          <x14:id>{0677F37D-7622-4F84-ABF5-A97F96BCF4D5}</x14:id>
        </ext>
      </extLst>
    </cfRule>
  </conditionalFormatting>
  <conditionalFormatting sqref="N17">
    <cfRule type="dataBar" priority="4">
      <dataBar>
        <cfvo type="min"/>
        <cfvo type="max"/>
        <color rgb="FF638EC6"/>
      </dataBar>
      <extLst>
        <ext xmlns:x14="http://schemas.microsoft.com/office/spreadsheetml/2009/9/main" uri="{B025F937-C7B1-47D3-B67F-A62EFF666E3E}">
          <x14:id>{AB31BA99-F16E-4772-B112-8B5982AB5240}</x14:id>
        </ext>
      </extLst>
    </cfRule>
  </conditionalFormatting>
  <conditionalFormatting sqref="N18">
    <cfRule type="dataBar" priority="3">
      <dataBar>
        <cfvo type="min"/>
        <cfvo type="max"/>
        <color rgb="FF638EC6"/>
      </dataBar>
      <extLst>
        <ext xmlns:x14="http://schemas.microsoft.com/office/spreadsheetml/2009/9/main" uri="{B025F937-C7B1-47D3-B67F-A62EFF666E3E}">
          <x14:id>{0B3A3C42-66BF-493C-9D48-154E0CC0A986}</x14:id>
        </ext>
      </extLst>
    </cfRule>
  </conditionalFormatting>
  <conditionalFormatting sqref="O17">
    <cfRule type="dataBar" priority="2">
      <dataBar>
        <cfvo type="min"/>
        <cfvo type="max"/>
        <color rgb="FF638EC6"/>
      </dataBar>
      <extLst>
        <ext xmlns:x14="http://schemas.microsoft.com/office/spreadsheetml/2009/9/main" uri="{B025F937-C7B1-47D3-B67F-A62EFF666E3E}">
          <x14:id>{15F344DB-7626-4E52-B8B4-68829746E8B2}</x14:id>
        </ext>
      </extLst>
    </cfRule>
  </conditionalFormatting>
  <conditionalFormatting sqref="O18">
    <cfRule type="dataBar" priority="1">
      <dataBar>
        <cfvo type="min"/>
        <cfvo type="max"/>
        <color rgb="FF638EC6"/>
      </dataBar>
      <extLst>
        <ext xmlns:x14="http://schemas.microsoft.com/office/spreadsheetml/2009/9/main" uri="{B025F937-C7B1-47D3-B67F-A62EFF666E3E}">
          <x14:id>{E0D368E2-8F8C-42FD-A0AC-CC5BF24A9A3A}</x14:id>
        </ext>
      </extLst>
    </cfRule>
  </conditionalFormatting>
  <pageMargins left="0.7" right="0.7" top="0.75" bottom="0.75" header="0.3" footer="0.3"/>
  <pageSetup paperSize="8" scale="60" fitToHeight="0"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B165F7E7-5EE0-4B11-93BE-F197C24B14E5}">
            <x14:dataBar minLength="0" maxLength="100" border="1" negativeBarBorderColorSameAsPositive="0">
              <x14:cfvo type="autoMin"/>
              <x14:cfvo type="autoMax"/>
              <x14:borderColor rgb="FF638EC6"/>
              <x14:negativeFillColor rgb="FFFF0000"/>
              <x14:negativeBorderColor rgb="FFFF0000"/>
              <x14:axisColor rgb="FF000000"/>
            </x14:dataBar>
          </x14:cfRule>
          <xm:sqref>E17:E18 P17:Q17</xm:sqref>
        </x14:conditionalFormatting>
        <x14:conditionalFormatting xmlns:xm="http://schemas.microsoft.com/office/excel/2006/main">
          <x14:cfRule type="dataBar" id="{B494DBD6-3E4C-459D-85DF-862150D41FD6}">
            <x14:dataBar minLength="0" maxLength="100" border="1" negativeBarBorderColorSameAsPositive="0">
              <x14:cfvo type="autoMin"/>
              <x14:cfvo type="autoMax"/>
              <x14:borderColor rgb="FF638EC6"/>
              <x14:negativeFillColor rgb="FFFF0000"/>
              <x14:negativeBorderColor rgb="FFFF0000"/>
              <x14:axisColor rgb="FF000000"/>
            </x14:dataBar>
          </x14:cfRule>
          <xm:sqref>F17:G17</xm:sqref>
        </x14:conditionalFormatting>
        <x14:conditionalFormatting xmlns:xm="http://schemas.microsoft.com/office/excel/2006/main">
          <x14:cfRule type="dataBar" id="{4678AD6B-1531-42C9-B564-523FE50FACAD}">
            <x14:dataBar minLength="0" maxLength="100" border="1" negativeBarBorderColorSameAsPositive="0">
              <x14:cfvo type="autoMin"/>
              <x14:cfvo type="autoMax"/>
              <x14:borderColor rgb="FF638EC6"/>
              <x14:negativeFillColor rgb="FFFF0000"/>
              <x14:negativeBorderColor rgb="FFFF0000"/>
              <x14:axisColor rgb="FF000000"/>
            </x14:dataBar>
          </x14:cfRule>
          <xm:sqref>G18</xm:sqref>
        </x14:conditionalFormatting>
        <x14:conditionalFormatting xmlns:xm="http://schemas.microsoft.com/office/excel/2006/main">
          <x14:cfRule type="dataBar" id="{A2435741-506D-48A0-9A97-5986F000095F}">
            <x14:dataBar minLength="0" maxLength="100" border="1" negativeBarBorderColorSameAsPositive="0">
              <x14:cfvo type="autoMin"/>
              <x14:cfvo type="autoMax"/>
              <x14:borderColor rgb="FF638EC6"/>
              <x14:negativeFillColor rgb="FFFF0000"/>
              <x14:negativeBorderColor rgb="FFFF0000"/>
              <x14:axisColor rgb="FF000000"/>
            </x14:dataBar>
          </x14:cfRule>
          <xm:sqref>H17:I18</xm:sqref>
        </x14:conditionalFormatting>
        <x14:conditionalFormatting xmlns:xm="http://schemas.microsoft.com/office/excel/2006/main">
          <x14:cfRule type="dataBar" id="{ADD0B195-F51B-47C2-A29D-7946F2F7EA54}">
            <x14:dataBar minLength="0" maxLength="100" border="1" negativeBarBorderColorSameAsPositive="0">
              <x14:cfvo type="autoMin"/>
              <x14:cfvo type="autoMax"/>
              <x14:borderColor rgb="FF638EC6"/>
              <x14:negativeFillColor rgb="FFFF0000"/>
              <x14:negativeBorderColor rgb="FFFF0000"/>
              <x14:axisColor rgb="FF000000"/>
            </x14:dataBar>
          </x14:cfRule>
          <xm:sqref>J18</xm:sqref>
        </x14:conditionalFormatting>
        <x14:conditionalFormatting xmlns:xm="http://schemas.microsoft.com/office/excel/2006/main">
          <x14:cfRule type="dataBar" id="{9577F3FD-AAC2-445B-B437-9136FB38BF63}">
            <x14:dataBar minLength="0" maxLength="100" border="1" negativeBarBorderColorSameAsPositive="0">
              <x14:cfvo type="autoMin"/>
              <x14:cfvo type="autoMax"/>
              <x14:borderColor rgb="FF638EC6"/>
              <x14:negativeFillColor rgb="FFFF0000"/>
              <x14:negativeBorderColor rgb="FFFF0000"/>
              <x14:axisColor rgb="FF000000"/>
            </x14:dataBar>
          </x14:cfRule>
          <xm:sqref>J17:K17</xm:sqref>
        </x14:conditionalFormatting>
        <x14:conditionalFormatting xmlns:xm="http://schemas.microsoft.com/office/excel/2006/main">
          <x14:cfRule type="dataBar" id="{3A8C7E0F-3E28-4581-B5CD-30F102698276}">
            <x14:dataBar minLength="0" maxLength="100" border="1" negativeBarBorderColorSameAsPositive="0">
              <x14:cfvo type="autoMin"/>
              <x14:cfvo type="autoMax"/>
              <x14:borderColor rgb="FF638EC6"/>
              <x14:negativeFillColor rgb="FFFF0000"/>
              <x14:negativeBorderColor rgb="FFFF0000"/>
              <x14:axisColor rgb="FF000000"/>
            </x14:dataBar>
          </x14:cfRule>
          <xm:sqref>L17</xm:sqref>
        </x14:conditionalFormatting>
        <x14:conditionalFormatting xmlns:xm="http://schemas.microsoft.com/office/excel/2006/main">
          <x14:cfRule type="dataBar" id="{301B4286-B4B9-420D-A6B3-1BC6839F9135}">
            <x14:dataBar minLength="0" maxLength="100" border="1" negativeBarBorderColorSameAsPositive="0">
              <x14:cfvo type="autoMin"/>
              <x14:cfvo type="autoMax"/>
              <x14:borderColor rgb="FF638EC6"/>
              <x14:negativeFillColor rgb="FFFF0000"/>
              <x14:negativeBorderColor rgb="FFFF0000"/>
              <x14:axisColor rgb="FF000000"/>
            </x14:dataBar>
          </x14:cfRule>
          <xm:sqref>L18</xm:sqref>
        </x14:conditionalFormatting>
        <x14:conditionalFormatting xmlns:xm="http://schemas.microsoft.com/office/excel/2006/main">
          <x14:cfRule type="dataBar" id="{67CEBFCB-AC98-4F42-AB31-AC496CCDAF9D}">
            <x14:dataBar minLength="0" maxLength="100" border="1" negativeBarBorderColorSameAsPositive="0">
              <x14:cfvo type="autoMin"/>
              <x14:cfvo type="autoMax"/>
              <x14:borderColor rgb="FF638EC6"/>
              <x14:negativeFillColor rgb="FFFF0000"/>
              <x14:negativeBorderColor rgb="FFFF0000"/>
              <x14:axisColor rgb="FF000000"/>
            </x14:dataBar>
          </x14:cfRule>
          <xm:sqref>M17</xm:sqref>
        </x14:conditionalFormatting>
        <x14:conditionalFormatting xmlns:xm="http://schemas.microsoft.com/office/excel/2006/main">
          <x14:cfRule type="dataBar" id="{0677F37D-7622-4F84-ABF5-A97F96BCF4D5}">
            <x14:dataBar minLength="0" maxLength="100" border="1" negativeBarBorderColorSameAsPositive="0">
              <x14:cfvo type="autoMin"/>
              <x14:cfvo type="autoMax"/>
              <x14:borderColor rgb="FF638EC6"/>
              <x14:negativeFillColor rgb="FFFF0000"/>
              <x14:negativeBorderColor rgb="FFFF0000"/>
              <x14:axisColor rgb="FF000000"/>
            </x14:dataBar>
          </x14:cfRule>
          <xm:sqref>M18</xm:sqref>
        </x14:conditionalFormatting>
        <x14:conditionalFormatting xmlns:xm="http://schemas.microsoft.com/office/excel/2006/main">
          <x14:cfRule type="dataBar" id="{AB31BA99-F16E-4772-B112-8B5982AB5240}">
            <x14:dataBar minLength="0" maxLength="100" border="1" negativeBarBorderColorSameAsPositive="0">
              <x14:cfvo type="autoMin"/>
              <x14:cfvo type="autoMax"/>
              <x14:borderColor rgb="FF638EC6"/>
              <x14:negativeFillColor rgb="FFFF0000"/>
              <x14:negativeBorderColor rgb="FFFF0000"/>
              <x14:axisColor rgb="FF000000"/>
            </x14:dataBar>
          </x14:cfRule>
          <xm:sqref>N17</xm:sqref>
        </x14:conditionalFormatting>
        <x14:conditionalFormatting xmlns:xm="http://schemas.microsoft.com/office/excel/2006/main">
          <x14:cfRule type="dataBar" id="{0B3A3C42-66BF-493C-9D48-154E0CC0A986}">
            <x14:dataBar minLength="0" maxLength="100" border="1" negativeBarBorderColorSameAsPositive="0">
              <x14:cfvo type="autoMin"/>
              <x14:cfvo type="autoMax"/>
              <x14:borderColor rgb="FF638EC6"/>
              <x14:negativeFillColor rgb="FFFF0000"/>
              <x14:negativeBorderColor rgb="FFFF0000"/>
              <x14:axisColor rgb="FF000000"/>
            </x14:dataBar>
          </x14:cfRule>
          <xm:sqref>N18</xm:sqref>
        </x14:conditionalFormatting>
        <x14:conditionalFormatting xmlns:xm="http://schemas.microsoft.com/office/excel/2006/main">
          <x14:cfRule type="dataBar" id="{15F344DB-7626-4E52-B8B4-68829746E8B2}">
            <x14:dataBar minLength="0" maxLength="100" border="1" negativeBarBorderColorSameAsPositive="0">
              <x14:cfvo type="autoMin"/>
              <x14:cfvo type="autoMax"/>
              <x14:borderColor rgb="FF638EC6"/>
              <x14:negativeFillColor rgb="FFFF0000"/>
              <x14:negativeBorderColor rgb="FFFF0000"/>
              <x14:axisColor rgb="FF000000"/>
            </x14:dataBar>
          </x14:cfRule>
          <xm:sqref>O17</xm:sqref>
        </x14:conditionalFormatting>
        <x14:conditionalFormatting xmlns:xm="http://schemas.microsoft.com/office/excel/2006/main">
          <x14:cfRule type="dataBar" id="{E0D368E2-8F8C-42FD-A0AC-CC5BF24A9A3A}">
            <x14:dataBar minLength="0" maxLength="100" border="1" negativeBarBorderColorSameAsPositive="0">
              <x14:cfvo type="autoMin"/>
              <x14:cfvo type="autoMax"/>
              <x14:borderColor rgb="FF638EC6"/>
              <x14:negativeFillColor rgb="FFFF0000"/>
              <x14:negativeBorderColor rgb="FFFF0000"/>
              <x14:axisColor rgb="FF000000"/>
            </x14:dataBar>
          </x14:cfRule>
          <xm:sqref>O18</xm:sqref>
        </x14:conditionalFormatting>
      </x14:conditionalFormatting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5829-7614-4D50-80EA-7A43FFF8033C}">
  <sheetPr>
    <pageSetUpPr fitToPage="1"/>
  </sheetPr>
  <dimension ref="A1:CL1335"/>
  <sheetViews>
    <sheetView zoomScale="82" zoomScaleNormal="82" zoomScaleSheetLayoutView="100" workbookViewId="0">
      <selection activeCell="AL23" sqref="AL23"/>
    </sheetView>
  </sheetViews>
  <sheetFormatPr defaultColWidth="9.109375" defaultRowHeight="42" customHeight="1"/>
  <cols>
    <col min="1" max="1" width="17" style="266" customWidth="1"/>
    <col min="2" max="2" width="28.44140625" style="84" customWidth="1"/>
    <col min="3" max="3" width="4.33203125" style="84" customWidth="1"/>
    <col min="4" max="4" width="8.44140625" style="84" customWidth="1"/>
    <col min="5" max="6" width="10.6640625" style="86" hidden="1" customWidth="1"/>
    <col min="7" max="7" width="12.88671875" style="84" hidden="1" customWidth="1"/>
    <col min="8" max="9" width="16.33203125" style="84" hidden="1" customWidth="1"/>
    <col min="10" max="10" width="16.33203125" style="91" hidden="1" customWidth="1"/>
    <col min="11" max="11" width="16.33203125" style="84" hidden="1" customWidth="1"/>
    <col min="12" max="12" width="15.33203125" style="84" customWidth="1"/>
    <col min="13" max="13" width="15.33203125" style="1647" hidden="1" customWidth="1"/>
    <col min="14" max="14" width="9.6640625" style="2208" hidden="1" customWidth="1"/>
    <col min="15" max="15" width="15.33203125" style="84" customWidth="1"/>
    <col min="16" max="16" width="15.33203125" style="1647" hidden="1" customWidth="1"/>
    <col min="17" max="17" width="15.33203125" style="84" customWidth="1"/>
    <col min="18" max="18" width="15.33203125" style="1647" hidden="1" customWidth="1"/>
    <col min="19" max="19" width="13.88671875" style="84" customWidth="1"/>
    <col min="20" max="20" width="67.21875" style="84" customWidth="1"/>
    <col min="21" max="21" width="12.33203125" style="84" customWidth="1"/>
    <col min="22" max="22" width="30.5546875" style="84" customWidth="1"/>
    <col min="23" max="24" width="6.33203125" style="200" hidden="1" customWidth="1"/>
    <col min="25" max="25" width="7.33203125" style="200" customWidth="1"/>
    <col min="26" max="26" width="7" style="200" customWidth="1"/>
    <col min="27" max="27" width="7.44140625" style="200" customWidth="1"/>
    <col min="28" max="28" width="31.33203125" style="84" customWidth="1"/>
    <col min="29" max="29" width="35.33203125" style="84" hidden="1" customWidth="1"/>
    <col min="30" max="30" width="9.109375" style="84"/>
    <col min="31" max="32" width="8.88671875" customWidth="1"/>
    <col min="33" max="16384" width="9.109375" style="84"/>
  </cols>
  <sheetData>
    <row r="1" spans="1:32" ht="20.399999999999999" customHeight="1">
      <c r="A1" s="2927" t="s">
        <v>2136</v>
      </c>
      <c r="B1" s="2927"/>
      <c r="C1" s="2927"/>
      <c r="D1" s="2927"/>
      <c r="E1" s="2927"/>
      <c r="F1" s="2927"/>
      <c r="G1" s="2927"/>
      <c r="H1" s="2927"/>
      <c r="I1" s="397"/>
      <c r="J1" s="505"/>
      <c r="K1" s="83"/>
      <c r="L1" s="83"/>
      <c r="M1" s="1630"/>
      <c r="N1" s="2204"/>
      <c r="O1" s="83"/>
      <c r="P1" s="1630"/>
      <c r="Q1" s="83"/>
      <c r="R1" s="1630"/>
      <c r="S1" s="83"/>
      <c r="T1" s="83"/>
      <c r="W1" s="2990"/>
      <c r="X1" s="2990"/>
      <c r="Y1" s="2990"/>
      <c r="Z1" s="2990"/>
      <c r="AA1" s="2990"/>
      <c r="AB1" s="2990"/>
      <c r="AE1" s="84"/>
      <c r="AF1" s="84"/>
    </row>
    <row r="2" spans="1:32" ht="24" customHeight="1">
      <c r="A2" s="3543" t="s">
        <v>2694</v>
      </c>
      <c r="B2" s="3544"/>
      <c r="C2" s="3544"/>
      <c r="D2" s="3544"/>
      <c r="E2" s="3544"/>
      <c r="F2" s="3544"/>
      <c r="G2" s="3544"/>
      <c r="H2" s="3544"/>
      <c r="I2" s="3544"/>
      <c r="J2" s="3544"/>
      <c r="K2" s="3544"/>
      <c r="L2" s="3544"/>
      <c r="M2" s="3544"/>
      <c r="N2" s="3544"/>
      <c r="O2" s="3544"/>
      <c r="P2" s="3544"/>
      <c r="Q2" s="3544"/>
      <c r="R2" s="3544"/>
      <c r="S2" s="3544"/>
      <c r="T2" s="3544"/>
      <c r="U2" s="3544"/>
      <c r="V2" s="3544"/>
      <c r="W2" s="3544"/>
      <c r="X2" s="3544"/>
      <c r="Y2" s="3544"/>
      <c r="Z2" s="3544"/>
      <c r="AA2" s="3544"/>
      <c r="AB2" s="3544"/>
      <c r="AE2" s="84"/>
      <c r="AF2" s="84"/>
    </row>
    <row r="3" spans="1:32" ht="9" customHeight="1">
      <c r="A3" s="160"/>
      <c r="B3" s="155"/>
      <c r="C3" s="155"/>
      <c r="D3" s="155"/>
      <c r="E3" s="155"/>
      <c r="F3" s="155"/>
      <c r="G3" s="155"/>
      <c r="H3" s="155"/>
      <c r="I3" s="155"/>
      <c r="J3" s="506"/>
      <c r="K3" s="155"/>
      <c r="L3" s="155"/>
      <c r="M3" s="1631"/>
      <c r="N3" s="2205"/>
      <c r="O3" s="155"/>
      <c r="P3" s="1631"/>
      <c r="Q3" s="155"/>
      <c r="R3" s="1631"/>
      <c r="S3" s="155"/>
      <c r="T3" s="155"/>
      <c r="U3" s="155"/>
      <c r="V3" s="155"/>
      <c r="W3" s="125"/>
      <c r="X3" s="125"/>
      <c r="Y3" s="125"/>
      <c r="Z3" s="125"/>
      <c r="AA3" s="125"/>
      <c r="AB3" s="155"/>
      <c r="AE3" s="84"/>
      <c r="AF3" s="84"/>
    </row>
    <row r="4" spans="1:32" ht="15" customHeight="1">
      <c r="A4" s="398" t="str">
        <f>A24</f>
        <v>10.01.01 (T)</v>
      </c>
      <c r="B4" s="84" t="str">
        <f>B24</f>
        <v xml:space="preserve">Gerinti keleivių vežimo sąlygas bei skatinti darnesnį ir patogesnį judėjimą </v>
      </c>
      <c r="E4" s="84"/>
      <c r="F4" s="84"/>
      <c r="T4" s="2920"/>
      <c r="U4" s="2920"/>
      <c r="V4" s="2920"/>
      <c r="W4" s="2920"/>
      <c r="X4" s="2920"/>
      <c r="Y4" s="2920"/>
      <c r="Z4" s="2920"/>
      <c r="AA4" s="2920"/>
      <c r="AB4" s="2920"/>
      <c r="AE4" s="84"/>
      <c r="AF4" s="84"/>
    </row>
    <row r="5" spans="1:32" ht="13.8" customHeight="1">
      <c r="A5" s="398" t="str">
        <f>A47</f>
        <v>10.01.02.(T)</v>
      </c>
      <c r="B5" s="3544" t="str">
        <f>B47</f>
        <v>Skatinti bemotorio transporto pasirinkimą ir pėsčiųjų judumą</v>
      </c>
      <c r="C5" s="3544"/>
      <c r="D5" s="3544"/>
      <c r="E5" s="3544"/>
      <c r="F5" s="3544"/>
      <c r="G5" s="3544"/>
      <c r="H5" s="3544"/>
      <c r="I5" s="3544"/>
      <c r="J5" s="3544"/>
      <c r="K5" s="3544"/>
      <c r="L5" s="3544"/>
      <c r="M5" s="3544"/>
      <c r="N5" s="3544"/>
      <c r="O5" s="3544"/>
      <c r="P5" s="3544"/>
      <c r="Q5" s="3544"/>
      <c r="R5" s="3544"/>
      <c r="S5" s="3544"/>
      <c r="AE5" s="84"/>
      <c r="AF5" s="84"/>
    </row>
    <row r="6" spans="1:32" ht="14.4" customHeight="1">
      <c r="A6" s="398" t="str">
        <f>A97</f>
        <v>10.02.03.(T)</v>
      </c>
      <c r="B6" s="3544" t="str">
        <f>B97</f>
        <v>Atnaujinti (rekonstruoti) Visagino viešuosius, ūkinius pastatus</v>
      </c>
      <c r="C6" s="3544"/>
      <c r="D6" s="3544"/>
      <c r="E6" s="3544"/>
      <c r="F6" s="3544"/>
      <c r="G6" s="3544"/>
      <c r="H6" s="3544"/>
      <c r="I6" s="3544"/>
      <c r="J6" s="3544"/>
      <c r="K6" s="3544"/>
      <c r="L6" s="3544"/>
      <c r="M6" s="3544"/>
      <c r="N6" s="3544"/>
      <c r="O6" s="3544"/>
      <c r="P6" s="3544"/>
      <c r="Q6" s="3544"/>
      <c r="R6" s="3544"/>
      <c r="S6" s="3544"/>
      <c r="AE6" s="84"/>
      <c r="AF6" s="84"/>
    </row>
    <row r="7" spans="1:32" ht="13.2" customHeight="1">
      <c r="A7" s="398" t="str">
        <f>A132</f>
        <v>10.02.04.(T)</v>
      </c>
      <c r="B7" s="84" t="str">
        <f>B132</f>
        <v>Renovuoti ir įrengti automobilių stovėjimo, dviračių ir pėsčiųjų takus, sporto ir laisvalaikio aikšteles</v>
      </c>
      <c r="E7" s="84"/>
      <c r="F7" s="84"/>
      <c r="T7" s="2920"/>
      <c r="U7" s="2920"/>
      <c r="V7" s="2920"/>
      <c r="AE7" s="84"/>
      <c r="AF7" s="84"/>
    </row>
    <row r="8" spans="1:32" ht="14.4" customHeight="1">
      <c r="A8" s="398" t="str">
        <f>A174</f>
        <v>10.02.05.(T)</v>
      </c>
      <c r="B8" s="84" t="str">
        <f>B174</f>
        <v>Remontuoti ir prižiūrėti savivaldybės turtą</v>
      </c>
      <c r="E8" s="84"/>
      <c r="F8" s="84"/>
      <c r="AE8" s="84"/>
      <c r="AF8" s="84"/>
    </row>
    <row r="9" spans="1:32" ht="15" customHeight="1">
      <c r="A9" s="398" t="str">
        <f>A211</f>
        <v>10.02.06. (T)</v>
      </c>
      <c r="B9" s="84" t="str">
        <f>B211</f>
        <v>Vykdyti Visagino savivaldybės daugiabučių namų atnaujinimo (modernizavimo) programą</v>
      </c>
      <c r="E9" s="84"/>
      <c r="F9" s="84"/>
      <c r="AE9" s="84"/>
      <c r="AF9" s="84"/>
    </row>
    <row r="10" spans="1:32" ht="13.8" customHeight="1">
      <c r="A10" s="398" t="str">
        <f>A214</f>
        <v>10.02.07. (T)</v>
      </c>
      <c r="B10" s="3544" t="str">
        <f>B214</f>
        <v>Įgyvendinti savivaldybės infrastruktūros plėtros įstatymo nuostatas</v>
      </c>
      <c r="C10" s="3544"/>
      <c r="D10" s="3544"/>
      <c r="E10" s="3544"/>
      <c r="F10" s="3544"/>
      <c r="G10" s="3544"/>
      <c r="H10" s="3544"/>
      <c r="I10" s="3544"/>
      <c r="J10" s="3544"/>
      <c r="K10" s="3544"/>
      <c r="L10" s="3544"/>
      <c r="M10" s="3544"/>
      <c r="N10" s="3544"/>
      <c r="O10" s="3544"/>
      <c r="P10" s="3544"/>
      <c r="Q10" s="3544"/>
      <c r="R10" s="3544"/>
      <c r="S10" s="3544"/>
      <c r="AE10" s="84"/>
      <c r="AF10" s="84"/>
    </row>
    <row r="11" spans="1:32" ht="15.6" customHeight="1">
      <c r="A11" s="398" t="str">
        <f>A221</f>
        <v>10.03.01. (T)</v>
      </c>
      <c r="B11" s="3544" t="str">
        <f>B221</f>
        <v>Tvarkyti gyvenamąją aplinką, administruoti gatvių apšvietimo paslaugas</v>
      </c>
      <c r="C11" s="3544"/>
      <c r="D11" s="3544"/>
      <c r="E11" s="3544"/>
      <c r="F11" s="3544"/>
      <c r="G11" s="3544"/>
      <c r="H11" s="3544"/>
      <c r="I11" s="3544"/>
      <c r="J11" s="3544"/>
      <c r="K11" s="3544"/>
      <c r="L11" s="3544"/>
      <c r="M11" s="3544"/>
      <c r="N11" s="3544"/>
      <c r="O11" s="3544"/>
      <c r="P11" s="3544"/>
      <c r="Q11" s="3544"/>
      <c r="R11" s="3544"/>
      <c r="S11" s="3544"/>
      <c r="AE11" s="84"/>
      <c r="AF11" s="84"/>
    </row>
    <row r="12" spans="1:32" ht="19.2" customHeight="1">
      <c r="A12" s="398" t="str">
        <f>A256</f>
        <v>10.03.02. (T)</v>
      </c>
      <c r="B12" s="3544" t="str">
        <f>B256</f>
        <v>Vykdyti kapinių priežiūros darbus</v>
      </c>
      <c r="C12" s="3544"/>
      <c r="D12" s="3544"/>
      <c r="E12" s="3544"/>
      <c r="F12" s="3544"/>
      <c r="G12" s="3544"/>
      <c r="H12" s="3544"/>
      <c r="I12" s="3544"/>
      <c r="J12" s="3544"/>
      <c r="K12" s="3544"/>
      <c r="L12" s="3544"/>
      <c r="M12" s="3544"/>
      <c r="N12" s="3544"/>
      <c r="O12" s="3544"/>
      <c r="P12" s="3544"/>
      <c r="Q12" s="3544"/>
      <c r="R12" s="3544"/>
      <c r="S12" s="3544"/>
      <c r="AE12" s="84"/>
      <c r="AF12" s="84"/>
    </row>
    <row r="13" spans="1:32" ht="14.4" customHeight="1">
      <c r="A13" s="398" t="str">
        <f>A266</f>
        <v>10.03.03. (T)</v>
      </c>
      <c r="B13" s="3544" t="str">
        <f>B266</f>
        <v>Tvarkyti savivaldybės kaimiškųjų vietovių infrastruktūrą</v>
      </c>
      <c r="C13" s="3544"/>
      <c r="D13" s="3544"/>
      <c r="E13" s="3544"/>
      <c r="F13" s="3544"/>
      <c r="G13" s="3544"/>
      <c r="H13" s="3544"/>
      <c r="I13" s="3544"/>
      <c r="J13" s="3544"/>
      <c r="K13" s="3544"/>
      <c r="L13" s="3544"/>
      <c r="M13" s="3544"/>
      <c r="N13" s="3544"/>
      <c r="O13" s="3544"/>
      <c r="P13" s="3544"/>
      <c r="Q13" s="3544"/>
      <c r="R13" s="3544"/>
      <c r="S13" s="3544"/>
      <c r="AE13" s="84"/>
      <c r="AF13" s="84"/>
    </row>
    <row r="14" spans="1:32" ht="16.8" customHeight="1">
      <c r="A14" s="398" t="str">
        <f>A269</f>
        <v>10.03.04.(T)</v>
      </c>
      <c r="B14" s="84" t="str">
        <f>B269</f>
        <v>Tvarkyti (likviduoti) turtą, 
Visagino savivaldybės tarybos  pripažintą netinkamu naudoti dėl fizinio ir funkcinio (technologinio) nusidėvėjimo</v>
      </c>
      <c r="E14" s="84"/>
      <c r="F14" s="84"/>
      <c r="AE14" s="84"/>
      <c r="AF14" s="84"/>
    </row>
    <row r="15" spans="1:32" ht="19.8" customHeight="1">
      <c r="A15" s="398" t="str">
        <f>A275</f>
        <v>10.03.05. (T)</v>
      </c>
      <c r="B15" s="84" t="str">
        <f>B275</f>
        <v xml:space="preserve"> Plėsti, prižiūrėti ir modernizuoti teritorijas, įrengiant reikalingą infrastrukūrą</v>
      </c>
      <c r="E15" s="84"/>
      <c r="F15" s="84"/>
      <c r="AE15" s="84"/>
      <c r="AF15" s="84"/>
    </row>
    <row r="16" spans="1:32" ht="15" customHeight="1">
      <c r="A16" s="398" t="s">
        <v>3198</v>
      </c>
      <c r="B16" s="84" t="s">
        <v>3199</v>
      </c>
      <c r="E16" s="84"/>
      <c r="F16" s="84"/>
      <c r="AE16" s="84"/>
      <c r="AF16" s="84"/>
    </row>
    <row r="17" spans="1:32" ht="13.2" customHeight="1">
      <c r="A17" s="155"/>
      <c r="B17" s="87"/>
      <c r="C17" s="87"/>
      <c r="D17" s="87"/>
      <c r="E17" s="87"/>
      <c r="F17" s="87"/>
      <c r="G17" s="87"/>
      <c r="H17" s="87"/>
      <c r="I17" s="87"/>
      <c r="J17" s="409"/>
      <c r="K17" s="87"/>
      <c r="L17" s="87"/>
      <c r="M17" s="1633"/>
      <c r="N17" s="2206"/>
      <c r="O17" s="87"/>
      <c r="P17" s="1633"/>
      <c r="Q17" s="87"/>
      <c r="R17" s="1633"/>
      <c r="S17" s="87"/>
      <c r="AE17" s="84"/>
      <c r="AF17" s="84"/>
    </row>
    <row r="18" spans="1:32" ht="19.8" customHeight="1">
      <c r="A18" s="2920" t="s">
        <v>3827</v>
      </c>
      <c r="B18" s="2920"/>
      <c r="C18" s="2920"/>
      <c r="D18" s="2920"/>
      <c r="E18" s="2920"/>
      <c r="F18" s="112"/>
      <c r="G18" s="112"/>
      <c r="H18" s="99"/>
      <c r="I18" s="99"/>
      <c r="J18" s="507"/>
      <c r="K18" s="83"/>
      <c r="L18" s="83"/>
      <c r="M18" s="1630"/>
      <c r="N18" s="2204"/>
      <c r="O18" s="83"/>
      <c r="P18" s="1630"/>
      <c r="Q18" s="83"/>
      <c r="R18" s="1630"/>
      <c r="S18" s="83"/>
      <c r="T18" s="83"/>
      <c r="W18" s="201"/>
      <c r="X18" s="201"/>
      <c r="Y18" s="201"/>
      <c r="Z18" s="201"/>
      <c r="AA18" s="201"/>
      <c r="AB18" s="82"/>
      <c r="AE18" s="84"/>
      <c r="AF18" s="84"/>
    </row>
    <row r="19" spans="1:32" ht="59.4" customHeight="1">
      <c r="A19" s="2920" t="s">
        <v>4702</v>
      </c>
      <c r="B19" s="2920"/>
      <c r="C19" s="2920"/>
      <c r="D19" s="2920"/>
      <c r="E19" s="2920"/>
      <c r="F19" s="2920"/>
      <c r="G19" s="2920"/>
      <c r="H19" s="2920"/>
      <c r="I19" s="2920"/>
      <c r="J19" s="2920"/>
      <c r="K19" s="2920"/>
      <c r="L19" s="2920"/>
      <c r="M19" s="2920"/>
      <c r="N19" s="2920"/>
      <c r="O19" s="2920"/>
      <c r="P19" s="2920"/>
      <c r="Q19" s="2920"/>
      <c r="R19" s="2920"/>
      <c r="S19" s="2920"/>
      <c r="T19" s="2920"/>
      <c r="U19" s="2920"/>
      <c r="V19" s="2920"/>
      <c r="W19" s="2920"/>
      <c r="X19" s="2920"/>
      <c r="Y19" s="2920"/>
      <c r="Z19" s="2920"/>
      <c r="AA19" s="2920"/>
      <c r="AB19" s="2920"/>
      <c r="AE19" s="84"/>
      <c r="AF19" s="84"/>
    </row>
    <row r="20" spans="1:32" ht="6" customHeight="1">
      <c r="A20" s="112"/>
      <c r="B20" s="112"/>
      <c r="C20" s="112"/>
      <c r="D20" s="112"/>
      <c r="E20" s="112"/>
      <c r="F20" s="112"/>
      <c r="G20" s="112"/>
      <c r="H20" s="82"/>
      <c r="I20" s="82"/>
      <c r="J20" s="480"/>
      <c r="K20" s="83"/>
      <c r="L20" s="83"/>
      <c r="M20" s="1630"/>
      <c r="N20" s="2204"/>
      <c r="O20" s="83"/>
      <c r="P20" s="1630"/>
      <c r="Q20" s="83"/>
      <c r="R20" s="1630"/>
      <c r="S20" s="83"/>
      <c r="T20" s="83"/>
      <c r="W20" s="201"/>
      <c r="X20" s="201"/>
      <c r="Y20" s="201"/>
      <c r="Z20" s="201"/>
      <c r="AA20" s="201"/>
      <c r="AB20" s="82"/>
      <c r="AE20" s="84"/>
      <c r="AF20" s="84"/>
    </row>
    <row r="21" spans="1:32" ht="20.399999999999999" customHeight="1">
      <c r="A21" s="2991" t="s">
        <v>3622</v>
      </c>
      <c r="B21" s="2991"/>
      <c r="C21" s="2991"/>
      <c r="D21" s="2991"/>
      <c r="E21" s="2991"/>
      <c r="F21" s="2991"/>
      <c r="G21" s="2991"/>
      <c r="H21" s="2991"/>
      <c r="I21" s="2991"/>
      <c r="J21" s="2991"/>
      <c r="K21" s="2991"/>
      <c r="L21" s="2991"/>
      <c r="M21" s="2991"/>
      <c r="N21" s="2991"/>
      <c r="O21" s="2991"/>
      <c r="P21" s="2991"/>
      <c r="Q21" s="2991"/>
      <c r="R21" s="2991"/>
      <c r="S21" s="2991"/>
      <c r="T21" s="2991"/>
      <c r="U21" s="2991"/>
      <c r="V21" s="2991"/>
      <c r="W21" s="2991"/>
      <c r="X21" s="2991"/>
      <c r="Y21" s="2991"/>
      <c r="Z21" s="2991"/>
      <c r="AA21" s="2991"/>
      <c r="AB21" s="2991"/>
      <c r="AE21" s="84"/>
      <c r="AF21" s="84"/>
    </row>
    <row r="22" spans="1:32" s="200" customFormat="1" ht="44.4" customHeight="1">
      <c r="A22" s="2909" t="s">
        <v>728</v>
      </c>
      <c r="B22" s="2818" t="s">
        <v>1899</v>
      </c>
      <c r="C22" s="3533" t="s">
        <v>1064</v>
      </c>
      <c r="D22" s="3535" t="s">
        <v>1065</v>
      </c>
      <c r="E22" s="3523" t="s">
        <v>1081</v>
      </c>
      <c r="F22" s="3523" t="s">
        <v>1173</v>
      </c>
      <c r="G22" s="2820" t="s">
        <v>1079</v>
      </c>
      <c r="H22" s="2691" t="s">
        <v>1080</v>
      </c>
      <c r="I22" s="3523" t="s">
        <v>2882</v>
      </c>
      <c r="J22" s="3523" t="s">
        <v>2883</v>
      </c>
      <c r="K22" s="2691" t="s">
        <v>1915</v>
      </c>
      <c r="L22" s="2691" t="s">
        <v>1970</v>
      </c>
      <c r="M22" s="2692" t="s">
        <v>3824</v>
      </c>
      <c r="N22" s="3528" t="s">
        <v>3835</v>
      </c>
      <c r="O22" s="2691" t="s">
        <v>2881</v>
      </c>
      <c r="P22" s="2692" t="s">
        <v>3825</v>
      </c>
      <c r="Q22" s="2691" t="s">
        <v>3823</v>
      </c>
      <c r="R22" s="2692" t="s">
        <v>3826</v>
      </c>
      <c r="S22" s="2691" t="s">
        <v>1937</v>
      </c>
      <c r="T22" s="3532" t="s">
        <v>2740</v>
      </c>
      <c r="U22" s="3167" t="s">
        <v>729</v>
      </c>
      <c r="V22" s="3167" t="s">
        <v>1083</v>
      </c>
      <c r="W22" s="2745" t="s">
        <v>730</v>
      </c>
      <c r="X22" s="2746"/>
      <c r="Y22" s="2746"/>
      <c r="Z22" s="2746"/>
      <c r="AA22" s="2747"/>
      <c r="AB22" s="2713" t="s">
        <v>731</v>
      </c>
    </row>
    <row r="23" spans="1:32" s="200" customFormat="1" ht="106.2" customHeight="1">
      <c r="A23" s="2910"/>
      <c r="B23" s="2819"/>
      <c r="C23" s="3534"/>
      <c r="D23" s="3536"/>
      <c r="E23" s="3537"/>
      <c r="F23" s="3524"/>
      <c r="G23" s="3546"/>
      <c r="H23" s="3545"/>
      <c r="I23" s="3524"/>
      <c r="J23" s="3524"/>
      <c r="K23" s="2691"/>
      <c r="L23" s="2691"/>
      <c r="M23" s="2692"/>
      <c r="N23" s="3529"/>
      <c r="O23" s="2691"/>
      <c r="P23" s="2692"/>
      <c r="Q23" s="2691"/>
      <c r="R23" s="2692"/>
      <c r="S23" s="2691"/>
      <c r="T23" s="2684"/>
      <c r="U23" s="3522"/>
      <c r="V23" s="3522"/>
      <c r="W23" s="203">
        <v>2024</v>
      </c>
      <c r="X23" s="203">
        <v>2025</v>
      </c>
      <c r="Y23" s="203">
        <v>2026</v>
      </c>
      <c r="Z23" s="404">
        <v>2027</v>
      </c>
      <c r="AA23" s="404">
        <v>2028</v>
      </c>
      <c r="AB23" s="2713"/>
    </row>
    <row r="24" spans="1:32" ht="63" customHeight="1">
      <c r="A24" s="697" t="s">
        <v>2089</v>
      </c>
      <c r="B24" s="663" t="s">
        <v>2454</v>
      </c>
      <c r="C24" s="697"/>
      <c r="D24" s="697"/>
      <c r="E24" s="745">
        <f>SUM(E27,E37,E41,E46)</f>
        <v>516.6</v>
      </c>
      <c r="F24" s="897">
        <f>H24/E24-1</f>
        <v>3.2520325203251321E-3</v>
      </c>
      <c r="G24" s="1194">
        <f>SUM(G27,G37,G41,G46)</f>
        <v>509.67999999999995</v>
      </c>
      <c r="H24" s="746">
        <f>SUM(H27,H37,H41,H46)</f>
        <v>518.28</v>
      </c>
      <c r="I24" s="747">
        <f>J24/H24-1</f>
        <v>0.1892799259087754</v>
      </c>
      <c r="J24" s="745">
        <f t="shared" ref="J24:R24" si="0">SUM(J27,J37,J41,J46)</f>
        <v>616.38000000000011</v>
      </c>
      <c r="K24" s="746">
        <f t="shared" si="0"/>
        <v>804.37999999999988</v>
      </c>
      <c r="L24" s="746">
        <f>SUM(L27,L37,L41,L46)</f>
        <v>796.17</v>
      </c>
      <c r="M24" s="746">
        <f t="shared" ref="M24:Q24" si="1">SUM(M27,M37,M41,M46)</f>
        <v>1004.81</v>
      </c>
      <c r="N24" s="746">
        <f t="shared" si="1"/>
        <v>0.14010125797240414</v>
      </c>
      <c r="O24" s="746">
        <f t="shared" si="1"/>
        <v>825.01949999999988</v>
      </c>
      <c r="P24" s="746">
        <f t="shared" si="1"/>
        <v>737.3900000000001</v>
      </c>
      <c r="Q24" s="746">
        <f t="shared" si="1"/>
        <v>880.31147499999997</v>
      </c>
      <c r="R24" s="1497">
        <f t="shared" si="0"/>
        <v>794.7</v>
      </c>
      <c r="S24" s="929" t="s">
        <v>2244</v>
      </c>
      <c r="T24" s="697"/>
      <c r="U24" s="671" t="s">
        <v>1626</v>
      </c>
      <c r="V24" s="671" t="s">
        <v>4029</v>
      </c>
      <c r="W24" s="671" t="s">
        <v>2309</v>
      </c>
      <c r="X24" s="671" t="s">
        <v>2310</v>
      </c>
      <c r="Y24" s="671" t="s">
        <v>2310</v>
      </c>
      <c r="Z24" s="671" t="s">
        <v>2310</v>
      </c>
      <c r="AA24" s="671" t="s">
        <v>2310</v>
      </c>
      <c r="AB24" s="671" t="s">
        <v>2308</v>
      </c>
      <c r="AE24" s="84"/>
      <c r="AF24" s="84"/>
    </row>
    <row r="25" spans="1:32" ht="46.5" customHeight="1">
      <c r="A25" s="2879" t="s">
        <v>2085</v>
      </c>
      <c r="B25" s="2695" t="s">
        <v>3704</v>
      </c>
      <c r="C25" s="2723" t="s">
        <v>1071</v>
      </c>
      <c r="D25" s="719" t="s">
        <v>470</v>
      </c>
      <c r="E25" s="720">
        <v>184</v>
      </c>
      <c r="F25" s="914">
        <f t="shared" ref="F25:F54" si="2">H25/E25-1</f>
        <v>3.2608695652173836E-2</v>
      </c>
      <c r="G25" s="720">
        <v>204</v>
      </c>
      <c r="H25" s="722">
        <v>190</v>
      </c>
      <c r="I25" s="1014">
        <f t="shared" ref="I25:I103" si="3">J25/H25-1</f>
        <v>0.43684210526315792</v>
      </c>
      <c r="J25" s="720">
        <f>SUM(J28,J29,J30,J31,J32)</f>
        <v>273</v>
      </c>
      <c r="K25" s="722">
        <f>SUM(K28,K29,K30,K31,K32,K33,K35)</f>
        <v>350</v>
      </c>
      <c r="L25" s="1818">
        <f>SUM(L28,L29,L30,L31,L32,L33,L35)</f>
        <v>302.02</v>
      </c>
      <c r="M25" s="1496">
        <f>SUM(M28,M29,M30,M31,M32,M33,M35)</f>
        <v>281.45</v>
      </c>
      <c r="N25" s="2055">
        <f>(L25-K25)/K25</f>
        <v>-0.13708571428571434</v>
      </c>
      <c r="O25" s="722">
        <f t="shared" ref="O25" si="4">SUM(O28,O29,O30,O31,O32,O33,O35)</f>
        <v>307.12099999999998</v>
      </c>
      <c r="P25" s="1496">
        <f>SUM(P28,P29,P30,P31,P32,P33,P35)</f>
        <v>278.84000000000003</v>
      </c>
      <c r="Q25" s="722">
        <f t="shared" ref="Q25:R25" si="5">SUM(Q28,Q29,Q30,Q31,Q32,Q33,Q35)</f>
        <v>337.47704999999996</v>
      </c>
      <c r="R25" s="1496">
        <f t="shared" si="5"/>
        <v>307.47000000000003</v>
      </c>
      <c r="S25" s="3386" t="s">
        <v>2245</v>
      </c>
      <c r="T25" s="3538" t="s">
        <v>4216</v>
      </c>
      <c r="U25" s="2944" t="s">
        <v>1627</v>
      </c>
      <c r="V25" s="3071" t="s">
        <v>3533</v>
      </c>
      <c r="W25" s="3471" t="s">
        <v>1420</v>
      </c>
      <c r="X25" s="656" t="s">
        <v>1420</v>
      </c>
      <c r="Y25" s="2903" t="s">
        <v>1420</v>
      </c>
      <c r="Z25" s="2903" t="s">
        <v>1420</v>
      </c>
      <c r="AA25" s="2903" t="s">
        <v>1420</v>
      </c>
      <c r="AB25" s="3071" t="s">
        <v>2428</v>
      </c>
      <c r="AE25" s="84"/>
      <c r="AF25" s="84"/>
    </row>
    <row r="26" spans="1:32" ht="46.5" customHeight="1">
      <c r="A26" s="2879"/>
      <c r="B26" s="2695"/>
      <c r="C26" s="2723"/>
      <c r="D26" s="719" t="s">
        <v>1353</v>
      </c>
      <c r="E26" s="720"/>
      <c r="F26" s="914"/>
      <c r="G26" s="720"/>
      <c r="H26" s="722"/>
      <c r="I26" s="1014"/>
      <c r="J26" s="720"/>
      <c r="K26" s="722"/>
      <c r="L26" s="1818">
        <f>L34</f>
        <v>16.68</v>
      </c>
      <c r="M26" s="1496">
        <f>M34</f>
        <v>16.68</v>
      </c>
      <c r="N26" s="2055"/>
      <c r="O26" s="1818">
        <f>O34</f>
        <v>16.68</v>
      </c>
      <c r="P26" s="1496">
        <f>P34</f>
        <v>16.68</v>
      </c>
      <c r="Q26" s="1818">
        <f>Q34</f>
        <v>16.68</v>
      </c>
      <c r="R26" s="1496">
        <f>R34</f>
        <v>16.68</v>
      </c>
      <c r="S26" s="3387"/>
      <c r="T26" s="3538"/>
      <c r="U26" s="2944"/>
      <c r="V26" s="3072"/>
      <c r="W26" s="3471"/>
      <c r="X26" s="656"/>
      <c r="Y26" s="2905"/>
      <c r="Z26" s="2905"/>
      <c r="AA26" s="2905"/>
      <c r="AB26" s="3072"/>
      <c r="AE26" s="84"/>
      <c r="AF26" s="84"/>
    </row>
    <row r="27" spans="1:32" ht="47.25" customHeight="1">
      <c r="A27" s="2879"/>
      <c r="B27" s="2695"/>
      <c r="C27" s="2723"/>
      <c r="D27" s="725" t="s">
        <v>1067</v>
      </c>
      <c r="E27" s="726">
        <f>E25</f>
        <v>184</v>
      </c>
      <c r="F27" s="911">
        <f t="shared" si="2"/>
        <v>3.2608695652173836E-2</v>
      </c>
      <c r="G27" s="726">
        <f t="shared" ref="G27:O27" si="6">G25</f>
        <v>204</v>
      </c>
      <c r="H27" s="728">
        <f t="shared" si="6"/>
        <v>190</v>
      </c>
      <c r="I27" s="729">
        <f t="shared" si="3"/>
        <v>0.43684210526315792</v>
      </c>
      <c r="J27" s="726">
        <f t="shared" si="6"/>
        <v>273</v>
      </c>
      <c r="K27" s="728">
        <f t="shared" si="6"/>
        <v>350</v>
      </c>
      <c r="L27" s="728">
        <f>SUM(L25,L26)</f>
        <v>318.7</v>
      </c>
      <c r="M27" s="1464">
        <f>M25+M26</f>
        <v>298.13</v>
      </c>
      <c r="N27" s="2056">
        <f t="shared" ref="N27:N90" si="7">(L27-K27)/K27</f>
        <v>-8.9428571428571454E-2</v>
      </c>
      <c r="O27" s="728">
        <f>SUM(O25,O26)</f>
        <v>323.80099999999999</v>
      </c>
      <c r="P27" s="728">
        <f t="shared" ref="P27:Q27" si="8">SUM(P25,P26)</f>
        <v>295.52000000000004</v>
      </c>
      <c r="Q27" s="728">
        <f t="shared" si="8"/>
        <v>354.15704999999997</v>
      </c>
      <c r="R27" s="1464">
        <f>R25+R26</f>
        <v>324.15000000000003</v>
      </c>
      <c r="S27" s="3387"/>
      <c r="T27" s="2690"/>
      <c r="U27" s="2694"/>
      <c r="V27" s="656" t="s">
        <v>4219</v>
      </c>
      <c r="W27" s="3471"/>
      <c r="X27" s="656" t="s">
        <v>308</v>
      </c>
      <c r="Y27" s="656" t="s">
        <v>585</v>
      </c>
      <c r="Z27" s="656" t="s">
        <v>585</v>
      </c>
      <c r="AA27" s="656" t="s">
        <v>585</v>
      </c>
      <c r="AB27" s="656"/>
      <c r="AE27" s="84"/>
      <c r="AF27" s="84"/>
    </row>
    <row r="28" spans="1:32" ht="103.5" hidden="1" customHeight="1">
      <c r="A28" s="899" t="s">
        <v>3026</v>
      </c>
      <c r="B28" s="693" t="s">
        <v>3128</v>
      </c>
      <c r="C28" s="894"/>
      <c r="D28" s="700"/>
      <c r="E28" s="755"/>
      <c r="F28" s="1180"/>
      <c r="G28" s="755"/>
      <c r="H28" s="737"/>
      <c r="I28" s="756"/>
      <c r="J28" s="734">
        <v>50</v>
      </c>
      <c r="K28" s="3525">
        <v>210</v>
      </c>
      <c r="L28" s="1908">
        <v>50</v>
      </c>
      <c r="M28" s="1529">
        <v>50</v>
      </c>
      <c r="N28" s="2044">
        <f t="shared" si="7"/>
        <v>-0.76190476190476186</v>
      </c>
      <c r="O28" s="1824">
        <v>50</v>
      </c>
      <c r="P28" s="1529">
        <v>50</v>
      </c>
      <c r="Q28" s="1824">
        <v>50</v>
      </c>
      <c r="R28" s="1529">
        <v>50</v>
      </c>
      <c r="S28" s="3387"/>
      <c r="T28" s="1461" t="s">
        <v>3870</v>
      </c>
      <c r="U28" s="705"/>
      <c r="V28" s="685"/>
      <c r="W28" s="3471"/>
      <c r="X28" s="664"/>
      <c r="Y28" s="664"/>
      <c r="Z28" s="664"/>
      <c r="AA28" s="664"/>
      <c r="AB28" s="685"/>
      <c r="AE28" s="84"/>
      <c r="AF28" s="84"/>
    </row>
    <row r="29" spans="1:32" ht="72.75" hidden="1" customHeight="1">
      <c r="A29" s="899" t="s">
        <v>3026</v>
      </c>
      <c r="B29" s="693" t="s">
        <v>3129</v>
      </c>
      <c r="C29" s="894"/>
      <c r="D29" s="700"/>
      <c r="E29" s="755"/>
      <c r="F29" s="1180"/>
      <c r="G29" s="755"/>
      <c r="H29" s="737"/>
      <c r="I29" s="756"/>
      <c r="J29" s="734">
        <v>18</v>
      </c>
      <c r="K29" s="3526"/>
      <c r="L29" s="1908">
        <v>20</v>
      </c>
      <c r="M29" s="1529">
        <v>20</v>
      </c>
      <c r="N29" s="2044" t="e">
        <f t="shared" si="7"/>
        <v>#DIV/0!</v>
      </c>
      <c r="O29" s="1824">
        <v>20</v>
      </c>
      <c r="P29" s="1529">
        <v>20</v>
      </c>
      <c r="Q29" s="1824">
        <v>20</v>
      </c>
      <c r="R29" s="1529">
        <v>20</v>
      </c>
      <c r="S29" s="3387"/>
      <c r="T29" s="1461" t="s">
        <v>3871</v>
      </c>
      <c r="U29" s="705"/>
      <c r="V29" s="685"/>
      <c r="W29" s="3471"/>
      <c r="X29" s="664"/>
      <c r="Y29" s="664"/>
      <c r="Z29" s="664"/>
      <c r="AA29" s="664"/>
      <c r="AB29" s="685"/>
      <c r="AE29" s="84"/>
      <c r="AF29" s="84"/>
    </row>
    <row r="30" spans="1:32" ht="79.5" hidden="1" customHeight="1">
      <c r="A30" s="899" t="s">
        <v>3026</v>
      </c>
      <c r="B30" s="693" t="s">
        <v>3130</v>
      </c>
      <c r="C30" s="894"/>
      <c r="D30" s="700"/>
      <c r="E30" s="755"/>
      <c r="F30" s="1180"/>
      <c r="G30" s="755"/>
      <c r="H30" s="737"/>
      <c r="I30" s="756"/>
      <c r="J30" s="734">
        <v>100</v>
      </c>
      <c r="K30" s="3526"/>
      <c r="L30" s="1908">
        <v>100</v>
      </c>
      <c r="M30" s="1529">
        <v>100</v>
      </c>
      <c r="N30" s="2044" t="e">
        <f t="shared" si="7"/>
        <v>#DIV/0!</v>
      </c>
      <c r="O30" s="1824">
        <v>100</v>
      </c>
      <c r="P30" s="1529">
        <v>100</v>
      </c>
      <c r="Q30" s="1824">
        <v>110</v>
      </c>
      <c r="R30" s="1529">
        <v>110</v>
      </c>
      <c r="S30" s="3387"/>
      <c r="T30" s="1461" t="s">
        <v>3132</v>
      </c>
      <c r="U30" s="705"/>
      <c r="V30" s="685"/>
      <c r="W30" s="3471"/>
      <c r="X30" s="664"/>
      <c r="Y30" s="664"/>
      <c r="Z30" s="664"/>
      <c r="AA30" s="664"/>
      <c r="AB30" s="685"/>
      <c r="AE30" s="84"/>
      <c r="AF30" s="84"/>
    </row>
    <row r="31" spans="1:32" ht="129.75" hidden="1" customHeight="1">
      <c r="A31" s="899" t="s">
        <v>3026</v>
      </c>
      <c r="B31" s="693" t="s">
        <v>3131</v>
      </c>
      <c r="C31" s="894"/>
      <c r="D31" s="700"/>
      <c r="E31" s="755"/>
      <c r="F31" s="1180"/>
      <c r="G31" s="755"/>
      <c r="H31" s="737"/>
      <c r="I31" s="756"/>
      <c r="J31" s="734">
        <v>45</v>
      </c>
      <c r="K31" s="3527"/>
      <c r="L31" s="1908">
        <v>30</v>
      </c>
      <c r="M31" s="1529">
        <v>30</v>
      </c>
      <c r="N31" s="2044" t="e">
        <f t="shared" si="7"/>
        <v>#DIV/0!</v>
      </c>
      <c r="O31" s="1824">
        <v>30</v>
      </c>
      <c r="P31" s="1529">
        <v>30</v>
      </c>
      <c r="Q31" s="1824">
        <v>45</v>
      </c>
      <c r="R31" s="1529">
        <v>45</v>
      </c>
      <c r="S31" s="3387"/>
      <c r="T31" s="1461" t="s">
        <v>3872</v>
      </c>
      <c r="U31" s="705"/>
      <c r="V31" s="685"/>
      <c r="W31" s="3471"/>
      <c r="X31" s="664"/>
      <c r="Y31" s="664"/>
      <c r="Z31" s="664"/>
      <c r="AA31" s="664"/>
      <c r="AB31" s="685"/>
      <c r="AE31" s="84"/>
      <c r="AF31" s="84"/>
    </row>
    <row r="32" spans="1:32" ht="52.2" hidden="1" customHeight="1">
      <c r="A32" s="899" t="s">
        <v>3026</v>
      </c>
      <c r="B32" s="693" t="s">
        <v>3188</v>
      </c>
      <c r="C32" s="894"/>
      <c r="D32" s="700"/>
      <c r="E32" s="755"/>
      <c r="F32" s="1180"/>
      <c r="G32" s="755"/>
      <c r="H32" s="737"/>
      <c r="I32" s="756"/>
      <c r="J32" s="734">
        <v>60</v>
      </c>
      <c r="K32" s="681">
        <v>30</v>
      </c>
      <c r="L32" s="1908">
        <v>0</v>
      </c>
      <c r="M32" s="1529">
        <v>0</v>
      </c>
      <c r="N32" s="2044">
        <f t="shared" si="7"/>
        <v>-1</v>
      </c>
      <c r="O32" s="1824"/>
      <c r="P32" s="1529"/>
      <c r="Q32" s="1824"/>
      <c r="R32" s="1470"/>
      <c r="S32" s="3387"/>
      <c r="T32" s="667" t="s">
        <v>3189</v>
      </c>
      <c r="U32" s="705"/>
      <c r="V32" s="685"/>
      <c r="W32" s="3471"/>
      <c r="X32" s="664"/>
      <c r="Y32" s="664"/>
      <c r="Z32" s="664"/>
      <c r="AA32" s="664"/>
      <c r="AB32" s="685"/>
      <c r="AE32" s="84"/>
      <c r="AF32" s="84"/>
    </row>
    <row r="33" spans="1:32" ht="34.200000000000003" hidden="1" customHeight="1">
      <c r="A33" s="3530" t="s">
        <v>3190</v>
      </c>
      <c r="B33" s="2899" t="s">
        <v>4197</v>
      </c>
      <c r="C33" s="894"/>
      <c r="D33" s="700" t="s">
        <v>470</v>
      </c>
      <c r="E33" s="755"/>
      <c r="F33" s="1180"/>
      <c r="G33" s="755"/>
      <c r="H33" s="737"/>
      <c r="I33" s="756"/>
      <c r="J33" s="734">
        <v>90</v>
      </c>
      <c r="K33" s="681">
        <v>90</v>
      </c>
      <c r="L33" s="446">
        <v>102.02</v>
      </c>
      <c r="M33" s="1529">
        <v>81.45</v>
      </c>
      <c r="N33" s="2044">
        <f t="shared" si="7"/>
        <v>0.13355555555555551</v>
      </c>
      <c r="O33" s="1824">
        <f>L33+(L33*5%)</f>
        <v>107.121</v>
      </c>
      <c r="P33" s="1470">
        <v>78.84</v>
      </c>
      <c r="Q33" s="1824">
        <f>O33+(O33*5%)</f>
        <v>112.47704999999999</v>
      </c>
      <c r="R33" s="1470">
        <v>82.47</v>
      </c>
      <c r="S33" s="3387"/>
      <c r="T33" s="667" t="s">
        <v>4142</v>
      </c>
      <c r="U33" s="705"/>
      <c r="V33" s="685"/>
      <c r="W33" s="3471"/>
      <c r="X33" s="664"/>
      <c r="Y33" s="664"/>
      <c r="Z33" s="664"/>
      <c r="AA33" s="664"/>
      <c r="AB33" s="685"/>
      <c r="AE33" s="84"/>
      <c r="AF33" s="84"/>
    </row>
    <row r="34" spans="1:32" ht="34.200000000000003" hidden="1" customHeight="1">
      <c r="A34" s="3531"/>
      <c r="B34" s="2900"/>
      <c r="C34" s="894"/>
      <c r="D34" s="700" t="s">
        <v>1353</v>
      </c>
      <c r="E34" s="755"/>
      <c r="F34" s="1180"/>
      <c r="G34" s="755"/>
      <c r="H34" s="737"/>
      <c r="I34" s="756"/>
      <c r="J34" s="734"/>
      <c r="K34" s="681"/>
      <c r="L34" s="1908">
        <v>16.68</v>
      </c>
      <c r="M34" s="1529">
        <v>16.68</v>
      </c>
      <c r="N34" s="2044" t="e">
        <f t="shared" si="7"/>
        <v>#DIV/0!</v>
      </c>
      <c r="O34" s="1824">
        <v>16.68</v>
      </c>
      <c r="P34" s="1470">
        <v>16.68</v>
      </c>
      <c r="Q34" s="1824">
        <v>16.68</v>
      </c>
      <c r="R34" s="1470">
        <v>16.68</v>
      </c>
      <c r="S34" s="3387"/>
      <c r="T34" s="667"/>
      <c r="U34" s="705"/>
      <c r="V34" s="685"/>
      <c r="W34" s="3471"/>
      <c r="X34" s="664"/>
      <c r="Y34" s="664"/>
      <c r="Z34" s="664"/>
      <c r="AA34" s="664"/>
      <c r="AB34" s="685"/>
      <c r="AE34" s="84"/>
      <c r="AF34" s="84"/>
    </row>
    <row r="35" spans="1:32" ht="37.200000000000003" hidden="1" customHeight="1">
      <c r="A35" s="899" t="s">
        <v>3026</v>
      </c>
      <c r="B35" s="693" t="s">
        <v>3231</v>
      </c>
      <c r="C35" s="894"/>
      <c r="D35" s="700"/>
      <c r="E35" s="755"/>
      <c r="F35" s="1180"/>
      <c r="G35" s="755"/>
      <c r="H35" s="737"/>
      <c r="I35" s="756"/>
      <c r="J35" s="734">
        <v>20</v>
      </c>
      <c r="K35" s="681">
        <v>20</v>
      </c>
      <c r="L35" s="1776"/>
      <c r="M35" s="1470"/>
      <c r="N35" s="2044">
        <f t="shared" si="7"/>
        <v>-1</v>
      </c>
      <c r="O35" s="681"/>
      <c r="P35" s="1470"/>
      <c r="Q35" s="681"/>
      <c r="R35" s="1470"/>
      <c r="S35" s="3387"/>
      <c r="T35" s="667"/>
      <c r="U35" s="705"/>
      <c r="V35" s="685"/>
      <c r="W35" s="3471"/>
      <c r="X35" s="664"/>
      <c r="Y35" s="664"/>
      <c r="Z35" s="664"/>
      <c r="AA35" s="664"/>
      <c r="AB35" s="685"/>
      <c r="AE35" s="84"/>
      <c r="AF35" s="84"/>
    </row>
    <row r="36" spans="1:32" ht="32.4" customHeight="1">
      <c r="A36" s="2879" t="s">
        <v>2086</v>
      </c>
      <c r="B36" s="2699" t="s">
        <v>1276</v>
      </c>
      <c r="C36" s="2719">
        <v>188711925</v>
      </c>
      <c r="D36" s="706" t="s">
        <v>470</v>
      </c>
      <c r="E36" s="1195">
        <v>0</v>
      </c>
      <c r="F36" s="914"/>
      <c r="G36" s="720">
        <v>5</v>
      </c>
      <c r="H36" s="722">
        <v>5</v>
      </c>
      <c r="I36" s="1014">
        <f t="shared" si="3"/>
        <v>-0.5</v>
      </c>
      <c r="J36" s="720">
        <f>SUM(J38)</f>
        <v>2.5</v>
      </c>
      <c r="K36" s="722">
        <f t="shared" ref="K36" si="9">SUM(K38)</f>
        <v>0</v>
      </c>
      <c r="L36" s="722">
        <v>2.5</v>
      </c>
      <c r="M36" s="1496">
        <v>2.5</v>
      </c>
      <c r="N36" s="2055"/>
      <c r="O36" s="722">
        <v>2.5</v>
      </c>
      <c r="P36" s="1496">
        <v>2.5</v>
      </c>
      <c r="Q36" s="722">
        <v>2.5</v>
      </c>
      <c r="R36" s="1496">
        <v>2.5</v>
      </c>
      <c r="S36" s="3387"/>
      <c r="T36" s="3427" t="s">
        <v>4217</v>
      </c>
      <c r="U36" s="2944" t="s">
        <v>1628</v>
      </c>
      <c r="V36" s="2942" t="s">
        <v>4218</v>
      </c>
      <c r="W36" s="3471"/>
      <c r="X36" s="3470" t="s">
        <v>433</v>
      </c>
      <c r="Y36" s="2942" t="s">
        <v>585</v>
      </c>
      <c r="Z36" s="2942" t="s">
        <v>585</v>
      </c>
      <c r="AA36" s="2942" t="s">
        <v>3502</v>
      </c>
      <c r="AB36" s="2942"/>
      <c r="AE36" s="84"/>
      <c r="AF36" s="84"/>
    </row>
    <row r="37" spans="1:32" ht="32.4" customHeight="1">
      <c r="A37" s="2879"/>
      <c r="B37" s="2699"/>
      <c r="C37" s="2719"/>
      <c r="D37" s="725" t="s">
        <v>1067</v>
      </c>
      <c r="E37" s="1196">
        <f>E36</f>
        <v>0</v>
      </c>
      <c r="F37" s="911"/>
      <c r="G37" s="726">
        <f t="shared" ref="G37:R37" si="10">G36</f>
        <v>5</v>
      </c>
      <c r="H37" s="728">
        <f t="shared" si="10"/>
        <v>5</v>
      </c>
      <c r="I37" s="729">
        <f t="shared" si="3"/>
        <v>-0.5</v>
      </c>
      <c r="J37" s="726">
        <f t="shared" si="10"/>
        <v>2.5</v>
      </c>
      <c r="K37" s="728">
        <f t="shared" si="10"/>
        <v>0</v>
      </c>
      <c r="L37" s="728">
        <f t="shared" si="10"/>
        <v>2.5</v>
      </c>
      <c r="M37" s="1464">
        <f t="shared" si="10"/>
        <v>2.5</v>
      </c>
      <c r="N37" s="2056"/>
      <c r="O37" s="728">
        <f t="shared" si="10"/>
        <v>2.5</v>
      </c>
      <c r="P37" s="1464">
        <f t="shared" si="10"/>
        <v>2.5</v>
      </c>
      <c r="Q37" s="728">
        <f t="shared" si="10"/>
        <v>2.5</v>
      </c>
      <c r="R37" s="1464">
        <f t="shared" si="10"/>
        <v>2.5</v>
      </c>
      <c r="S37" s="3387"/>
      <c r="T37" s="3377"/>
      <c r="U37" s="2694"/>
      <c r="V37" s="2944"/>
      <c r="W37" s="3472"/>
      <c r="X37" s="3472"/>
      <c r="Y37" s="2944"/>
      <c r="Z37" s="2944"/>
      <c r="AA37" s="2944"/>
      <c r="AB37" s="2944"/>
      <c r="AE37" s="84"/>
      <c r="AF37" s="84"/>
    </row>
    <row r="38" spans="1:32" ht="110.25" hidden="1" customHeight="1">
      <c r="A38" s="913"/>
      <c r="B38" s="1463" t="s">
        <v>3873</v>
      </c>
      <c r="C38" s="739"/>
      <c r="D38" s="700"/>
      <c r="E38" s="1197"/>
      <c r="F38" s="1180"/>
      <c r="G38" s="755"/>
      <c r="H38" s="737"/>
      <c r="I38" s="756"/>
      <c r="J38" s="755">
        <v>2.5</v>
      </c>
      <c r="K38" s="737"/>
      <c r="L38" s="681"/>
      <c r="M38" s="1470"/>
      <c r="N38" s="2044" t="e">
        <f t="shared" si="7"/>
        <v>#DIV/0!</v>
      </c>
      <c r="O38" s="681"/>
      <c r="P38" s="1470"/>
      <c r="Q38" s="681"/>
      <c r="R38" s="1470"/>
      <c r="S38" s="737"/>
      <c r="T38" s="1462" t="s">
        <v>3133</v>
      </c>
      <c r="U38" s="659"/>
      <c r="V38" s="659"/>
      <c r="W38" s="664"/>
      <c r="X38" s="664"/>
      <c r="Y38" s="664"/>
      <c r="Z38" s="664"/>
      <c r="AA38" s="664"/>
      <c r="AB38" s="685"/>
      <c r="AE38" s="84"/>
      <c r="AF38" s="84"/>
    </row>
    <row r="39" spans="1:32" ht="31.95" customHeight="1">
      <c r="A39" s="2879" t="s">
        <v>2087</v>
      </c>
      <c r="B39" s="2699" t="s">
        <v>1277</v>
      </c>
      <c r="C39" s="2719" t="s">
        <v>1071</v>
      </c>
      <c r="D39" s="706" t="s">
        <v>470</v>
      </c>
      <c r="E39" s="720">
        <f>SUM(E42:E44)</f>
        <v>127.56</v>
      </c>
      <c r="F39" s="914">
        <f t="shared" si="2"/>
        <v>-0.41988084038883666</v>
      </c>
      <c r="G39" s="875">
        <f>SUM(G42,G44)</f>
        <v>152.66999999999999</v>
      </c>
      <c r="H39" s="722">
        <f t="shared" ref="H39" si="11">SUM(H42,H44)</f>
        <v>74</v>
      </c>
      <c r="I39" s="1014">
        <f t="shared" si="3"/>
        <v>1.3321621621621622</v>
      </c>
      <c r="J39" s="720">
        <f>SUM(J42,J44)</f>
        <v>172.58</v>
      </c>
      <c r="K39" s="722">
        <f t="shared" ref="K39:M39" si="12">SUM(K42,K44)</f>
        <v>205.82</v>
      </c>
      <c r="L39" s="722">
        <f>SUM(L42,L44)</f>
        <v>212.59100000000001</v>
      </c>
      <c r="M39" s="1496">
        <f t="shared" si="12"/>
        <v>221.88</v>
      </c>
      <c r="N39" s="2055">
        <f t="shared" si="7"/>
        <v>3.2897677582353589E-2</v>
      </c>
      <c r="O39" s="722">
        <f>L39+(L39*5%)</f>
        <v>223.22055</v>
      </c>
      <c r="P39" s="1496">
        <f t="shared" ref="P39" si="13">SUM(P42,P44)</f>
        <v>237.05</v>
      </c>
      <c r="Q39" s="722">
        <f>O39+(O39*5%)</f>
        <v>234.38157749999999</v>
      </c>
      <c r="R39" s="1496">
        <f t="shared" ref="R39" si="14">SUM(R42,R44)</f>
        <v>253.09</v>
      </c>
      <c r="S39" s="3386" t="s">
        <v>2246</v>
      </c>
      <c r="T39" s="3427" t="s">
        <v>3772</v>
      </c>
      <c r="U39" s="2944" t="s">
        <v>1629</v>
      </c>
      <c r="V39" s="2944" t="s">
        <v>3771</v>
      </c>
      <c r="W39" s="2942" t="s">
        <v>1702</v>
      </c>
      <c r="X39" s="2942" t="s">
        <v>1702</v>
      </c>
      <c r="Y39" s="2942" t="s">
        <v>4030</v>
      </c>
      <c r="Z39" s="2942" t="s">
        <v>4030</v>
      </c>
      <c r="AA39" s="2942" t="s">
        <v>4030</v>
      </c>
      <c r="AB39" s="2942" t="s">
        <v>2429</v>
      </c>
      <c r="AE39" s="84"/>
      <c r="AF39" s="84"/>
    </row>
    <row r="40" spans="1:32" ht="31.95" customHeight="1">
      <c r="A40" s="2879"/>
      <c r="B40" s="2699"/>
      <c r="C40" s="2719"/>
      <c r="D40" s="706" t="s">
        <v>1111</v>
      </c>
      <c r="E40" s="720"/>
      <c r="F40" s="914"/>
      <c r="G40" s="875"/>
      <c r="H40" s="722"/>
      <c r="I40" s="1014"/>
      <c r="J40" s="720"/>
      <c r="K40" s="722">
        <f>K43</f>
        <v>68</v>
      </c>
      <c r="L40" s="722"/>
      <c r="M40" s="1496">
        <f>M43</f>
        <v>0</v>
      </c>
      <c r="N40" s="2055">
        <f t="shared" si="7"/>
        <v>-1</v>
      </c>
      <c r="O40" s="722"/>
      <c r="P40" s="1496">
        <f>P43</f>
        <v>0</v>
      </c>
      <c r="Q40" s="722"/>
      <c r="R40" s="1496">
        <f>R43</f>
        <v>0</v>
      </c>
      <c r="S40" s="3387"/>
      <c r="T40" s="3376"/>
      <c r="U40" s="2943"/>
      <c r="V40" s="2943"/>
      <c r="W40" s="2943"/>
      <c r="X40" s="2943"/>
      <c r="Y40" s="2943"/>
      <c r="Z40" s="2943"/>
      <c r="AA40" s="2943"/>
      <c r="AB40" s="2943"/>
      <c r="AE40" s="84"/>
      <c r="AF40" s="84"/>
    </row>
    <row r="41" spans="1:32" ht="44.4" customHeight="1">
      <c r="A41" s="2879"/>
      <c r="B41" s="2699"/>
      <c r="C41" s="2719"/>
      <c r="D41" s="725" t="s">
        <v>1067</v>
      </c>
      <c r="E41" s="726">
        <f>E39</f>
        <v>127.56</v>
      </c>
      <c r="F41" s="911">
        <f t="shared" si="2"/>
        <v>-0.41988084038883666</v>
      </c>
      <c r="G41" s="1198">
        <f t="shared" ref="G41:J41" si="15">G39</f>
        <v>152.66999999999999</v>
      </c>
      <c r="H41" s="728">
        <f t="shared" si="15"/>
        <v>74</v>
      </c>
      <c r="I41" s="729">
        <f t="shared" si="3"/>
        <v>1.3321621621621622</v>
      </c>
      <c r="J41" s="726">
        <f t="shared" si="15"/>
        <v>172.58</v>
      </c>
      <c r="K41" s="728">
        <f>K39+K40</f>
        <v>273.82</v>
      </c>
      <c r="L41" s="728">
        <f t="shared" ref="L41:R41" si="16">L39+L40</f>
        <v>212.59100000000001</v>
      </c>
      <c r="M41" s="1464">
        <f t="shared" si="16"/>
        <v>221.88</v>
      </c>
      <c r="N41" s="2056">
        <f t="shared" si="7"/>
        <v>-0.22361040099335325</v>
      </c>
      <c r="O41" s="728">
        <f t="shared" si="16"/>
        <v>223.22055</v>
      </c>
      <c r="P41" s="1464">
        <f t="shared" si="16"/>
        <v>237.05</v>
      </c>
      <c r="Q41" s="728">
        <f t="shared" si="16"/>
        <v>234.38157749999999</v>
      </c>
      <c r="R41" s="1464">
        <f t="shared" si="16"/>
        <v>253.09</v>
      </c>
      <c r="S41" s="3398"/>
      <c r="T41" s="3377"/>
      <c r="U41" s="2942"/>
      <c r="V41" s="2942"/>
      <c r="W41" s="2943"/>
      <c r="X41" s="2943"/>
      <c r="Y41" s="2943"/>
      <c r="Z41" s="2944"/>
      <c r="AA41" s="2944"/>
      <c r="AB41" s="2944"/>
      <c r="AE41" s="84"/>
      <c r="AF41" s="84"/>
    </row>
    <row r="42" spans="1:32" ht="126.6" hidden="1" customHeight="1">
      <c r="A42" s="893"/>
      <c r="B42" s="1777" t="s">
        <v>4164</v>
      </c>
      <c r="C42" s="739"/>
      <c r="D42" s="682" t="s">
        <v>470</v>
      </c>
      <c r="E42" s="734">
        <v>65.760000000000005</v>
      </c>
      <c r="F42" s="906">
        <f t="shared" si="2"/>
        <v>-0.92396593673965932</v>
      </c>
      <c r="G42" s="1199">
        <v>9</v>
      </c>
      <c r="H42" s="681">
        <v>5</v>
      </c>
      <c r="I42" s="733">
        <f t="shared" si="3"/>
        <v>0.60000000000000009</v>
      </c>
      <c r="J42" s="734">
        <v>8</v>
      </c>
      <c r="K42" s="681">
        <v>29.26</v>
      </c>
      <c r="L42" s="1776">
        <v>8</v>
      </c>
      <c r="M42" s="1470">
        <v>8</v>
      </c>
      <c r="N42" s="2044">
        <f t="shared" si="7"/>
        <v>-0.72658920027341078</v>
      </c>
      <c r="O42" s="681">
        <v>3.18</v>
      </c>
      <c r="P42" s="1470">
        <v>8</v>
      </c>
      <c r="Q42" s="681"/>
      <c r="R42" s="1470">
        <v>8</v>
      </c>
      <c r="S42" s="1183"/>
      <c r="T42" s="1462" t="s">
        <v>3874</v>
      </c>
      <c r="U42" s="683"/>
      <c r="V42" s="693" t="s">
        <v>681</v>
      </c>
      <c r="W42" s="683"/>
      <c r="X42" s="683"/>
      <c r="Y42" s="683"/>
      <c r="Z42" s="683"/>
      <c r="AA42" s="683"/>
      <c r="AB42" s="683"/>
      <c r="AE42" s="84"/>
      <c r="AF42" s="84"/>
    </row>
    <row r="43" spans="1:32" ht="136.5" hidden="1" customHeight="1">
      <c r="A43" s="893"/>
      <c r="B43" s="673"/>
      <c r="C43" s="739"/>
      <c r="D43" s="682" t="s">
        <v>1111</v>
      </c>
      <c r="E43" s="734"/>
      <c r="F43" s="906"/>
      <c r="G43" s="1199"/>
      <c r="H43" s="681"/>
      <c r="I43" s="733"/>
      <c r="J43" s="734"/>
      <c r="K43" s="681">
        <v>68</v>
      </c>
      <c r="L43" s="1909"/>
      <c r="M43" s="1470"/>
      <c r="N43" s="2044">
        <f t="shared" si="7"/>
        <v>-1</v>
      </c>
      <c r="O43" s="681"/>
      <c r="P43" s="1470"/>
      <c r="Q43" s="681"/>
      <c r="R43" s="1470"/>
      <c r="S43" s="1183"/>
      <c r="T43" s="691"/>
      <c r="U43" s="683"/>
      <c r="V43" s="693"/>
      <c r="W43" s="683"/>
      <c r="X43" s="683"/>
      <c r="Y43" s="683"/>
      <c r="Z43" s="683"/>
      <c r="AA43" s="683"/>
      <c r="AB43" s="683"/>
      <c r="AE43" s="84"/>
      <c r="AF43" s="84"/>
    </row>
    <row r="44" spans="1:32" ht="60.75" hidden="1" customHeight="1">
      <c r="A44" s="893"/>
      <c r="B44" s="673" t="s">
        <v>4165</v>
      </c>
      <c r="C44" s="739"/>
      <c r="D44" s="682" t="s">
        <v>470</v>
      </c>
      <c r="E44" s="734">
        <v>61.8</v>
      </c>
      <c r="F44" s="906">
        <f t="shared" si="2"/>
        <v>0.11650485436893199</v>
      </c>
      <c r="G44" s="1199">
        <v>143.66999999999999</v>
      </c>
      <c r="H44" s="681">
        <v>69</v>
      </c>
      <c r="I44" s="733">
        <f t="shared" si="3"/>
        <v>1.385217391304348</v>
      </c>
      <c r="J44" s="734">
        <v>164.58</v>
      </c>
      <c r="K44" s="681">
        <v>176.56</v>
      </c>
      <c r="L44" s="1776">
        <v>204.59100000000001</v>
      </c>
      <c r="M44" s="1470">
        <v>213.88</v>
      </c>
      <c r="N44" s="2044">
        <f t="shared" si="7"/>
        <v>0.15876189397372001</v>
      </c>
      <c r="O44" s="681">
        <v>192.303</v>
      </c>
      <c r="P44" s="1470">
        <v>229.05</v>
      </c>
      <c r="Q44" s="681"/>
      <c r="R44" s="1470">
        <v>245.09</v>
      </c>
      <c r="S44" s="1183"/>
      <c r="T44" s="695"/>
      <c r="U44" s="683"/>
      <c r="V44" s="693" t="s">
        <v>506</v>
      </c>
      <c r="W44" s="683"/>
      <c r="X44" s="683"/>
      <c r="Y44" s="683"/>
      <c r="Z44" s="683"/>
      <c r="AA44" s="683"/>
      <c r="AB44" s="683"/>
      <c r="AE44" s="84"/>
      <c r="AF44" s="84"/>
    </row>
    <row r="45" spans="1:32" ht="36.6" customHeight="1">
      <c r="A45" s="2879" t="s">
        <v>2088</v>
      </c>
      <c r="B45" s="2699" t="s">
        <v>4166</v>
      </c>
      <c r="C45" s="2719">
        <v>188701436</v>
      </c>
      <c r="D45" s="706" t="s">
        <v>470</v>
      </c>
      <c r="E45" s="720">
        <v>205.04</v>
      </c>
      <c r="F45" s="914">
        <f t="shared" si="2"/>
        <v>0.21576277799453769</v>
      </c>
      <c r="G45" s="875">
        <v>148.01</v>
      </c>
      <c r="H45" s="722">
        <v>249.28</v>
      </c>
      <c r="I45" s="1014">
        <f t="shared" si="3"/>
        <v>-0.32485558408215653</v>
      </c>
      <c r="J45" s="720">
        <v>168.3</v>
      </c>
      <c r="K45" s="722">
        <v>180.56</v>
      </c>
      <c r="L45" s="722">
        <v>262.37900000000002</v>
      </c>
      <c r="M45" s="1496">
        <v>482.3</v>
      </c>
      <c r="N45" s="2055">
        <f t="shared" si="7"/>
        <v>0.45314023039432882</v>
      </c>
      <c r="O45" s="722">
        <f>L45+(L45*5%)</f>
        <v>275.49795</v>
      </c>
      <c r="P45" s="1496">
        <v>202.32</v>
      </c>
      <c r="Q45" s="722">
        <f>O45+(O45*5%)</f>
        <v>289.27284750000001</v>
      </c>
      <c r="R45" s="1496">
        <v>214.96</v>
      </c>
      <c r="S45" s="3399" t="s">
        <v>2430</v>
      </c>
      <c r="T45" s="2698" t="s">
        <v>4143</v>
      </c>
      <c r="U45" s="2951" t="s">
        <v>1630</v>
      </c>
      <c r="V45" s="2951" t="s">
        <v>1700</v>
      </c>
      <c r="W45" s="2951" t="s">
        <v>1701</v>
      </c>
      <c r="X45" s="2951" t="s">
        <v>1701</v>
      </c>
      <c r="Y45" s="2951" t="s">
        <v>1701</v>
      </c>
      <c r="Z45" s="3505" t="s">
        <v>1701</v>
      </c>
      <c r="AA45" s="2942" t="s">
        <v>1701</v>
      </c>
      <c r="AB45" s="2951" t="s">
        <v>2431</v>
      </c>
      <c r="AE45" s="84"/>
      <c r="AF45" s="84"/>
    </row>
    <row r="46" spans="1:32" ht="37.950000000000003" customHeight="1">
      <c r="A46" s="2879"/>
      <c r="B46" s="2699"/>
      <c r="C46" s="2719"/>
      <c r="D46" s="725" t="s">
        <v>1067</v>
      </c>
      <c r="E46" s="726">
        <f>E45</f>
        <v>205.04</v>
      </c>
      <c r="F46" s="911">
        <f t="shared" si="2"/>
        <v>0.21576277799453769</v>
      </c>
      <c r="G46" s="1198">
        <f t="shared" ref="G46:R46" si="17">G45</f>
        <v>148.01</v>
      </c>
      <c r="H46" s="728">
        <f t="shared" si="17"/>
        <v>249.28</v>
      </c>
      <c r="I46" s="729">
        <f t="shared" si="3"/>
        <v>-0.32485558408215653</v>
      </c>
      <c r="J46" s="726">
        <f t="shared" si="17"/>
        <v>168.3</v>
      </c>
      <c r="K46" s="728">
        <f t="shared" si="17"/>
        <v>180.56</v>
      </c>
      <c r="L46" s="728">
        <f t="shared" si="17"/>
        <v>262.37900000000002</v>
      </c>
      <c r="M46" s="1464">
        <f t="shared" si="17"/>
        <v>482.3</v>
      </c>
      <c r="N46" s="2056">
        <f t="shared" si="7"/>
        <v>0.45314023039432882</v>
      </c>
      <c r="O46" s="728">
        <f t="shared" si="17"/>
        <v>275.49795</v>
      </c>
      <c r="P46" s="1464">
        <f t="shared" si="17"/>
        <v>202.32</v>
      </c>
      <c r="Q46" s="728">
        <f t="shared" si="17"/>
        <v>289.27284750000001</v>
      </c>
      <c r="R46" s="1464">
        <f t="shared" si="17"/>
        <v>214.96</v>
      </c>
      <c r="S46" s="3399"/>
      <c r="T46" s="2836"/>
      <c r="U46" s="2951"/>
      <c r="V46" s="2951"/>
      <c r="W46" s="2951"/>
      <c r="X46" s="2951"/>
      <c r="Y46" s="2951"/>
      <c r="Z46" s="3569"/>
      <c r="AA46" s="2944"/>
      <c r="AB46" s="2951"/>
      <c r="AE46" s="84"/>
      <c r="AF46" s="84"/>
    </row>
    <row r="47" spans="1:32" ht="63.6" customHeight="1">
      <c r="A47" s="697" t="s">
        <v>2135</v>
      </c>
      <c r="B47" s="663" t="s">
        <v>2311</v>
      </c>
      <c r="C47" s="697"/>
      <c r="D47" s="697"/>
      <c r="E47" s="1200">
        <f>SUM(E53,E69,E74,E81,E83,E89,E92,E96)</f>
        <v>3173.154</v>
      </c>
      <c r="F47" s="897">
        <f t="shared" si="2"/>
        <v>-0.1705571176186218</v>
      </c>
      <c r="G47" s="1201">
        <f>SUM(G53,G69,G74,G81,G83,G89,G92,G96)</f>
        <v>1031.25</v>
      </c>
      <c r="H47" s="697">
        <f>SUM(H53,H69,H74,H81,H83,H89,H92,H96)</f>
        <v>2631.95</v>
      </c>
      <c r="I47" s="747">
        <f t="shared" si="3"/>
        <v>-0.37358232489219012</v>
      </c>
      <c r="J47" s="745">
        <f t="shared" ref="J47:R47" si="18">SUM(J53,J69,J74,J81,J83,J89,J92,J96)</f>
        <v>1648.7</v>
      </c>
      <c r="K47" s="746">
        <f t="shared" si="18"/>
        <v>2822.5279999999998</v>
      </c>
      <c r="L47" s="746">
        <f>SUM(L53,L69,L74,L81,L83,L89,L92,L96,L59,L65,)</f>
        <v>3497.6000000000004</v>
      </c>
      <c r="M47" s="746">
        <f t="shared" ref="M47:Q47" si="19">SUM(M53,M69,M74,M81,M83,M89,M92,M96,M59,M65,)</f>
        <v>4153.6760000000004</v>
      </c>
      <c r="N47" s="746" t="e">
        <f t="shared" si="19"/>
        <v>#DIV/0!</v>
      </c>
      <c r="O47" s="746">
        <f t="shared" si="19"/>
        <v>6951.3429999999989</v>
      </c>
      <c r="P47" s="746">
        <f t="shared" si="19"/>
        <v>7071.3429999999989</v>
      </c>
      <c r="Q47" s="746">
        <f t="shared" si="19"/>
        <v>3521.8009999999999</v>
      </c>
      <c r="R47" s="1497">
        <f t="shared" si="18"/>
        <v>1721.3</v>
      </c>
      <c r="S47" s="929" t="s">
        <v>979</v>
      </c>
      <c r="T47" s="697"/>
      <c r="U47" s="697" t="s">
        <v>1706</v>
      </c>
      <c r="V47" s="663" t="s">
        <v>1441</v>
      </c>
      <c r="W47" s="697">
        <v>0</v>
      </c>
      <c r="X47" s="697">
        <v>0</v>
      </c>
      <c r="Y47" s="697">
        <v>1</v>
      </c>
      <c r="Z47" s="697">
        <v>2</v>
      </c>
      <c r="AA47" s="697">
        <v>3</v>
      </c>
      <c r="AB47" s="663"/>
      <c r="AE47" s="84"/>
      <c r="AF47" s="84"/>
    </row>
    <row r="48" spans="1:32" ht="30" customHeight="1">
      <c r="A48" s="3379" t="s">
        <v>2516</v>
      </c>
      <c r="B48" s="3380" t="s">
        <v>3711</v>
      </c>
      <c r="C48" s="3391">
        <v>188711925</v>
      </c>
      <c r="D48" s="748" t="s">
        <v>2747</v>
      </c>
      <c r="E48" s="749">
        <v>43.738999999999997</v>
      </c>
      <c r="F48" s="914">
        <f t="shared" si="2"/>
        <v>12.174741077756694</v>
      </c>
      <c r="G48" s="1202">
        <v>176.25</v>
      </c>
      <c r="H48" s="722">
        <v>576.25</v>
      </c>
      <c r="I48" s="1014"/>
      <c r="J48" s="720"/>
      <c r="K48" s="722">
        <v>5</v>
      </c>
      <c r="L48" s="722">
        <v>24</v>
      </c>
      <c r="M48" s="1496"/>
      <c r="N48" s="2055">
        <f>(L49-K48)/K48</f>
        <v>-1</v>
      </c>
      <c r="O48" s="722"/>
      <c r="P48" s="1496"/>
      <c r="Q48" s="722"/>
      <c r="R48" s="1496"/>
      <c r="S48" s="3386" t="s">
        <v>2247</v>
      </c>
      <c r="T48" s="2704" t="s">
        <v>4220</v>
      </c>
      <c r="U48" s="2942" t="s">
        <v>1631</v>
      </c>
      <c r="V48" s="2942" t="s">
        <v>3184</v>
      </c>
      <c r="W48" s="2694" t="s">
        <v>433</v>
      </c>
      <c r="X48" s="2942" t="s">
        <v>324</v>
      </c>
      <c r="Y48" s="2942" t="s">
        <v>1372</v>
      </c>
      <c r="Z48" s="2942" t="s">
        <v>392</v>
      </c>
      <c r="AA48" s="2942" t="s">
        <v>392</v>
      </c>
      <c r="AB48" s="2942" t="s">
        <v>2514</v>
      </c>
      <c r="AE48" s="84"/>
      <c r="AF48" s="84"/>
    </row>
    <row r="49" spans="1:32" ht="35.25" customHeight="1">
      <c r="A49" s="3379"/>
      <c r="B49" s="3380"/>
      <c r="C49" s="3391"/>
      <c r="D49" s="748" t="s">
        <v>470</v>
      </c>
      <c r="E49" s="749"/>
      <c r="F49" s="914"/>
      <c r="G49" s="1202"/>
      <c r="H49" s="722"/>
      <c r="I49" s="1014"/>
      <c r="J49" s="720"/>
      <c r="K49" s="722"/>
      <c r="L49" s="1818"/>
      <c r="M49" s="1496">
        <v>227</v>
      </c>
      <c r="N49" s="2055"/>
      <c r="O49" s="1818"/>
      <c r="P49" s="1496">
        <v>290.178</v>
      </c>
      <c r="Q49" s="722"/>
      <c r="R49" s="1496"/>
      <c r="S49" s="3387"/>
      <c r="T49" s="2704"/>
      <c r="U49" s="2943"/>
      <c r="V49" s="2943"/>
      <c r="W49" s="2694"/>
      <c r="X49" s="2943"/>
      <c r="Y49" s="2943"/>
      <c r="Z49" s="2943"/>
      <c r="AA49" s="2943"/>
      <c r="AB49" s="2944"/>
      <c r="AE49" s="84"/>
      <c r="AF49" s="84"/>
    </row>
    <row r="50" spans="1:32" ht="30" customHeight="1">
      <c r="A50" s="3379"/>
      <c r="B50" s="3381"/>
      <c r="C50" s="3392"/>
      <c r="D50" s="741" t="s">
        <v>246</v>
      </c>
      <c r="E50" s="720"/>
      <c r="F50" s="914"/>
      <c r="G50" s="875"/>
      <c r="H50" s="722"/>
      <c r="I50" s="1014"/>
      <c r="J50" s="720">
        <v>1310.7</v>
      </c>
      <c r="K50" s="722">
        <v>1251.7280000000001</v>
      </c>
      <c r="L50" s="1818">
        <v>393</v>
      </c>
      <c r="M50" s="1496">
        <v>393</v>
      </c>
      <c r="N50" s="2055">
        <f t="shared" si="7"/>
        <v>-0.68603402656168111</v>
      </c>
      <c r="O50" s="1818">
        <v>1822.579</v>
      </c>
      <c r="P50" s="1496">
        <v>1822.579</v>
      </c>
      <c r="Q50" s="722"/>
      <c r="R50" s="1496"/>
      <c r="S50" s="3387"/>
      <c r="T50" s="2734"/>
      <c r="U50" s="2943"/>
      <c r="V50" s="2943"/>
      <c r="W50" s="2694"/>
      <c r="X50" s="2943"/>
      <c r="Y50" s="2943"/>
      <c r="Z50" s="2943"/>
      <c r="AA50" s="2943"/>
      <c r="AB50" s="2942" t="s">
        <v>2515</v>
      </c>
      <c r="AE50" s="84"/>
      <c r="AF50" s="84"/>
    </row>
    <row r="51" spans="1:32" ht="34.5" hidden="1" customHeight="1">
      <c r="A51" s="3379"/>
      <c r="B51" s="3381"/>
      <c r="C51" s="3392"/>
      <c r="D51" s="741" t="s">
        <v>1111</v>
      </c>
      <c r="E51" s="720"/>
      <c r="F51" s="914"/>
      <c r="G51" s="875"/>
      <c r="H51" s="722"/>
      <c r="I51" s="1014"/>
      <c r="J51" s="720"/>
      <c r="K51" s="722"/>
      <c r="L51" s="722"/>
      <c r="M51" s="1496"/>
      <c r="N51" s="2055" t="e">
        <f t="shared" si="7"/>
        <v>#DIV/0!</v>
      </c>
      <c r="O51" s="722"/>
      <c r="P51" s="1496"/>
      <c r="Q51" s="722"/>
      <c r="R51" s="1496"/>
      <c r="S51" s="3387"/>
      <c r="T51" s="2734"/>
      <c r="U51" s="2943"/>
      <c r="V51" s="2943"/>
      <c r="W51" s="2694"/>
      <c r="X51" s="2943"/>
      <c r="Y51" s="2943"/>
      <c r="Z51" s="2943"/>
      <c r="AA51" s="2943"/>
      <c r="AB51" s="2943"/>
      <c r="AE51" s="84"/>
      <c r="AF51" s="84"/>
    </row>
    <row r="52" spans="1:32" ht="34.5" customHeight="1">
      <c r="A52" s="3379"/>
      <c r="B52" s="3381"/>
      <c r="C52" s="3392"/>
      <c r="D52" s="741" t="s">
        <v>1358</v>
      </c>
      <c r="E52" s="720"/>
      <c r="F52" s="914"/>
      <c r="G52" s="875"/>
      <c r="H52" s="722"/>
      <c r="I52" s="1014"/>
      <c r="J52" s="720"/>
      <c r="K52" s="722"/>
      <c r="L52" s="722">
        <v>203</v>
      </c>
      <c r="M52" s="1496"/>
      <c r="N52" s="2055"/>
      <c r="O52" s="722">
        <v>290.178</v>
      </c>
      <c r="P52" s="1496"/>
      <c r="Q52" s="722"/>
      <c r="R52" s="1496"/>
      <c r="S52" s="3387"/>
      <c r="T52" s="2734"/>
      <c r="U52" s="2943"/>
      <c r="V52" s="2943"/>
      <c r="W52" s="2694"/>
      <c r="X52" s="2943"/>
      <c r="Y52" s="2943"/>
      <c r="Z52" s="2943"/>
      <c r="AA52" s="2943"/>
      <c r="AB52" s="2943"/>
      <c r="AE52" s="84"/>
      <c r="AF52" s="84"/>
    </row>
    <row r="53" spans="1:32" ht="38.25" customHeight="1">
      <c r="A53" s="3379"/>
      <c r="B53" s="3381"/>
      <c r="C53" s="3392"/>
      <c r="D53" s="742" t="s">
        <v>1067</v>
      </c>
      <c r="E53" s="726">
        <f>SUM(E48:E51)</f>
        <v>43.738999999999997</v>
      </c>
      <c r="F53" s="911">
        <f t="shared" si="2"/>
        <v>12.174741077756694</v>
      </c>
      <c r="G53" s="1198">
        <f t="shared" ref="G53:K53" si="20">SUM(G48:G51)</f>
        <v>176.25</v>
      </c>
      <c r="H53" s="728">
        <f t="shared" si="20"/>
        <v>576.25</v>
      </c>
      <c r="I53" s="729">
        <f t="shared" si="3"/>
        <v>1.2745336225596531</v>
      </c>
      <c r="J53" s="726">
        <f t="shared" si="20"/>
        <v>1310.7</v>
      </c>
      <c r="K53" s="728">
        <f t="shared" si="20"/>
        <v>1256.7280000000001</v>
      </c>
      <c r="L53" s="728">
        <f t="shared" ref="L53:R53" si="21">SUM(L48:L52)</f>
        <v>620</v>
      </c>
      <c r="M53" s="1464">
        <f t="shared" si="21"/>
        <v>620</v>
      </c>
      <c r="N53" s="2056">
        <f t="shared" si="7"/>
        <v>-0.50665537809295247</v>
      </c>
      <c r="O53" s="728">
        <f t="shared" si="21"/>
        <v>2112.7570000000001</v>
      </c>
      <c r="P53" s="1464">
        <f t="shared" si="21"/>
        <v>2112.7570000000001</v>
      </c>
      <c r="Q53" s="728">
        <f t="shared" si="21"/>
        <v>0</v>
      </c>
      <c r="R53" s="1464">
        <f t="shared" si="21"/>
        <v>0</v>
      </c>
      <c r="S53" s="3398"/>
      <c r="T53" s="2734"/>
      <c r="U53" s="2944"/>
      <c r="V53" s="2944"/>
      <c r="W53" s="2694"/>
      <c r="X53" s="2944"/>
      <c r="Y53" s="2944"/>
      <c r="Z53" s="2944"/>
      <c r="AA53" s="2944"/>
      <c r="AB53" s="2944"/>
      <c r="AE53" s="84"/>
      <c r="AF53" s="84"/>
    </row>
    <row r="54" spans="1:32" ht="39" customHeight="1">
      <c r="A54" s="3439" t="s">
        <v>3705</v>
      </c>
      <c r="B54" s="3380" t="s">
        <v>3710</v>
      </c>
      <c r="C54" s="3391">
        <v>188711925</v>
      </c>
      <c r="D54" s="748" t="s">
        <v>2747</v>
      </c>
      <c r="E54" s="749">
        <v>43.738999999999997</v>
      </c>
      <c r="F54" s="914">
        <f t="shared" si="2"/>
        <v>-1</v>
      </c>
      <c r="G54" s="1202">
        <v>176.25</v>
      </c>
      <c r="H54" s="722"/>
      <c r="I54" s="1014"/>
      <c r="J54" s="720"/>
      <c r="K54" s="722">
        <v>158.68799999999999</v>
      </c>
      <c r="L54" s="722">
        <v>50</v>
      </c>
      <c r="M54" s="1496"/>
      <c r="N54" s="2055">
        <f>(L55-K54)/K54</f>
        <v>-1</v>
      </c>
      <c r="O54" s="722"/>
      <c r="P54" s="1496"/>
      <c r="Q54" s="722"/>
      <c r="R54" s="1496"/>
      <c r="S54" s="3386" t="s">
        <v>2247</v>
      </c>
      <c r="T54" s="2704" t="s">
        <v>4221</v>
      </c>
      <c r="U54" s="2942" t="s">
        <v>3134</v>
      </c>
      <c r="V54" s="2694" t="s">
        <v>3773</v>
      </c>
      <c r="W54" s="2694" t="s">
        <v>433</v>
      </c>
      <c r="X54" s="2694" t="s">
        <v>433</v>
      </c>
      <c r="Y54" s="2694" t="s">
        <v>433</v>
      </c>
      <c r="Z54" s="2694" t="s">
        <v>433</v>
      </c>
      <c r="AA54" s="2694" t="s">
        <v>3181</v>
      </c>
      <c r="AB54" s="2942" t="s">
        <v>2514</v>
      </c>
      <c r="AE54" s="84"/>
      <c r="AF54" s="84"/>
    </row>
    <row r="55" spans="1:32" ht="35.25" customHeight="1">
      <c r="A55" s="3379"/>
      <c r="B55" s="3380"/>
      <c r="C55" s="3391"/>
      <c r="D55" s="748" t="s">
        <v>470</v>
      </c>
      <c r="E55" s="749"/>
      <c r="F55" s="914"/>
      <c r="G55" s="1202"/>
      <c r="H55" s="722"/>
      <c r="I55" s="1014"/>
      <c r="J55" s="720">
        <v>52.4</v>
      </c>
      <c r="K55" s="722"/>
      <c r="L55" s="1818"/>
      <c r="M55" s="1496">
        <v>176</v>
      </c>
      <c r="N55" s="2055"/>
      <c r="O55" s="1818">
        <v>100</v>
      </c>
      <c r="P55" s="1496">
        <v>301.73200000000003</v>
      </c>
      <c r="Q55" s="1818"/>
      <c r="R55" s="1496">
        <v>94.986999999999995</v>
      </c>
      <c r="S55" s="3387"/>
      <c r="T55" s="2704"/>
      <c r="U55" s="2943"/>
      <c r="V55" s="2694"/>
      <c r="W55" s="2694"/>
      <c r="X55" s="2694"/>
      <c r="Y55" s="2694"/>
      <c r="Z55" s="2694"/>
      <c r="AA55" s="2694"/>
      <c r="AB55" s="2944"/>
      <c r="AE55" s="84"/>
      <c r="AF55" s="84"/>
    </row>
    <row r="56" spans="1:32" ht="30" customHeight="1">
      <c r="A56" s="3379"/>
      <c r="B56" s="3381"/>
      <c r="C56" s="3392"/>
      <c r="D56" s="741" t="s">
        <v>246</v>
      </c>
      <c r="E56" s="720"/>
      <c r="F56" s="914"/>
      <c r="G56" s="875"/>
      <c r="H56" s="722"/>
      <c r="I56" s="1014"/>
      <c r="J56" s="720">
        <v>1033.5999999999999</v>
      </c>
      <c r="K56" s="722">
        <v>1033.5999999999999</v>
      </c>
      <c r="L56" s="722">
        <v>426</v>
      </c>
      <c r="M56" s="1496">
        <v>977.07600000000002</v>
      </c>
      <c r="N56" s="2055">
        <f t="shared" si="7"/>
        <v>-0.58784829721362231</v>
      </c>
      <c r="O56" s="1818">
        <v>1143.146</v>
      </c>
      <c r="P56" s="1496">
        <v>1143.146</v>
      </c>
      <c r="Q56" s="1818">
        <v>934.31</v>
      </c>
      <c r="R56" s="1496">
        <v>934.31</v>
      </c>
      <c r="S56" s="3387"/>
      <c r="T56" s="2734"/>
      <c r="U56" s="2943"/>
      <c r="V56" s="2694" t="s">
        <v>3774</v>
      </c>
      <c r="W56" s="2694"/>
      <c r="X56" s="2694" t="s">
        <v>433</v>
      </c>
      <c r="Y56" s="2694" t="s">
        <v>433</v>
      </c>
      <c r="Z56" s="2694" t="s">
        <v>433</v>
      </c>
      <c r="AA56" s="2694" t="s">
        <v>3182</v>
      </c>
      <c r="AB56" s="2942" t="s">
        <v>2515</v>
      </c>
      <c r="AE56" s="84"/>
      <c r="AF56" s="84"/>
    </row>
    <row r="57" spans="1:32" ht="34.5" hidden="1" customHeight="1">
      <c r="A57" s="3379"/>
      <c r="B57" s="3381"/>
      <c r="C57" s="3392"/>
      <c r="D57" s="741" t="s">
        <v>1111</v>
      </c>
      <c r="E57" s="720"/>
      <c r="F57" s="914"/>
      <c r="G57" s="875"/>
      <c r="H57" s="722"/>
      <c r="I57" s="1014"/>
      <c r="J57" s="720"/>
      <c r="K57" s="722"/>
      <c r="L57" s="722"/>
      <c r="M57" s="1496"/>
      <c r="N57" s="2055" t="e">
        <f t="shared" si="7"/>
        <v>#DIV/0!</v>
      </c>
      <c r="O57" s="722"/>
      <c r="P57" s="1496"/>
      <c r="Q57" s="722"/>
      <c r="R57" s="1496"/>
      <c r="S57" s="3387"/>
      <c r="T57" s="2734"/>
      <c r="U57" s="2943"/>
      <c r="V57" s="2694"/>
      <c r="W57" s="2694"/>
      <c r="X57" s="2694"/>
      <c r="Y57" s="2694"/>
      <c r="Z57" s="2694"/>
      <c r="AA57" s="2694"/>
      <c r="AB57" s="2943"/>
      <c r="AE57" s="84"/>
      <c r="AF57" s="84"/>
    </row>
    <row r="58" spans="1:32" ht="34.5" customHeight="1">
      <c r="A58" s="3379"/>
      <c r="B58" s="3381"/>
      <c r="C58" s="3392"/>
      <c r="D58" s="741" t="s">
        <v>1358</v>
      </c>
      <c r="E58" s="720"/>
      <c r="F58" s="914"/>
      <c r="G58" s="875"/>
      <c r="H58" s="722"/>
      <c r="I58" s="1014"/>
      <c r="J58" s="720"/>
      <c r="K58" s="722"/>
      <c r="L58" s="722">
        <v>126</v>
      </c>
      <c r="M58" s="1496"/>
      <c r="N58" s="2055"/>
      <c r="O58" s="722">
        <v>201.732</v>
      </c>
      <c r="P58" s="1496"/>
      <c r="Q58" s="722">
        <v>94.986999999999995</v>
      </c>
      <c r="R58" s="1496"/>
      <c r="S58" s="3387"/>
      <c r="T58" s="2734"/>
      <c r="U58" s="2943"/>
      <c r="V58" s="2694"/>
      <c r="W58" s="2694"/>
      <c r="X58" s="2694"/>
      <c r="Y58" s="2694"/>
      <c r="Z58" s="2694"/>
      <c r="AA58" s="2694"/>
      <c r="AB58" s="2943"/>
      <c r="AE58" s="84"/>
      <c r="AF58" s="84"/>
    </row>
    <row r="59" spans="1:32" ht="48.75" customHeight="1">
      <c r="A59" s="3379"/>
      <c r="B59" s="3381"/>
      <c r="C59" s="3392"/>
      <c r="D59" s="742" t="s">
        <v>1067</v>
      </c>
      <c r="E59" s="726">
        <f>SUM(E54:E57)</f>
        <v>43.738999999999997</v>
      </c>
      <c r="F59" s="911">
        <f t="shared" ref="F59:F60" si="22">H59/E59-1</f>
        <v>-1</v>
      </c>
      <c r="G59" s="1198">
        <f t="shared" ref="G59:K59" si="23">SUM(G54:G57)</f>
        <v>176.25</v>
      </c>
      <c r="H59" s="728">
        <f t="shared" si="23"/>
        <v>0</v>
      </c>
      <c r="I59" s="729"/>
      <c r="J59" s="726">
        <f t="shared" si="23"/>
        <v>1086</v>
      </c>
      <c r="K59" s="728">
        <f t="shared" si="23"/>
        <v>1192.288</v>
      </c>
      <c r="L59" s="728">
        <f t="shared" ref="L59:R59" si="24">SUM(L54:L58)</f>
        <v>602</v>
      </c>
      <c r="M59" s="1464">
        <f t="shared" si="24"/>
        <v>1153.076</v>
      </c>
      <c r="N59" s="2056">
        <f>(L59-K59)/K59</f>
        <v>-0.49508843500899113</v>
      </c>
      <c r="O59" s="728">
        <f>SUM(O54:O58)</f>
        <v>1444.8779999999999</v>
      </c>
      <c r="P59" s="1464">
        <f t="shared" si="24"/>
        <v>1444.8779999999999</v>
      </c>
      <c r="Q59" s="728">
        <f>SUM(Q54:Q58)</f>
        <v>1029.297</v>
      </c>
      <c r="R59" s="1464">
        <f t="shared" si="24"/>
        <v>1029.297</v>
      </c>
      <c r="S59" s="3398"/>
      <c r="T59" s="2734"/>
      <c r="U59" s="2944"/>
      <c r="V59" s="2694"/>
      <c r="W59" s="2694"/>
      <c r="X59" s="2694"/>
      <c r="Y59" s="2694"/>
      <c r="Z59" s="2694"/>
      <c r="AA59" s="2694"/>
      <c r="AB59" s="2944"/>
      <c r="AE59" s="84"/>
      <c r="AF59" s="84"/>
    </row>
    <row r="60" spans="1:32" ht="39" customHeight="1">
      <c r="A60" s="3439" t="s">
        <v>3706</v>
      </c>
      <c r="B60" s="3380" t="s">
        <v>3709</v>
      </c>
      <c r="C60" s="3391">
        <v>188711925</v>
      </c>
      <c r="D60" s="748" t="s">
        <v>2747</v>
      </c>
      <c r="E60" s="749">
        <v>43.738999999999997</v>
      </c>
      <c r="F60" s="914">
        <f t="shared" si="22"/>
        <v>-1</v>
      </c>
      <c r="G60" s="1202">
        <v>176.25</v>
      </c>
      <c r="H60" s="722"/>
      <c r="I60" s="1014"/>
      <c r="J60" s="720"/>
      <c r="K60" s="722">
        <v>100</v>
      </c>
      <c r="L60" s="722">
        <v>23</v>
      </c>
      <c r="M60" s="1496"/>
      <c r="N60" s="2055">
        <f>(L61-K60)/K60</f>
        <v>-1</v>
      </c>
      <c r="O60" s="722"/>
      <c r="P60" s="1496"/>
      <c r="Q60" s="722"/>
      <c r="R60" s="1496"/>
      <c r="S60" s="3386" t="s">
        <v>2247</v>
      </c>
      <c r="T60" s="2704" t="s">
        <v>4222</v>
      </c>
      <c r="U60" s="2942" t="s">
        <v>4727</v>
      </c>
      <c r="V60" s="2694" t="s">
        <v>3773</v>
      </c>
      <c r="W60" s="2694" t="s">
        <v>433</v>
      </c>
      <c r="X60" s="2694" t="s">
        <v>433</v>
      </c>
      <c r="Y60" s="2694" t="s">
        <v>433</v>
      </c>
      <c r="Z60" s="2694" t="s">
        <v>433</v>
      </c>
      <c r="AA60" s="2694" t="s">
        <v>4145</v>
      </c>
      <c r="AB60" s="2942" t="s">
        <v>2514</v>
      </c>
      <c r="AE60" s="84"/>
      <c r="AF60" s="84"/>
    </row>
    <row r="61" spans="1:32" ht="35.25" customHeight="1">
      <c r="A61" s="3379"/>
      <c r="B61" s="3380"/>
      <c r="C61" s="3391"/>
      <c r="D61" s="748" t="s">
        <v>470</v>
      </c>
      <c r="E61" s="749"/>
      <c r="F61" s="914"/>
      <c r="G61" s="1202"/>
      <c r="H61" s="722"/>
      <c r="I61" s="1014"/>
      <c r="J61" s="720">
        <v>100</v>
      </c>
      <c r="K61" s="722"/>
      <c r="L61" s="722"/>
      <c r="M61" s="1496">
        <v>187</v>
      </c>
      <c r="N61" s="2055"/>
      <c r="O61" s="722">
        <v>50</v>
      </c>
      <c r="P61" s="1496">
        <v>281.36099999999999</v>
      </c>
      <c r="Q61" s="722"/>
      <c r="R61" s="1496">
        <v>115.681</v>
      </c>
      <c r="S61" s="3387"/>
      <c r="T61" s="2704"/>
      <c r="U61" s="2943"/>
      <c r="V61" s="2694"/>
      <c r="W61" s="2694"/>
      <c r="X61" s="2694"/>
      <c r="Y61" s="2694"/>
      <c r="Z61" s="2694"/>
      <c r="AA61" s="2694"/>
      <c r="AB61" s="2944"/>
      <c r="AE61" s="84"/>
      <c r="AF61" s="84"/>
    </row>
    <row r="62" spans="1:32" ht="30" customHeight="1">
      <c r="A62" s="3379"/>
      <c r="B62" s="3381"/>
      <c r="C62" s="3392"/>
      <c r="D62" s="741" t="s">
        <v>246</v>
      </c>
      <c r="E62" s="720"/>
      <c r="F62" s="914"/>
      <c r="G62" s="875"/>
      <c r="H62" s="722"/>
      <c r="I62" s="1014"/>
      <c r="J62" s="720"/>
      <c r="K62" s="722"/>
      <c r="L62" s="722">
        <v>492.3</v>
      </c>
      <c r="M62" s="1496">
        <v>492.3</v>
      </c>
      <c r="N62" s="2055"/>
      <c r="O62" s="722">
        <v>1311.047</v>
      </c>
      <c r="P62" s="1496">
        <v>1311.047</v>
      </c>
      <c r="Q62" s="722">
        <v>655.52300000000002</v>
      </c>
      <c r="R62" s="1496">
        <v>655.52300000000002</v>
      </c>
      <c r="S62" s="3387"/>
      <c r="T62" s="2734"/>
      <c r="U62" s="2943"/>
      <c r="V62" s="2694" t="s">
        <v>3774</v>
      </c>
      <c r="W62" s="2694"/>
      <c r="X62" s="2694" t="s">
        <v>433</v>
      </c>
      <c r="Y62" s="2694" t="s">
        <v>433</v>
      </c>
      <c r="Z62" s="2694" t="s">
        <v>433</v>
      </c>
      <c r="AA62" s="2694" t="s">
        <v>3183</v>
      </c>
      <c r="AB62" s="2942" t="s">
        <v>2515</v>
      </c>
      <c r="AE62" s="84"/>
      <c r="AF62" s="84"/>
    </row>
    <row r="63" spans="1:32" ht="34.5" hidden="1" customHeight="1">
      <c r="A63" s="3379"/>
      <c r="B63" s="3381"/>
      <c r="C63" s="3392"/>
      <c r="D63" s="741" t="s">
        <v>1111</v>
      </c>
      <c r="E63" s="720"/>
      <c r="F63" s="914"/>
      <c r="G63" s="875"/>
      <c r="H63" s="722"/>
      <c r="I63" s="1014"/>
      <c r="J63" s="720"/>
      <c r="K63" s="722"/>
      <c r="L63" s="722"/>
      <c r="M63" s="1496"/>
      <c r="N63" s="2055"/>
      <c r="O63" s="722"/>
      <c r="P63" s="1496"/>
      <c r="Q63" s="722"/>
      <c r="R63" s="1496"/>
      <c r="S63" s="3387"/>
      <c r="T63" s="2734"/>
      <c r="U63" s="2943"/>
      <c r="V63" s="2694"/>
      <c r="W63" s="2694"/>
      <c r="X63" s="2694"/>
      <c r="Y63" s="2694"/>
      <c r="Z63" s="2694"/>
      <c r="AA63" s="2694"/>
      <c r="AB63" s="2943"/>
      <c r="AE63" s="84"/>
      <c r="AF63" s="84"/>
    </row>
    <row r="64" spans="1:32" ht="34.5" customHeight="1">
      <c r="A64" s="3379"/>
      <c r="B64" s="3381"/>
      <c r="C64" s="3392"/>
      <c r="D64" s="741" t="s">
        <v>1358</v>
      </c>
      <c r="E64" s="720"/>
      <c r="F64" s="914"/>
      <c r="G64" s="875"/>
      <c r="H64" s="722"/>
      <c r="I64" s="1014"/>
      <c r="J64" s="720"/>
      <c r="K64" s="722"/>
      <c r="L64" s="722">
        <v>164</v>
      </c>
      <c r="M64" s="1496"/>
      <c r="N64" s="2055"/>
      <c r="O64" s="722">
        <v>231.36099999999999</v>
      </c>
      <c r="P64" s="1496"/>
      <c r="Q64" s="722">
        <v>115.681</v>
      </c>
      <c r="R64" s="1496"/>
      <c r="S64" s="3387"/>
      <c r="T64" s="2734"/>
      <c r="U64" s="2943"/>
      <c r="V64" s="2694"/>
      <c r="W64" s="2694"/>
      <c r="X64" s="2694"/>
      <c r="Y64" s="2694"/>
      <c r="Z64" s="2694"/>
      <c r="AA64" s="2694"/>
      <c r="AB64" s="2943"/>
      <c r="AE64" s="84"/>
      <c r="AF64" s="84"/>
    </row>
    <row r="65" spans="1:32" ht="85.95" customHeight="1">
      <c r="A65" s="3379"/>
      <c r="B65" s="3381"/>
      <c r="C65" s="3392"/>
      <c r="D65" s="742" t="s">
        <v>1067</v>
      </c>
      <c r="E65" s="726">
        <f>SUM(E60:E63)</f>
        <v>43.738999999999997</v>
      </c>
      <c r="F65" s="911">
        <f t="shared" ref="F65" si="25">H65/E65-1</f>
        <v>-1</v>
      </c>
      <c r="G65" s="1198">
        <f t="shared" ref="G65:K65" si="26">SUM(G60:G63)</f>
        <v>176.25</v>
      </c>
      <c r="H65" s="728">
        <f t="shared" si="26"/>
        <v>0</v>
      </c>
      <c r="I65" s="729"/>
      <c r="J65" s="726">
        <f t="shared" si="26"/>
        <v>100</v>
      </c>
      <c r="K65" s="728">
        <f t="shared" si="26"/>
        <v>100</v>
      </c>
      <c r="L65" s="728">
        <f>SUM(L60:L64,)</f>
        <v>679.3</v>
      </c>
      <c r="M65" s="728">
        <f t="shared" ref="M65:Q65" si="27">SUM(M60:M64,)</f>
        <v>679.3</v>
      </c>
      <c r="N65" s="728">
        <f t="shared" si="27"/>
        <v>-1</v>
      </c>
      <c r="O65" s="728">
        <f t="shared" si="27"/>
        <v>1592.4079999999999</v>
      </c>
      <c r="P65" s="728">
        <f t="shared" si="27"/>
        <v>1592.4079999999999</v>
      </c>
      <c r="Q65" s="728">
        <f t="shared" si="27"/>
        <v>771.20400000000006</v>
      </c>
      <c r="R65" s="1464">
        <f t="shared" ref="L65:R65" si="28">SUM(R60:R63)</f>
        <v>771.20400000000006</v>
      </c>
      <c r="S65" s="3398"/>
      <c r="T65" s="2734"/>
      <c r="U65" s="2944"/>
      <c r="V65" s="2694"/>
      <c r="W65" s="2694"/>
      <c r="X65" s="2694"/>
      <c r="Y65" s="2694"/>
      <c r="Z65" s="2694"/>
      <c r="AA65" s="2694"/>
      <c r="AB65" s="2944"/>
      <c r="AE65" s="84"/>
      <c r="AF65" s="84"/>
    </row>
    <row r="66" spans="1:32" ht="48" hidden="1" customHeight="1">
      <c r="A66" s="3440" t="s">
        <v>2090</v>
      </c>
      <c r="B66" s="3423" t="s">
        <v>2755</v>
      </c>
      <c r="C66" s="3458">
        <v>188711925</v>
      </c>
      <c r="D66" s="1203" t="s">
        <v>48</v>
      </c>
      <c r="E66" s="949">
        <v>15</v>
      </c>
      <c r="F66" s="950">
        <f t="shared" ref="F66:F163" si="29">(H66-E66)/E66</f>
        <v>-1</v>
      </c>
      <c r="G66" s="1204">
        <v>0</v>
      </c>
      <c r="H66" s="951"/>
      <c r="I66" s="747" t="e">
        <f t="shared" si="3"/>
        <v>#DIV/0!</v>
      </c>
      <c r="J66" s="949"/>
      <c r="K66" s="951"/>
      <c r="L66" s="951"/>
      <c r="M66" s="1623"/>
      <c r="N66" s="2042" t="e">
        <f t="shared" si="7"/>
        <v>#DIV/0!</v>
      </c>
      <c r="O66" s="951"/>
      <c r="P66" s="1623"/>
      <c r="Q66" s="951"/>
      <c r="R66" s="1623"/>
      <c r="S66" s="3428" t="s">
        <v>2248</v>
      </c>
      <c r="T66" s="2969" t="s">
        <v>2989</v>
      </c>
      <c r="U66" s="3408" t="s">
        <v>1632</v>
      </c>
      <c r="V66" s="3408" t="s">
        <v>1441</v>
      </c>
      <c r="W66" s="3408" t="s">
        <v>433</v>
      </c>
      <c r="X66" s="3408" t="s">
        <v>433</v>
      </c>
      <c r="Y66" s="3408" t="s">
        <v>433</v>
      </c>
      <c r="Z66" s="954"/>
      <c r="AA66" s="954"/>
      <c r="AB66" s="3408" t="s">
        <v>2249</v>
      </c>
      <c r="AE66" s="84"/>
      <c r="AF66" s="84"/>
    </row>
    <row r="67" spans="1:32" ht="42" hidden="1" customHeight="1">
      <c r="A67" s="3440"/>
      <c r="B67" s="3423"/>
      <c r="C67" s="3458"/>
      <c r="D67" s="1084" t="s">
        <v>246</v>
      </c>
      <c r="E67" s="949">
        <v>135.80000000000001</v>
      </c>
      <c r="F67" s="950">
        <f t="shared" si="29"/>
        <v>-1</v>
      </c>
      <c r="G67" s="1204"/>
      <c r="H67" s="951"/>
      <c r="I67" s="747" t="e">
        <f t="shared" si="3"/>
        <v>#DIV/0!</v>
      </c>
      <c r="J67" s="949"/>
      <c r="K67" s="951"/>
      <c r="L67" s="951"/>
      <c r="M67" s="1623"/>
      <c r="N67" s="2042" t="e">
        <f t="shared" si="7"/>
        <v>#DIV/0!</v>
      </c>
      <c r="O67" s="951"/>
      <c r="P67" s="1623"/>
      <c r="Q67" s="951"/>
      <c r="R67" s="1623"/>
      <c r="S67" s="3429"/>
      <c r="T67" s="3161"/>
      <c r="U67" s="3409"/>
      <c r="V67" s="3409"/>
      <c r="W67" s="3409"/>
      <c r="X67" s="3409"/>
      <c r="Y67" s="3409"/>
      <c r="Z67" s="1037"/>
      <c r="AA67" s="1037"/>
      <c r="AB67" s="3409"/>
      <c r="AE67" s="84"/>
      <c r="AF67" s="84"/>
    </row>
    <row r="68" spans="1:32" ht="42" hidden="1" customHeight="1">
      <c r="A68" s="3440"/>
      <c r="B68" s="3423"/>
      <c r="C68" s="3458"/>
      <c r="D68" s="1084" t="s">
        <v>1111</v>
      </c>
      <c r="E68" s="949">
        <v>44.148000000000003</v>
      </c>
      <c r="F68" s="950">
        <f t="shared" si="29"/>
        <v>-1</v>
      </c>
      <c r="G68" s="1204"/>
      <c r="H68" s="951"/>
      <c r="I68" s="747" t="e">
        <f t="shared" si="3"/>
        <v>#DIV/0!</v>
      </c>
      <c r="J68" s="949"/>
      <c r="K68" s="951"/>
      <c r="L68" s="951"/>
      <c r="M68" s="1623"/>
      <c r="N68" s="2042" t="e">
        <f t="shared" si="7"/>
        <v>#DIV/0!</v>
      </c>
      <c r="O68" s="951"/>
      <c r="P68" s="1623"/>
      <c r="Q68" s="951"/>
      <c r="R68" s="1623"/>
      <c r="S68" s="3429"/>
      <c r="T68" s="3161"/>
      <c r="U68" s="3409"/>
      <c r="V68" s="3409"/>
      <c r="W68" s="3409"/>
      <c r="X68" s="3409"/>
      <c r="Y68" s="3409"/>
      <c r="Z68" s="1037"/>
      <c r="AA68" s="1037"/>
      <c r="AB68" s="3409"/>
      <c r="AE68" s="84"/>
      <c r="AF68" s="84"/>
    </row>
    <row r="69" spans="1:32" ht="7.95" hidden="1" customHeight="1">
      <c r="A69" s="3440"/>
      <c r="B69" s="3423"/>
      <c r="C69" s="3458"/>
      <c r="D69" s="1088" t="s">
        <v>1067</v>
      </c>
      <c r="E69" s="949">
        <f>SUM(E66:E68)</f>
        <v>194.94800000000001</v>
      </c>
      <c r="F69" s="950">
        <f t="shared" si="29"/>
        <v>-1</v>
      </c>
      <c r="G69" s="1204">
        <f t="shared" ref="G69:M69" si="30">SUM(G66:G68)</f>
        <v>0</v>
      </c>
      <c r="H69" s="951">
        <f t="shared" si="30"/>
        <v>0</v>
      </c>
      <c r="I69" s="747" t="e">
        <f t="shared" si="3"/>
        <v>#DIV/0!</v>
      </c>
      <c r="J69" s="949"/>
      <c r="K69" s="951">
        <f t="shared" si="30"/>
        <v>0</v>
      </c>
      <c r="L69" s="951">
        <f t="shared" si="30"/>
        <v>0</v>
      </c>
      <c r="M69" s="1623">
        <f t="shared" si="30"/>
        <v>0</v>
      </c>
      <c r="N69" s="2042" t="e">
        <f t="shared" si="7"/>
        <v>#DIV/0!</v>
      </c>
      <c r="O69" s="951"/>
      <c r="P69" s="1623"/>
      <c r="Q69" s="951"/>
      <c r="R69" s="1623"/>
      <c r="S69" s="3430"/>
      <c r="T69" s="3161"/>
      <c r="U69" s="3409"/>
      <c r="V69" s="3409"/>
      <c r="W69" s="3409"/>
      <c r="X69" s="3409"/>
      <c r="Y69" s="3409"/>
      <c r="Z69" s="1037"/>
      <c r="AA69" s="1037"/>
      <c r="AB69" s="3556"/>
      <c r="AE69" s="84"/>
      <c r="AF69" s="84"/>
    </row>
    <row r="70" spans="1:32" ht="33" customHeight="1">
      <c r="A70" s="3379" t="s">
        <v>2091</v>
      </c>
      <c r="B70" s="3381" t="s">
        <v>1278</v>
      </c>
      <c r="C70" s="3392">
        <v>188711925</v>
      </c>
      <c r="D70" s="741" t="s">
        <v>470</v>
      </c>
      <c r="E70" s="720">
        <v>83</v>
      </c>
      <c r="F70" s="914">
        <f t="shared" si="29"/>
        <v>-0.95180722891566261</v>
      </c>
      <c r="G70" s="875">
        <v>90</v>
      </c>
      <c r="H70" s="722">
        <v>4</v>
      </c>
      <c r="I70" s="1014">
        <f t="shared" si="3"/>
        <v>-1</v>
      </c>
      <c r="J70" s="720">
        <f>SUM(J76,J77,J78,J79,)</f>
        <v>0</v>
      </c>
      <c r="K70" s="722">
        <v>103</v>
      </c>
      <c r="L70" s="722">
        <v>145</v>
      </c>
      <c r="M70" s="1496">
        <f>SUM(M76,M77,M78,M79)</f>
        <v>170</v>
      </c>
      <c r="N70" s="2055">
        <f>(L70-K70)/K70</f>
        <v>0.40776699029126212</v>
      </c>
      <c r="O70" s="722">
        <f>SUM(O76,O77,O78,O79)</f>
        <v>375</v>
      </c>
      <c r="P70" s="1496">
        <f t="shared" ref="P70:R70" si="31">SUM(P76,P77,P78,P79)</f>
        <v>375</v>
      </c>
      <c r="Q70" s="722">
        <f t="shared" si="31"/>
        <v>375</v>
      </c>
      <c r="R70" s="1496">
        <f t="shared" si="31"/>
        <v>375</v>
      </c>
      <c r="S70" s="3386" t="s">
        <v>2250</v>
      </c>
      <c r="T70" s="2704" t="s">
        <v>4223</v>
      </c>
      <c r="U70" s="2942" t="s">
        <v>1633</v>
      </c>
      <c r="V70" s="2942" t="s">
        <v>2305</v>
      </c>
      <c r="W70" s="2942" t="s">
        <v>1315</v>
      </c>
      <c r="X70" s="2942" t="s">
        <v>1548</v>
      </c>
      <c r="Y70" s="2942" t="s">
        <v>1548</v>
      </c>
      <c r="Z70" s="2942" t="s">
        <v>1548</v>
      </c>
      <c r="AA70" s="2942" t="s">
        <v>1548</v>
      </c>
      <c r="AB70" s="2942" t="s">
        <v>2432</v>
      </c>
      <c r="AE70" s="84"/>
      <c r="AF70" s="84"/>
    </row>
    <row r="71" spans="1:32" ht="30" customHeight="1">
      <c r="A71" s="3379"/>
      <c r="B71" s="3381"/>
      <c r="C71" s="3392"/>
      <c r="D71" s="741" t="s">
        <v>1111</v>
      </c>
      <c r="E71" s="720">
        <v>1185</v>
      </c>
      <c r="F71" s="914">
        <f t="shared" si="29"/>
        <v>-5.3417721518987306E-2</v>
      </c>
      <c r="G71" s="875"/>
      <c r="H71" s="722">
        <v>1121.7</v>
      </c>
      <c r="I71" s="1014">
        <f t="shared" si="3"/>
        <v>-1</v>
      </c>
      <c r="J71" s="720"/>
      <c r="K71" s="722">
        <v>1121.7</v>
      </c>
      <c r="L71" s="1818">
        <f>L75</f>
        <v>1087.3</v>
      </c>
      <c r="M71" s="1496">
        <f>M75</f>
        <v>1087.3</v>
      </c>
      <c r="N71" s="2055">
        <f t="shared" si="7"/>
        <v>-3.0667736471427377E-2</v>
      </c>
      <c r="O71" s="722">
        <f t="shared" ref="O71:R71" si="32">O75</f>
        <v>1087.3</v>
      </c>
      <c r="P71" s="1496">
        <f t="shared" si="32"/>
        <v>1087.3</v>
      </c>
      <c r="Q71" s="722">
        <f t="shared" si="32"/>
        <v>1087.3</v>
      </c>
      <c r="R71" s="1496">
        <f t="shared" si="32"/>
        <v>1087.3</v>
      </c>
      <c r="S71" s="3387"/>
      <c r="T71" s="2734"/>
      <c r="U71" s="2943"/>
      <c r="V71" s="2943"/>
      <c r="W71" s="2943"/>
      <c r="X71" s="2943"/>
      <c r="Y71" s="2943"/>
      <c r="Z71" s="2943"/>
      <c r="AA71" s="2943"/>
      <c r="AB71" s="2943"/>
      <c r="AE71" s="84"/>
      <c r="AF71" s="84"/>
    </row>
    <row r="72" spans="1:32" ht="30" customHeight="1">
      <c r="A72" s="3379"/>
      <c r="B72" s="3381"/>
      <c r="C72" s="3392"/>
      <c r="D72" s="741" t="s">
        <v>470</v>
      </c>
      <c r="E72" s="720"/>
      <c r="F72" s="914"/>
      <c r="G72" s="875"/>
      <c r="H72" s="722"/>
      <c r="I72" s="1014"/>
      <c r="J72" s="720"/>
      <c r="K72" s="722"/>
      <c r="L72" s="722"/>
      <c r="M72" s="1496"/>
      <c r="N72" s="2055"/>
      <c r="O72" s="722"/>
      <c r="P72" s="1496"/>
      <c r="Q72" s="722"/>
      <c r="R72" s="1496"/>
      <c r="S72" s="3387"/>
      <c r="T72" s="2734"/>
      <c r="U72" s="2943"/>
      <c r="V72" s="2943"/>
      <c r="W72" s="2943"/>
      <c r="X72" s="2943"/>
      <c r="Y72" s="2943"/>
      <c r="Z72" s="2943"/>
      <c r="AA72" s="2943"/>
      <c r="AB72" s="2943"/>
      <c r="AE72" s="84"/>
      <c r="AF72" s="84"/>
    </row>
    <row r="73" spans="1:32" ht="30" customHeight="1">
      <c r="A73" s="3379"/>
      <c r="B73" s="3381"/>
      <c r="C73" s="3392"/>
      <c r="D73" s="741" t="s">
        <v>2747</v>
      </c>
      <c r="E73" s="720"/>
      <c r="F73" s="914"/>
      <c r="G73" s="875"/>
      <c r="H73" s="722">
        <v>90</v>
      </c>
      <c r="I73" s="1014">
        <f t="shared" si="3"/>
        <v>-1</v>
      </c>
      <c r="J73" s="720"/>
      <c r="K73" s="722">
        <v>30</v>
      </c>
      <c r="L73" s="722">
        <v>25</v>
      </c>
      <c r="M73" s="1496"/>
      <c r="N73" s="2055">
        <f t="shared" si="7"/>
        <v>-0.16666666666666666</v>
      </c>
      <c r="O73" s="722"/>
      <c r="P73" s="1496"/>
      <c r="Q73" s="722"/>
      <c r="R73" s="1496"/>
      <c r="S73" s="3387"/>
      <c r="T73" s="2734"/>
      <c r="U73" s="2943"/>
      <c r="V73" s="2943"/>
      <c r="W73" s="2943"/>
      <c r="X73" s="2943"/>
      <c r="Y73" s="2943"/>
      <c r="Z73" s="2943"/>
      <c r="AA73" s="2943"/>
      <c r="AB73" s="2943"/>
      <c r="AE73" s="84"/>
      <c r="AF73" s="84"/>
    </row>
    <row r="74" spans="1:32" ht="51" customHeight="1">
      <c r="A74" s="3477"/>
      <c r="B74" s="3403"/>
      <c r="C74" s="3401"/>
      <c r="D74" s="1784" t="s">
        <v>1067</v>
      </c>
      <c r="E74" s="1794">
        <f>SUM(E70:E71)</f>
        <v>1268</v>
      </c>
      <c r="F74" s="1822">
        <f t="shared" si="29"/>
        <v>-4.1246056782334346E-2</v>
      </c>
      <c r="G74" s="1823">
        <f t="shared" ref="G74" si="33">SUM(G70:G71)</f>
        <v>90</v>
      </c>
      <c r="H74" s="1785">
        <f>SUM(H70:H73)</f>
        <v>1215.7</v>
      </c>
      <c r="I74" s="1786">
        <f t="shared" si="3"/>
        <v>-1</v>
      </c>
      <c r="J74" s="1785">
        <f>SUM(J70:J73)</f>
        <v>0</v>
      </c>
      <c r="K74" s="1785">
        <f>SUM(K70,K71,K72,K73)</f>
        <v>1254.7</v>
      </c>
      <c r="L74" s="1785">
        <f>SUM(L70,L71,L72,L73)</f>
        <v>1257.3</v>
      </c>
      <c r="M74" s="1643">
        <f>SUM(M70,M71,M72,M73)</f>
        <v>1257.3</v>
      </c>
      <c r="N74" s="2210">
        <f t="shared" si="7"/>
        <v>2.0722084960547614E-3</v>
      </c>
      <c r="O74" s="728">
        <f t="shared" ref="O74:R74" si="34">SUM(O70,O71,O72,O73)</f>
        <v>1462.3</v>
      </c>
      <c r="P74" s="1643">
        <f t="shared" si="34"/>
        <v>1462.3</v>
      </c>
      <c r="Q74" s="1785">
        <f t="shared" si="34"/>
        <v>1462.3</v>
      </c>
      <c r="R74" s="1643">
        <f t="shared" si="34"/>
        <v>1462.3</v>
      </c>
      <c r="S74" s="3387"/>
      <c r="T74" s="3485"/>
      <c r="U74" s="2943"/>
      <c r="V74" s="2943"/>
      <c r="W74" s="2943"/>
      <c r="X74" s="2943"/>
      <c r="Y74" s="2943"/>
      <c r="Z74" s="2943"/>
      <c r="AA74" s="2943"/>
      <c r="AB74" s="2943"/>
      <c r="AE74" s="84"/>
      <c r="AF74" s="84"/>
    </row>
    <row r="75" spans="1:32" ht="51" hidden="1" customHeight="1">
      <c r="A75" s="2215"/>
      <c r="B75" s="2216" t="s">
        <v>4094</v>
      </c>
      <c r="C75" s="2217"/>
      <c r="D75" s="2218" t="s">
        <v>1111</v>
      </c>
      <c r="E75" s="2064"/>
      <c r="F75" s="2044"/>
      <c r="G75" s="2064"/>
      <c r="H75" s="2064"/>
      <c r="I75" s="2044"/>
      <c r="J75" s="2064"/>
      <c r="K75" s="2064">
        <v>1103</v>
      </c>
      <c r="L75" s="2064">
        <v>1087.3</v>
      </c>
      <c r="M75" s="2064">
        <v>1087.3</v>
      </c>
      <c r="N75" s="2044">
        <f t="shared" si="7"/>
        <v>-1.4233907524932045E-2</v>
      </c>
      <c r="O75" s="2064">
        <v>1087.3</v>
      </c>
      <c r="P75" s="2064">
        <v>1087.3</v>
      </c>
      <c r="Q75" s="2064">
        <v>1087.3</v>
      </c>
      <c r="R75" s="2064">
        <v>1087.3</v>
      </c>
      <c r="S75" s="2219"/>
      <c r="T75" s="1776" t="s">
        <v>4095</v>
      </c>
      <c r="U75" s="688"/>
      <c r="V75" s="688"/>
      <c r="W75" s="688"/>
      <c r="X75" s="688"/>
      <c r="Y75" s="688"/>
      <c r="Z75" s="688"/>
      <c r="AA75" s="688"/>
      <c r="AB75" s="688"/>
      <c r="AE75" s="84"/>
      <c r="AF75" s="84"/>
    </row>
    <row r="76" spans="1:32" ht="41.4" hidden="1" customHeight="1">
      <c r="A76" s="2220"/>
      <c r="B76" s="2221" t="s">
        <v>4081</v>
      </c>
      <c r="C76" s="2222"/>
      <c r="D76" s="2223" t="s">
        <v>470</v>
      </c>
      <c r="E76" s="2224"/>
      <c r="F76" s="2225"/>
      <c r="G76" s="2226"/>
      <c r="H76" s="2224"/>
      <c r="I76" s="2225"/>
      <c r="J76" s="2227"/>
      <c r="K76" s="2224"/>
      <c r="L76" s="2227">
        <v>80</v>
      </c>
      <c r="M76" s="2227">
        <v>80</v>
      </c>
      <c r="N76" s="2207" t="e">
        <f t="shared" si="7"/>
        <v>#DIV/0!</v>
      </c>
      <c r="O76" s="2227">
        <v>200</v>
      </c>
      <c r="P76" s="2227">
        <v>200</v>
      </c>
      <c r="Q76" s="2227">
        <v>200</v>
      </c>
      <c r="R76" s="2227">
        <v>200</v>
      </c>
      <c r="S76" s="2228"/>
      <c r="T76" s="2231" t="s">
        <v>3877</v>
      </c>
      <c r="U76" s="3463"/>
      <c r="V76" s="3464"/>
      <c r="W76" s="3464"/>
      <c r="X76" s="3464"/>
      <c r="Y76" s="3464"/>
      <c r="Z76" s="3464"/>
      <c r="AA76" s="3464"/>
      <c r="AB76" s="3465"/>
      <c r="AE76" s="84"/>
      <c r="AF76" s="84"/>
    </row>
    <row r="77" spans="1:32" ht="43.2" hidden="1" customHeight="1">
      <c r="A77" s="2229"/>
      <c r="B77" s="1910" t="s">
        <v>3875</v>
      </c>
      <c r="C77" s="1911"/>
      <c r="D77" s="1912" t="s">
        <v>470</v>
      </c>
      <c r="E77" s="1512"/>
      <c r="F77" s="1513"/>
      <c r="G77" s="1913"/>
      <c r="H77" s="1512"/>
      <c r="I77" s="1513"/>
      <c r="J77" s="1776"/>
      <c r="K77" s="1512"/>
      <c r="L77" s="1776">
        <v>40</v>
      </c>
      <c r="M77" s="1776">
        <v>40</v>
      </c>
      <c r="N77" s="2044" t="e">
        <f t="shared" si="7"/>
        <v>#DIV/0!</v>
      </c>
      <c r="O77" s="1776">
        <v>100</v>
      </c>
      <c r="P77" s="1776">
        <v>100</v>
      </c>
      <c r="Q77" s="1776">
        <v>100</v>
      </c>
      <c r="R77" s="1776">
        <v>100</v>
      </c>
      <c r="S77" s="2228"/>
      <c r="T77" s="2232" t="s">
        <v>3877</v>
      </c>
      <c r="U77" s="3463"/>
      <c r="V77" s="3464"/>
      <c r="W77" s="3464"/>
      <c r="X77" s="3464"/>
      <c r="Y77" s="3464"/>
      <c r="Z77" s="3464"/>
      <c r="AA77" s="3464"/>
      <c r="AB77" s="3465"/>
      <c r="AE77" s="84"/>
      <c r="AF77" s="84"/>
    </row>
    <row r="78" spans="1:32" ht="37.950000000000003" hidden="1" customHeight="1">
      <c r="A78" s="2229"/>
      <c r="B78" s="1910" t="s">
        <v>3876</v>
      </c>
      <c r="C78" s="1911"/>
      <c r="D78" s="1912" t="s">
        <v>470</v>
      </c>
      <c r="E78" s="1512"/>
      <c r="F78" s="1513"/>
      <c r="G78" s="1913"/>
      <c r="H78" s="1512"/>
      <c r="I78" s="1513"/>
      <c r="J78" s="1776"/>
      <c r="K78" s="1512"/>
      <c r="L78" s="1776">
        <v>25</v>
      </c>
      <c r="M78" s="1776">
        <v>25</v>
      </c>
      <c r="N78" s="2044" t="e">
        <f t="shared" si="7"/>
        <v>#DIV/0!</v>
      </c>
      <c r="O78" s="1776">
        <v>50</v>
      </c>
      <c r="P78" s="1776">
        <v>50</v>
      </c>
      <c r="Q78" s="1776">
        <v>50</v>
      </c>
      <c r="R78" s="1776">
        <v>50</v>
      </c>
      <c r="S78" s="2228"/>
      <c r="T78" s="2232" t="s">
        <v>4096</v>
      </c>
      <c r="U78" s="3463"/>
      <c r="V78" s="3464"/>
      <c r="W78" s="3464"/>
      <c r="X78" s="3464"/>
      <c r="Y78" s="3464"/>
      <c r="Z78" s="3464"/>
      <c r="AA78" s="3464"/>
      <c r="AB78" s="3465"/>
      <c r="AE78" s="84"/>
      <c r="AF78" s="84"/>
    </row>
    <row r="79" spans="1:32" ht="48.6" hidden="1" customHeight="1">
      <c r="A79" s="2229" t="s">
        <v>3837</v>
      </c>
      <c r="B79" s="1910" t="s">
        <v>4149</v>
      </c>
      <c r="C79" s="1911"/>
      <c r="D79" s="1912" t="s">
        <v>470</v>
      </c>
      <c r="E79" s="1512"/>
      <c r="F79" s="1513"/>
      <c r="G79" s="1913"/>
      <c r="H79" s="1512"/>
      <c r="I79" s="1513"/>
      <c r="J79" s="1776"/>
      <c r="K79" s="1512"/>
      <c r="L79" s="1776">
        <v>25</v>
      </c>
      <c r="M79" s="1776">
        <v>25</v>
      </c>
      <c r="N79" s="2044" t="e">
        <f t="shared" si="7"/>
        <v>#DIV/0!</v>
      </c>
      <c r="O79" s="1776">
        <v>25</v>
      </c>
      <c r="P79" s="1776">
        <v>25</v>
      </c>
      <c r="Q79" s="1776">
        <v>25</v>
      </c>
      <c r="R79" s="1776">
        <v>25</v>
      </c>
      <c r="S79" s="2228"/>
      <c r="T79" s="2230"/>
      <c r="U79" s="3466"/>
      <c r="V79" s="3467"/>
      <c r="W79" s="3467"/>
      <c r="X79" s="3467"/>
      <c r="Y79" s="3467"/>
      <c r="Z79" s="3467"/>
      <c r="AA79" s="3467"/>
      <c r="AB79" s="3468"/>
      <c r="AE79" s="84"/>
      <c r="AF79" s="84"/>
    </row>
    <row r="80" spans="1:32" ht="42" customHeight="1">
      <c r="A80" s="3379" t="s">
        <v>2092</v>
      </c>
      <c r="B80" s="3381" t="s">
        <v>1279</v>
      </c>
      <c r="C80" s="3392">
        <v>188711925</v>
      </c>
      <c r="D80" s="741" t="s">
        <v>470</v>
      </c>
      <c r="E80" s="720">
        <v>58</v>
      </c>
      <c r="F80" s="914">
        <f t="shared" si="29"/>
        <v>-0.74137931034482762</v>
      </c>
      <c r="G80" s="875">
        <v>30</v>
      </c>
      <c r="H80" s="722">
        <v>15</v>
      </c>
      <c r="I80" s="1014">
        <f t="shared" si="3"/>
        <v>0.8666666666666667</v>
      </c>
      <c r="J80" s="720">
        <v>28</v>
      </c>
      <c r="K80" s="722">
        <v>23</v>
      </c>
      <c r="L80" s="722">
        <v>9</v>
      </c>
      <c r="M80" s="1496">
        <v>14</v>
      </c>
      <c r="N80" s="2055">
        <f t="shared" si="7"/>
        <v>-0.60869565217391308</v>
      </c>
      <c r="O80" s="722">
        <v>9</v>
      </c>
      <c r="P80" s="1496">
        <v>9</v>
      </c>
      <c r="Q80" s="722">
        <v>9</v>
      </c>
      <c r="R80" s="1496">
        <v>9</v>
      </c>
      <c r="S80" s="3386" t="s">
        <v>2251</v>
      </c>
      <c r="T80" s="2704" t="s">
        <v>4224</v>
      </c>
      <c r="U80" s="2942" t="s">
        <v>1634</v>
      </c>
      <c r="V80" s="2942" t="s">
        <v>1703</v>
      </c>
      <c r="W80" s="2942" t="s">
        <v>392</v>
      </c>
      <c r="X80" s="2942" t="s">
        <v>392</v>
      </c>
      <c r="Y80" s="2942" t="s">
        <v>392</v>
      </c>
      <c r="Z80" s="2942" t="s">
        <v>392</v>
      </c>
      <c r="AA80" s="2942" t="s">
        <v>392</v>
      </c>
      <c r="AB80" s="2942" t="s">
        <v>2433</v>
      </c>
      <c r="AE80" s="84"/>
      <c r="AF80" s="84"/>
    </row>
    <row r="81" spans="1:32" ht="42" customHeight="1">
      <c r="A81" s="3379"/>
      <c r="B81" s="3381"/>
      <c r="C81" s="3392"/>
      <c r="D81" s="742" t="s">
        <v>1067</v>
      </c>
      <c r="E81" s="726">
        <f>E80</f>
        <v>58</v>
      </c>
      <c r="F81" s="911">
        <f>(H81-E81)/E81</f>
        <v>-0.74137931034482762</v>
      </c>
      <c r="G81" s="1198">
        <f t="shared" ref="G81" si="35">G80</f>
        <v>30</v>
      </c>
      <c r="H81" s="728">
        <f>H80</f>
        <v>15</v>
      </c>
      <c r="I81" s="729">
        <f t="shared" si="3"/>
        <v>0.8666666666666667</v>
      </c>
      <c r="J81" s="726">
        <f t="shared" ref="J81:R81" si="36">J80</f>
        <v>28</v>
      </c>
      <c r="K81" s="728">
        <f t="shared" si="36"/>
        <v>23</v>
      </c>
      <c r="L81" s="728">
        <f t="shared" si="36"/>
        <v>9</v>
      </c>
      <c r="M81" s="1464">
        <f t="shared" si="36"/>
        <v>14</v>
      </c>
      <c r="N81" s="2056">
        <f t="shared" si="7"/>
        <v>-0.60869565217391308</v>
      </c>
      <c r="O81" s="728">
        <f t="shared" si="36"/>
        <v>9</v>
      </c>
      <c r="P81" s="1464">
        <f t="shared" si="36"/>
        <v>9</v>
      </c>
      <c r="Q81" s="728">
        <f t="shared" si="36"/>
        <v>9</v>
      </c>
      <c r="R81" s="1464">
        <f t="shared" si="36"/>
        <v>9</v>
      </c>
      <c r="S81" s="3398"/>
      <c r="T81" s="2734"/>
      <c r="U81" s="2943"/>
      <c r="V81" s="2943"/>
      <c r="W81" s="2943"/>
      <c r="X81" s="2943"/>
      <c r="Y81" s="2943"/>
      <c r="Z81" s="2944"/>
      <c r="AA81" s="2944"/>
      <c r="AB81" s="2944"/>
      <c r="AE81" s="84"/>
      <c r="AF81" s="84"/>
    </row>
    <row r="82" spans="1:32" ht="42" hidden="1" customHeight="1">
      <c r="A82" s="3379" t="s">
        <v>2093</v>
      </c>
      <c r="B82" s="3381" t="s">
        <v>2756</v>
      </c>
      <c r="C82" s="3392">
        <v>188711925</v>
      </c>
      <c r="D82" s="741" t="s">
        <v>470</v>
      </c>
      <c r="E82" s="720">
        <v>106.54600000000001</v>
      </c>
      <c r="F82" s="914">
        <f t="shared" si="29"/>
        <v>-1</v>
      </c>
      <c r="G82" s="875"/>
      <c r="H82" s="722"/>
      <c r="I82" s="747" t="e">
        <f t="shared" si="3"/>
        <v>#DIV/0!</v>
      </c>
      <c r="J82" s="720"/>
      <c r="K82" s="722"/>
      <c r="L82" s="722"/>
      <c r="M82" s="1496"/>
      <c r="N82" s="2042" t="e">
        <f t="shared" si="7"/>
        <v>#DIV/0!</v>
      </c>
      <c r="O82" s="722"/>
      <c r="P82" s="1496"/>
      <c r="Q82" s="722"/>
      <c r="R82" s="1496"/>
      <c r="S82" s="3386" t="s">
        <v>2252</v>
      </c>
      <c r="T82" s="2704" t="s">
        <v>2517</v>
      </c>
      <c r="U82" s="2942" t="s">
        <v>1635</v>
      </c>
      <c r="V82" s="2942" t="s">
        <v>1704</v>
      </c>
      <c r="W82" s="2942" t="s">
        <v>433</v>
      </c>
      <c r="X82" s="2942" t="s">
        <v>433</v>
      </c>
      <c r="Y82" s="2942" t="s">
        <v>433</v>
      </c>
      <c r="Z82" s="658"/>
      <c r="AA82" s="658"/>
      <c r="AB82" s="2942" t="s">
        <v>2434</v>
      </c>
      <c r="AE82" s="84"/>
      <c r="AF82" s="84"/>
    </row>
    <row r="83" spans="1:32" ht="42" hidden="1" customHeight="1">
      <c r="A83" s="3379"/>
      <c r="B83" s="3381"/>
      <c r="C83" s="3392"/>
      <c r="D83" s="742" t="s">
        <v>1067</v>
      </c>
      <c r="E83" s="726">
        <f>E82</f>
        <v>106.54600000000001</v>
      </c>
      <c r="F83" s="911">
        <f t="shared" si="29"/>
        <v>-1</v>
      </c>
      <c r="G83" s="1198">
        <f t="shared" ref="G83:M83" si="37">G82</f>
        <v>0</v>
      </c>
      <c r="H83" s="728">
        <f t="shared" si="37"/>
        <v>0</v>
      </c>
      <c r="I83" s="747" t="e">
        <f t="shared" si="3"/>
        <v>#DIV/0!</v>
      </c>
      <c r="J83" s="726"/>
      <c r="K83" s="728">
        <f t="shared" si="37"/>
        <v>0</v>
      </c>
      <c r="L83" s="728">
        <f t="shared" si="37"/>
        <v>0</v>
      </c>
      <c r="M83" s="1464">
        <f t="shared" si="37"/>
        <v>0</v>
      </c>
      <c r="N83" s="2042" t="e">
        <f t="shared" si="7"/>
        <v>#DIV/0!</v>
      </c>
      <c r="O83" s="728"/>
      <c r="P83" s="1464"/>
      <c r="Q83" s="728"/>
      <c r="R83" s="1464"/>
      <c r="S83" s="3398"/>
      <c r="T83" s="2734"/>
      <c r="U83" s="2943"/>
      <c r="V83" s="2943"/>
      <c r="W83" s="2943"/>
      <c r="X83" s="2943"/>
      <c r="Y83" s="2943"/>
      <c r="Z83" s="685"/>
      <c r="AA83" s="685"/>
      <c r="AB83" s="2944"/>
      <c r="AE83" s="84"/>
      <c r="AF83" s="84"/>
    </row>
    <row r="84" spans="1:32" ht="30.6" hidden="1" customHeight="1">
      <c r="A84" s="3440" t="s">
        <v>2094</v>
      </c>
      <c r="B84" s="3423" t="s">
        <v>2757</v>
      </c>
      <c r="C84" s="3458">
        <v>188711925</v>
      </c>
      <c r="D84" s="1084" t="s">
        <v>2747</v>
      </c>
      <c r="E84" s="949">
        <v>604.05700000000002</v>
      </c>
      <c r="F84" s="950">
        <f>H84/E84-1</f>
        <v>-0.58546627222265446</v>
      </c>
      <c r="G84" s="1204">
        <v>350</v>
      </c>
      <c r="H84" s="951">
        <v>250.40199999999999</v>
      </c>
      <c r="I84" s="1205"/>
      <c r="J84" s="949"/>
      <c r="K84" s="951"/>
      <c r="L84" s="951"/>
      <c r="M84" s="1623"/>
      <c r="N84" s="2042" t="e">
        <f t="shared" si="7"/>
        <v>#DIV/0!</v>
      </c>
      <c r="O84" s="951"/>
      <c r="P84" s="1623"/>
      <c r="Q84" s="951"/>
      <c r="R84" s="1623"/>
      <c r="S84" s="3428" t="s">
        <v>2253</v>
      </c>
      <c r="T84" s="2969" t="s">
        <v>3135</v>
      </c>
      <c r="U84" s="3408" t="s">
        <v>1636</v>
      </c>
      <c r="V84" s="3408" t="s">
        <v>1579</v>
      </c>
      <c r="W84" s="3408" t="s">
        <v>324</v>
      </c>
      <c r="X84" s="3408" t="s">
        <v>433</v>
      </c>
      <c r="Y84" s="3408" t="s">
        <v>433</v>
      </c>
      <c r="Z84" s="954"/>
      <c r="AA84" s="954"/>
      <c r="AB84" s="3408" t="s">
        <v>2435</v>
      </c>
      <c r="AE84" s="84"/>
      <c r="AF84" s="84"/>
    </row>
    <row r="85" spans="1:32" ht="22.2" hidden="1" customHeight="1">
      <c r="A85" s="3440"/>
      <c r="B85" s="3423"/>
      <c r="C85" s="3458"/>
      <c r="D85" s="1084" t="s">
        <v>246</v>
      </c>
      <c r="E85" s="949">
        <v>200.44</v>
      </c>
      <c r="F85" s="950">
        <f t="shared" si="29"/>
        <v>-1</v>
      </c>
      <c r="G85" s="1204"/>
      <c r="H85" s="951"/>
      <c r="I85" s="1205"/>
      <c r="J85" s="949"/>
      <c r="K85" s="951"/>
      <c r="L85" s="951"/>
      <c r="M85" s="1623"/>
      <c r="N85" s="2042" t="e">
        <f t="shared" si="7"/>
        <v>#DIV/0!</v>
      </c>
      <c r="O85" s="951"/>
      <c r="P85" s="1623"/>
      <c r="Q85" s="951"/>
      <c r="R85" s="1623"/>
      <c r="S85" s="3429"/>
      <c r="T85" s="2969"/>
      <c r="U85" s="3409"/>
      <c r="V85" s="3409"/>
      <c r="W85" s="3409"/>
      <c r="X85" s="3409"/>
      <c r="Y85" s="3409"/>
      <c r="Z85" s="1037"/>
      <c r="AA85" s="1037"/>
      <c r="AB85" s="3409"/>
      <c r="AE85" s="84"/>
      <c r="AF85" s="84"/>
    </row>
    <row r="86" spans="1:32" ht="19.95" hidden="1" customHeight="1">
      <c r="A86" s="3440"/>
      <c r="B86" s="3423"/>
      <c r="C86" s="3458"/>
      <c r="D86" s="1084" t="s">
        <v>1111</v>
      </c>
      <c r="E86" s="949"/>
      <c r="F86" s="950"/>
      <c r="G86" s="1204"/>
      <c r="H86" s="951"/>
      <c r="I86" s="1205"/>
      <c r="J86" s="949"/>
      <c r="K86" s="951"/>
      <c r="L86" s="951"/>
      <c r="M86" s="1623"/>
      <c r="N86" s="2042" t="e">
        <f t="shared" si="7"/>
        <v>#DIV/0!</v>
      </c>
      <c r="O86" s="951"/>
      <c r="P86" s="1623"/>
      <c r="Q86" s="951"/>
      <c r="R86" s="1623"/>
      <c r="S86" s="3429"/>
      <c r="T86" s="2969"/>
      <c r="U86" s="3409"/>
      <c r="V86" s="3409"/>
      <c r="W86" s="3409"/>
      <c r="X86" s="3409"/>
      <c r="Y86" s="3409"/>
      <c r="Z86" s="1037"/>
      <c r="AA86" s="1037"/>
      <c r="AB86" s="3409"/>
      <c r="AE86" s="84"/>
      <c r="AF86" s="84"/>
    </row>
    <row r="87" spans="1:32" ht="19.95" hidden="1" customHeight="1">
      <c r="A87" s="3440"/>
      <c r="B87" s="3423"/>
      <c r="C87" s="3458"/>
      <c r="D87" s="1084" t="s">
        <v>1358</v>
      </c>
      <c r="E87" s="949">
        <v>200</v>
      </c>
      <c r="F87" s="950">
        <f t="shared" si="29"/>
        <v>-2.0099999999999341E-3</v>
      </c>
      <c r="G87" s="1204"/>
      <c r="H87" s="951">
        <v>199.59800000000001</v>
      </c>
      <c r="I87" s="1205"/>
      <c r="J87" s="949"/>
      <c r="K87" s="951"/>
      <c r="L87" s="951"/>
      <c r="M87" s="1623"/>
      <c r="N87" s="2042" t="e">
        <f t="shared" si="7"/>
        <v>#DIV/0!</v>
      </c>
      <c r="O87" s="951"/>
      <c r="P87" s="1623"/>
      <c r="Q87" s="951"/>
      <c r="R87" s="1623"/>
      <c r="S87" s="3429"/>
      <c r="T87" s="2969"/>
      <c r="U87" s="3409"/>
      <c r="V87" s="3409"/>
      <c r="W87" s="3409"/>
      <c r="X87" s="3409"/>
      <c r="Y87" s="3409"/>
      <c r="Z87" s="1037"/>
      <c r="AA87" s="1037"/>
      <c r="AB87" s="3409"/>
      <c r="AE87" s="84"/>
      <c r="AF87" s="84"/>
    </row>
    <row r="88" spans="1:32" ht="27" hidden="1" customHeight="1">
      <c r="A88" s="3440"/>
      <c r="B88" s="3423"/>
      <c r="C88" s="3458"/>
      <c r="D88" s="1084" t="s">
        <v>412</v>
      </c>
      <c r="E88" s="949">
        <v>16.251999999999999</v>
      </c>
      <c r="F88" s="950">
        <f t="shared" si="29"/>
        <v>-1</v>
      </c>
      <c r="G88" s="1204"/>
      <c r="H88" s="951"/>
      <c r="I88" s="1205"/>
      <c r="J88" s="949"/>
      <c r="K88" s="951"/>
      <c r="L88" s="951"/>
      <c r="M88" s="1623"/>
      <c r="N88" s="2042" t="e">
        <f t="shared" si="7"/>
        <v>#DIV/0!</v>
      </c>
      <c r="O88" s="951"/>
      <c r="P88" s="1623"/>
      <c r="Q88" s="951"/>
      <c r="R88" s="1623"/>
      <c r="S88" s="3429"/>
      <c r="T88" s="2969"/>
      <c r="U88" s="3409"/>
      <c r="V88" s="3409"/>
      <c r="W88" s="3409"/>
      <c r="X88" s="3409"/>
      <c r="Y88" s="3409"/>
      <c r="Z88" s="1037"/>
      <c r="AA88" s="1037"/>
      <c r="AB88" s="3409"/>
      <c r="AE88" s="84"/>
      <c r="AF88" s="84"/>
    </row>
    <row r="89" spans="1:32" ht="31.95" hidden="1" customHeight="1">
      <c r="A89" s="3440"/>
      <c r="B89" s="3423"/>
      <c r="C89" s="3458"/>
      <c r="D89" s="1088" t="s">
        <v>1067</v>
      </c>
      <c r="E89" s="949">
        <f>SUM(E84:E88,)</f>
        <v>1020.749</v>
      </c>
      <c r="F89" s="950">
        <f t="shared" si="29"/>
        <v>-0.55914725363434103</v>
      </c>
      <c r="G89" s="1204">
        <f t="shared" ref="G89:M89" si="38">SUM(G84:G88,)</f>
        <v>350</v>
      </c>
      <c r="H89" s="951">
        <f t="shared" si="38"/>
        <v>450</v>
      </c>
      <c r="I89" s="1205"/>
      <c r="J89" s="949"/>
      <c r="K89" s="951">
        <f t="shared" si="38"/>
        <v>0</v>
      </c>
      <c r="L89" s="951">
        <f t="shared" si="38"/>
        <v>0</v>
      </c>
      <c r="M89" s="1623">
        <f t="shared" si="38"/>
        <v>0</v>
      </c>
      <c r="N89" s="2042" t="e">
        <f t="shared" si="7"/>
        <v>#DIV/0!</v>
      </c>
      <c r="O89" s="951"/>
      <c r="P89" s="1623"/>
      <c r="Q89" s="951"/>
      <c r="R89" s="1623"/>
      <c r="S89" s="3430"/>
      <c r="T89" s="3161"/>
      <c r="U89" s="3409"/>
      <c r="V89" s="3409"/>
      <c r="W89" s="3409"/>
      <c r="X89" s="3409"/>
      <c r="Y89" s="3409"/>
      <c r="Z89" s="1037"/>
      <c r="AA89" s="1037"/>
      <c r="AB89" s="3556"/>
      <c r="AE89" s="84"/>
      <c r="AF89" s="84"/>
    </row>
    <row r="90" spans="1:32" ht="42" customHeight="1">
      <c r="A90" s="3379" t="s">
        <v>2095</v>
      </c>
      <c r="B90" s="3381" t="s">
        <v>1280</v>
      </c>
      <c r="C90" s="3392">
        <v>188711925</v>
      </c>
      <c r="D90" s="741" t="s">
        <v>48</v>
      </c>
      <c r="E90" s="720">
        <v>200</v>
      </c>
      <c r="F90" s="914">
        <f t="shared" si="29"/>
        <v>0.47499999999999998</v>
      </c>
      <c r="G90" s="875">
        <v>300</v>
      </c>
      <c r="H90" s="722">
        <v>295</v>
      </c>
      <c r="I90" s="1014">
        <f t="shared" si="3"/>
        <v>-0.15254237288135597</v>
      </c>
      <c r="J90" s="720">
        <v>250</v>
      </c>
      <c r="K90" s="722">
        <v>250</v>
      </c>
      <c r="L90" s="722"/>
      <c r="M90" s="1496">
        <f>250+80</f>
        <v>330</v>
      </c>
      <c r="N90" s="2055">
        <f t="shared" si="7"/>
        <v>-1</v>
      </c>
      <c r="O90" s="722">
        <f>O94</f>
        <v>250</v>
      </c>
      <c r="P90" s="1496">
        <f t="shared" ref="P90:R90" si="39">P94</f>
        <v>250</v>
      </c>
      <c r="Q90" s="722">
        <f t="shared" si="39"/>
        <v>250</v>
      </c>
      <c r="R90" s="1496">
        <f t="shared" si="39"/>
        <v>250</v>
      </c>
      <c r="S90" s="2871" t="s">
        <v>2248</v>
      </c>
      <c r="T90" s="2704" t="s">
        <v>4225</v>
      </c>
      <c r="U90" s="2694" t="s">
        <v>1637</v>
      </c>
      <c r="V90" s="2694" t="s">
        <v>3775</v>
      </c>
      <c r="W90" s="2694" t="s">
        <v>1684</v>
      </c>
      <c r="X90" s="2694" t="s">
        <v>1684</v>
      </c>
      <c r="Y90" s="2694" t="s">
        <v>1684</v>
      </c>
      <c r="Z90" s="2694" t="s">
        <v>1684</v>
      </c>
      <c r="AA90" s="2694" t="s">
        <v>1684</v>
      </c>
      <c r="AB90" s="2942" t="s">
        <v>2249</v>
      </c>
      <c r="AC90" s="84" t="s">
        <v>2564</v>
      </c>
      <c r="AE90" s="84"/>
      <c r="AF90" s="84"/>
    </row>
    <row r="91" spans="1:32" ht="42" customHeight="1">
      <c r="A91" s="3379"/>
      <c r="B91" s="3381"/>
      <c r="C91" s="3392"/>
      <c r="D91" s="741" t="s">
        <v>2747</v>
      </c>
      <c r="E91" s="720"/>
      <c r="F91" s="914"/>
      <c r="G91" s="875"/>
      <c r="H91" s="722"/>
      <c r="I91" s="1014"/>
      <c r="J91" s="720"/>
      <c r="K91" s="722"/>
      <c r="L91" s="722">
        <v>330</v>
      </c>
      <c r="M91" s="1496"/>
      <c r="N91" s="2055"/>
      <c r="O91" s="722"/>
      <c r="P91" s="1496"/>
      <c r="Q91" s="722"/>
      <c r="R91" s="1496"/>
      <c r="S91" s="2871"/>
      <c r="T91" s="2704"/>
      <c r="U91" s="2694"/>
      <c r="V91" s="2694"/>
      <c r="W91" s="2694"/>
      <c r="X91" s="2694"/>
      <c r="Y91" s="2694"/>
      <c r="Z91" s="2694"/>
      <c r="AA91" s="2694"/>
      <c r="AB91" s="2943"/>
      <c r="AE91" s="84"/>
      <c r="AF91" s="84"/>
    </row>
    <row r="92" spans="1:32" ht="42" customHeight="1">
      <c r="A92" s="3379"/>
      <c r="B92" s="3381"/>
      <c r="C92" s="3392"/>
      <c r="D92" s="742" t="s">
        <v>1067</v>
      </c>
      <c r="E92" s="726">
        <f>E90</f>
        <v>200</v>
      </c>
      <c r="F92" s="911">
        <f t="shared" si="29"/>
        <v>0.47499999999999998</v>
      </c>
      <c r="G92" s="1198">
        <f t="shared" ref="G92:R92" si="40">G90</f>
        <v>300</v>
      </c>
      <c r="H92" s="728">
        <f t="shared" si="40"/>
        <v>295</v>
      </c>
      <c r="I92" s="729">
        <f t="shared" si="3"/>
        <v>-0.15254237288135597</v>
      </c>
      <c r="J92" s="726">
        <f t="shared" si="40"/>
        <v>250</v>
      </c>
      <c r="K92" s="728">
        <f t="shared" si="40"/>
        <v>250</v>
      </c>
      <c r="L92" s="728">
        <f>SUM(L90,L91)</f>
        <v>330</v>
      </c>
      <c r="M92" s="1464">
        <f t="shared" ref="M92" si="41">M90</f>
        <v>330</v>
      </c>
      <c r="N92" s="2056">
        <f t="shared" ref="N92:N157" si="42">(L92-K92)/K92</f>
        <v>0.32</v>
      </c>
      <c r="O92" s="728">
        <f t="shared" si="40"/>
        <v>250</v>
      </c>
      <c r="P92" s="1464">
        <f t="shared" si="40"/>
        <v>250</v>
      </c>
      <c r="Q92" s="728">
        <f t="shared" si="40"/>
        <v>250</v>
      </c>
      <c r="R92" s="1464">
        <f t="shared" si="40"/>
        <v>250</v>
      </c>
      <c r="S92" s="2871"/>
      <c r="T92" s="2734"/>
      <c r="U92" s="2694"/>
      <c r="V92" s="2694"/>
      <c r="W92" s="2694"/>
      <c r="X92" s="2694"/>
      <c r="Y92" s="2694"/>
      <c r="Z92" s="2694"/>
      <c r="AA92" s="2694"/>
      <c r="AB92" s="2944"/>
      <c r="AE92" s="84"/>
      <c r="AF92" s="84"/>
    </row>
    <row r="93" spans="1:32" ht="42" hidden="1" customHeight="1">
      <c r="A93" s="1896"/>
      <c r="B93" s="1910" t="s">
        <v>4148</v>
      </c>
      <c r="C93" s="1911"/>
      <c r="D93" s="1912"/>
      <c r="E93" s="1512"/>
      <c r="F93" s="1513"/>
      <c r="G93" s="1913"/>
      <c r="H93" s="1512"/>
      <c r="I93" s="1513"/>
      <c r="J93" s="1512"/>
      <c r="K93" s="1512"/>
      <c r="L93" s="1776">
        <v>80</v>
      </c>
      <c r="M93" s="1470">
        <v>80</v>
      </c>
      <c r="N93" s="2044"/>
      <c r="O93" s="689"/>
      <c r="P93" s="1484"/>
      <c r="Q93" s="689"/>
      <c r="R93" s="1484"/>
      <c r="S93" s="1036"/>
      <c r="T93" s="1996"/>
      <c r="U93" s="1897"/>
      <c r="V93" s="1897"/>
      <c r="W93" s="1897"/>
      <c r="X93" s="1897"/>
      <c r="Y93" s="1897"/>
      <c r="Z93" s="1897"/>
      <c r="AA93" s="902"/>
      <c r="AB93" s="902"/>
      <c r="AE93" s="84"/>
      <c r="AF93" s="84"/>
    </row>
    <row r="94" spans="1:32" ht="42" hidden="1" customHeight="1">
      <c r="A94" s="1896"/>
      <c r="B94" s="1910" t="s">
        <v>1280</v>
      </c>
      <c r="C94" s="1911"/>
      <c r="D94" s="1912"/>
      <c r="E94" s="1512"/>
      <c r="F94" s="1513"/>
      <c r="G94" s="1913"/>
      <c r="H94" s="1512"/>
      <c r="I94" s="1513"/>
      <c r="J94" s="1512"/>
      <c r="K94" s="1512"/>
      <c r="L94" s="1776">
        <v>250</v>
      </c>
      <c r="M94" s="1470">
        <v>250</v>
      </c>
      <c r="N94" s="2044"/>
      <c r="O94" s="686">
        <v>250</v>
      </c>
      <c r="P94" s="1498">
        <v>250</v>
      </c>
      <c r="Q94" s="686">
        <v>250</v>
      </c>
      <c r="R94" s="1498">
        <v>250</v>
      </c>
      <c r="S94" s="1036"/>
      <c r="T94" s="1498"/>
      <c r="U94" s="1897"/>
      <c r="V94" s="1897"/>
      <c r="W94" s="1897"/>
      <c r="X94" s="1897"/>
      <c r="Y94" s="1897"/>
      <c r="Z94" s="1897"/>
      <c r="AA94" s="902"/>
      <c r="AB94" s="902"/>
      <c r="AE94" s="84"/>
      <c r="AF94" s="84"/>
    </row>
    <row r="95" spans="1:32" ht="42" customHeight="1">
      <c r="A95" s="3379" t="s">
        <v>2096</v>
      </c>
      <c r="B95" s="3381" t="s">
        <v>702</v>
      </c>
      <c r="C95" s="3392">
        <v>188711925</v>
      </c>
      <c r="D95" s="741" t="s">
        <v>48</v>
      </c>
      <c r="E95" s="720">
        <v>281.17200000000003</v>
      </c>
      <c r="F95" s="914">
        <f t="shared" si="29"/>
        <v>-0.71547664774586373</v>
      </c>
      <c r="G95" s="875">
        <v>85</v>
      </c>
      <c r="H95" s="722">
        <f>20+60</f>
        <v>80</v>
      </c>
      <c r="I95" s="1014">
        <f t="shared" si="3"/>
        <v>-0.25</v>
      </c>
      <c r="J95" s="720">
        <v>60</v>
      </c>
      <c r="K95" s="722">
        <v>38.1</v>
      </c>
      <c r="L95" s="722">
        <v>0</v>
      </c>
      <c r="M95" s="1496">
        <v>100</v>
      </c>
      <c r="N95" s="2055">
        <f t="shared" si="42"/>
        <v>-1</v>
      </c>
      <c r="O95" s="722">
        <v>80</v>
      </c>
      <c r="P95" s="1496">
        <v>200</v>
      </c>
      <c r="Q95" s="722"/>
      <c r="R95" s="1496"/>
      <c r="S95" s="3386" t="s">
        <v>2252</v>
      </c>
      <c r="T95" s="2704" t="s">
        <v>4226</v>
      </c>
      <c r="U95" s="2942" t="s">
        <v>1638</v>
      </c>
      <c r="V95" s="2942" t="s">
        <v>2518</v>
      </c>
      <c r="W95" s="2942" t="s">
        <v>432</v>
      </c>
      <c r="X95" s="2942" t="s">
        <v>433</v>
      </c>
      <c r="Y95" s="2942" t="s">
        <v>433</v>
      </c>
      <c r="Z95" s="2942" t="s">
        <v>433</v>
      </c>
      <c r="AA95" s="2942" t="s">
        <v>324</v>
      </c>
      <c r="AB95" s="2942" t="s">
        <v>2436</v>
      </c>
      <c r="AE95" s="84"/>
      <c r="AF95" s="84"/>
    </row>
    <row r="96" spans="1:32" ht="42" customHeight="1">
      <c r="A96" s="3393"/>
      <c r="B96" s="3422"/>
      <c r="C96" s="3424"/>
      <c r="D96" s="742" t="s">
        <v>1067</v>
      </c>
      <c r="E96" s="726">
        <f>E95</f>
        <v>281.17200000000003</v>
      </c>
      <c r="F96" s="911">
        <f t="shared" si="29"/>
        <v>-0.71547664774586373</v>
      </c>
      <c r="G96" s="1198">
        <f t="shared" ref="G96:Q96" si="43">G95</f>
        <v>85</v>
      </c>
      <c r="H96" s="728">
        <f t="shared" si="43"/>
        <v>80</v>
      </c>
      <c r="I96" s="729">
        <f t="shared" si="3"/>
        <v>-0.25</v>
      </c>
      <c r="J96" s="726">
        <f t="shared" si="43"/>
        <v>60</v>
      </c>
      <c r="K96" s="728">
        <f t="shared" si="43"/>
        <v>38.1</v>
      </c>
      <c r="L96" s="728">
        <f t="shared" si="43"/>
        <v>0</v>
      </c>
      <c r="M96" s="1464">
        <f t="shared" si="43"/>
        <v>100</v>
      </c>
      <c r="N96" s="2056">
        <f t="shared" si="42"/>
        <v>-1</v>
      </c>
      <c r="O96" s="728">
        <f t="shared" si="43"/>
        <v>80</v>
      </c>
      <c r="P96" s="1464">
        <f t="shared" si="43"/>
        <v>200</v>
      </c>
      <c r="Q96" s="728">
        <f t="shared" si="43"/>
        <v>0</v>
      </c>
      <c r="R96" s="1464">
        <f>R95</f>
        <v>0</v>
      </c>
      <c r="S96" s="3398"/>
      <c r="T96" s="2734"/>
      <c r="U96" s="2943"/>
      <c r="V96" s="2943"/>
      <c r="W96" s="2943"/>
      <c r="X96" s="2943"/>
      <c r="Y96" s="2943"/>
      <c r="Z96" s="2944"/>
      <c r="AA96" s="2944"/>
      <c r="AB96" s="2944"/>
      <c r="AE96" s="84"/>
      <c r="AF96" s="84"/>
    </row>
    <row r="97" spans="1:32" ht="61.95" customHeight="1">
      <c r="A97" s="697" t="s">
        <v>2134</v>
      </c>
      <c r="B97" s="663" t="s">
        <v>1281</v>
      </c>
      <c r="C97" s="697"/>
      <c r="D97" s="663"/>
      <c r="E97" s="745">
        <f>SUM(E100,E114,E119,E131)</f>
        <v>2019.183</v>
      </c>
      <c r="F97" s="1206">
        <f t="shared" si="29"/>
        <v>-0.73087085222092296</v>
      </c>
      <c r="G97" s="1194">
        <f>SUM(G100,G114,G119,G131,G103)</f>
        <v>891.91800000000001</v>
      </c>
      <c r="H97" s="746">
        <f>SUM(H100,H114,H119,H131,H103)</f>
        <v>543.42100000000005</v>
      </c>
      <c r="I97" s="747">
        <f t="shared" si="3"/>
        <v>-1</v>
      </c>
      <c r="J97" s="745"/>
      <c r="K97" s="746">
        <f t="shared" ref="K97:R97" si="44">SUM(K100,K114,K119,K131,K103)</f>
        <v>578</v>
      </c>
      <c r="L97" s="746">
        <f>SUM(L100,L114,L119,L131,L103)</f>
        <v>700.06</v>
      </c>
      <c r="M97" s="746">
        <f t="shared" ref="M97:Q97" si="45">SUM(M100,M114,M119,M131,M103)</f>
        <v>870.06099999999992</v>
      </c>
      <c r="N97" s="746" t="e">
        <f t="shared" si="45"/>
        <v>#DIV/0!</v>
      </c>
      <c r="O97" s="746">
        <f t="shared" si="45"/>
        <v>3888.0959999999995</v>
      </c>
      <c r="P97" s="746">
        <f t="shared" si="45"/>
        <v>3833.0959999999995</v>
      </c>
      <c r="Q97" s="746">
        <f t="shared" si="45"/>
        <v>3933.0959999999995</v>
      </c>
      <c r="R97" s="1497">
        <f t="shared" si="44"/>
        <v>3933.0959999999995</v>
      </c>
      <c r="S97" s="929" t="s">
        <v>1009</v>
      </c>
      <c r="T97" s="663"/>
      <c r="U97" s="697" t="s">
        <v>1639</v>
      </c>
      <c r="V97" s="663" t="s">
        <v>356</v>
      </c>
      <c r="W97" s="697">
        <v>1</v>
      </c>
      <c r="X97" s="663">
        <v>1</v>
      </c>
      <c r="Y97" s="697">
        <v>0</v>
      </c>
      <c r="Z97" s="697">
        <v>0</v>
      </c>
      <c r="AA97" s="697">
        <v>1</v>
      </c>
      <c r="AB97" s="663" t="s">
        <v>2254</v>
      </c>
      <c r="AE97" s="84"/>
      <c r="AF97" s="84"/>
    </row>
    <row r="98" spans="1:32" ht="31.2" hidden="1" customHeight="1">
      <c r="A98" s="3438" t="s">
        <v>2097</v>
      </c>
      <c r="B98" s="3492" t="s">
        <v>2758</v>
      </c>
      <c r="C98" s="3493">
        <v>188711925</v>
      </c>
      <c r="D98" s="1207" t="s">
        <v>470</v>
      </c>
      <c r="E98" s="1208"/>
      <c r="F98" s="1209"/>
      <c r="G98" s="1210"/>
      <c r="H98" s="1211"/>
      <c r="I98" s="1212"/>
      <c r="J98" s="1208"/>
      <c r="K98" s="1211"/>
      <c r="L98" s="1211"/>
      <c r="M98" s="1473"/>
      <c r="N98" s="2042" t="e">
        <f t="shared" si="42"/>
        <v>#DIV/0!</v>
      </c>
      <c r="O98" s="1211"/>
      <c r="P98" s="1473"/>
      <c r="Q98" s="1211"/>
      <c r="R98" s="1473"/>
      <c r="S98" s="3489" t="s">
        <v>2255</v>
      </c>
      <c r="T98" s="3486" t="s">
        <v>2759</v>
      </c>
      <c r="U98" s="3483" t="s">
        <v>1640</v>
      </c>
      <c r="V98" s="3483" t="s">
        <v>1441</v>
      </c>
      <c r="W98" s="3483" t="s">
        <v>433</v>
      </c>
      <c r="X98" s="3483" t="s">
        <v>433</v>
      </c>
      <c r="Y98" s="3483" t="s">
        <v>433</v>
      </c>
      <c r="Z98" s="1213"/>
      <c r="AA98" s="1213"/>
      <c r="AB98" s="3483" t="s">
        <v>1441</v>
      </c>
      <c r="AE98" s="84"/>
      <c r="AF98" s="84"/>
    </row>
    <row r="99" spans="1:32" ht="39.75" hidden="1" customHeight="1">
      <c r="A99" s="3438"/>
      <c r="B99" s="3492"/>
      <c r="C99" s="3493"/>
      <c r="D99" s="1207" t="s">
        <v>246</v>
      </c>
      <c r="E99" s="1208"/>
      <c r="F99" s="1209"/>
      <c r="G99" s="1210"/>
      <c r="H99" s="1211"/>
      <c r="I99" s="1212"/>
      <c r="J99" s="1208"/>
      <c r="K99" s="1211"/>
      <c r="L99" s="1211"/>
      <c r="M99" s="1473"/>
      <c r="N99" s="2042" t="e">
        <f t="shared" si="42"/>
        <v>#DIV/0!</v>
      </c>
      <c r="O99" s="1211"/>
      <c r="P99" s="1473"/>
      <c r="Q99" s="1211"/>
      <c r="R99" s="1473"/>
      <c r="S99" s="3490"/>
      <c r="T99" s="3487"/>
      <c r="U99" s="3484"/>
      <c r="V99" s="3484"/>
      <c r="W99" s="3484"/>
      <c r="X99" s="3484"/>
      <c r="Y99" s="3484"/>
      <c r="Z99" s="1214"/>
      <c r="AA99" s="1214"/>
      <c r="AB99" s="3484"/>
      <c r="AE99" s="84"/>
      <c r="AF99" s="84"/>
    </row>
    <row r="100" spans="1:32" ht="43.5" hidden="1" customHeight="1">
      <c r="A100" s="3438"/>
      <c r="B100" s="3492"/>
      <c r="C100" s="3493"/>
      <c r="D100" s="1215" t="s">
        <v>1067</v>
      </c>
      <c r="E100" s="1208">
        <f>E98</f>
        <v>0</v>
      </c>
      <c r="F100" s="1209"/>
      <c r="G100" s="1210">
        <f t="shared" ref="G100:M100" si="46">G98</f>
        <v>0</v>
      </c>
      <c r="H100" s="1211">
        <f t="shared" si="46"/>
        <v>0</v>
      </c>
      <c r="I100" s="1212"/>
      <c r="J100" s="1208"/>
      <c r="K100" s="1211">
        <f t="shared" si="46"/>
        <v>0</v>
      </c>
      <c r="L100" s="1211">
        <f t="shared" si="46"/>
        <v>0</v>
      </c>
      <c r="M100" s="1473">
        <f t="shared" si="46"/>
        <v>0</v>
      </c>
      <c r="N100" s="2042" t="e">
        <f t="shared" si="42"/>
        <v>#DIV/0!</v>
      </c>
      <c r="O100" s="1211"/>
      <c r="P100" s="1473"/>
      <c r="Q100" s="1211"/>
      <c r="R100" s="1473"/>
      <c r="S100" s="3491"/>
      <c r="T100" s="3488"/>
      <c r="U100" s="3484"/>
      <c r="V100" s="3484"/>
      <c r="W100" s="3484"/>
      <c r="X100" s="3484"/>
      <c r="Y100" s="3484"/>
      <c r="Z100" s="1214"/>
      <c r="AA100" s="1214"/>
      <c r="AB100" s="3557"/>
      <c r="AE100" s="84"/>
      <c r="AF100" s="84"/>
    </row>
    <row r="101" spans="1:32" ht="33" customHeight="1">
      <c r="A101" s="3379" t="s">
        <v>2519</v>
      </c>
      <c r="B101" s="3381" t="s">
        <v>4082</v>
      </c>
      <c r="C101" s="3392">
        <v>188711925</v>
      </c>
      <c r="D101" s="741" t="s">
        <v>470</v>
      </c>
      <c r="E101" s="720"/>
      <c r="F101" s="914"/>
      <c r="G101" s="875">
        <v>21</v>
      </c>
      <c r="H101" s="722">
        <v>21</v>
      </c>
      <c r="I101" s="1014">
        <f t="shared" si="3"/>
        <v>4.7142857142857144</v>
      </c>
      <c r="J101" s="720">
        <f>SUM(J104,J107,J110)</f>
        <v>120</v>
      </c>
      <c r="K101" s="722">
        <f>120-20</f>
        <v>100</v>
      </c>
      <c r="L101" s="722"/>
      <c r="M101" s="1496">
        <f>SUM(M104,M107,M110)</f>
        <v>170</v>
      </c>
      <c r="N101" s="2055">
        <f>(L101-K101)/K101</f>
        <v>-1</v>
      </c>
      <c r="O101" s="722">
        <f>SUM(O104,O107,O110)</f>
        <v>3133.0959999999995</v>
      </c>
      <c r="P101" s="1496">
        <f>SUM(P104,P107,P110)</f>
        <v>3133.0959999999995</v>
      </c>
      <c r="Q101" s="722">
        <f t="shared" ref="Q101:R101" si="47">SUM(Q104,Q107,Q110)</f>
        <v>3133.0959999999995</v>
      </c>
      <c r="R101" s="1496">
        <f t="shared" si="47"/>
        <v>3133.0959999999995</v>
      </c>
      <c r="S101" s="3386" t="s">
        <v>2258</v>
      </c>
      <c r="T101" s="3427" t="s">
        <v>4227</v>
      </c>
      <c r="U101" s="2942" t="s">
        <v>4728</v>
      </c>
      <c r="V101" s="2942" t="s">
        <v>1580</v>
      </c>
      <c r="W101" s="2942" t="s">
        <v>324</v>
      </c>
      <c r="X101" s="2942" t="s">
        <v>324</v>
      </c>
      <c r="Y101" s="2942" t="s">
        <v>433</v>
      </c>
      <c r="Z101" s="2942" t="s">
        <v>433</v>
      </c>
      <c r="AA101" s="2942" t="s">
        <v>324</v>
      </c>
      <c r="AB101" s="2942" t="s">
        <v>2520</v>
      </c>
      <c r="AC101" s="91" t="s">
        <v>2616</v>
      </c>
      <c r="AE101" s="84"/>
      <c r="AF101" s="84"/>
    </row>
    <row r="102" spans="1:32" ht="33.75" customHeight="1">
      <c r="A102" s="3379"/>
      <c r="B102" s="3381"/>
      <c r="C102" s="3392"/>
      <c r="D102" s="741" t="s">
        <v>246</v>
      </c>
      <c r="E102" s="720"/>
      <c r="F102" s="914"/>
      <c r="G102" s="875"/>
      <c r="H102" s="722"/>
      <c r="I102" s="1014"/>
      <c r="J102" s="720">
        <f>SUM(J105,J108)</f>
        <v>0</v>
      </c>
      <c r="K102" s="722"/>
      <c r="L102" s="722"/>
      <c r="M102" s="1496"/>
      <c r="N102" s="2055"/>
      <c r="O102" s="722"/>
      <c r="P102" s="1496"/>
      <c r="Q102" s="722"/>
      <c r="R102" s="1496"/>
      <c r="S102" s="3387"/>
      <c r="T102" s="3376"/>
      <c r="U102" s="2943"/>
      <c r="V102" s="2943"/>
      <c r="W102" s="2943"/>
      <c r="X102" s="2943"/>
      <c r="Y102" s="2943"/>
      <c r="Z102" s="2943"/>
      <c r="AA102" s="2943"/>
      <c r="AB102" s="2943"/>
      <c r="AE102" s="84"/>
      <c r="AF102" s="84"/>
    </row>
    <row r="103" spans="1:32" ht="35.25" customHeight="1">
      <c r="A103" s="3379"/>
      <c r="B103" s="3381"/>
      <c r="C103" s="3392"/>
      <c r="D103" s="742" t="s">
        <v>1067</v>
      </c>
      <c r="E103" s="726">
        <f>E101</f>
        <v>0</v>
      </c>
      <c r="F103" s="911" t="e">
        <f t="shared" ref="F103" si="48">(H103-E103)/E103</f>
        <v>#DIV/0!</v>
      </c>
      <c r="G103" s="1198">
        <f t="shared" ref="G103:R103" si="49">G101</f>
        <v>21</v>
      </c>
      <c r="H103" s="728">
        <f t="shared" si="49"/>
        <v>21</v>
      </c>
      <c r="I103" s="729">
        <f t="shared" si="3"/>
        <v>4.7142857142857144</v>
      </c>
      <c r="J103" s="726">
        <f t="shared" si="49"/>
        <v>120</v>
      </c>
      <c r="K103" s="728">
        <f t="shared" si="49"/>
        <v>100</v>
      </c>
      <c r="L103" s="728">
        <f t="shared" si="49"/>
        <v>0</v>
      </c>
      <c r="M103" s="1464">
        <f t="shared" si="49"/>
        <v>170</v>
      </c>
      <c r="N103" s="2056">
        <f t="shared" si="42"/>
        <v>-1</v>
      </c>
      <c r="O103" s="728">
        <f t="shared" si="49"/>
        <v>3133.0959999999995</v>
      </c>
      <c r="P103" s="1464">
        <f t="shared" si="49"/>
        <v>3133.0959999999995</v>
      </c>
      <c r="Q103" s="728">
        <f t="shared" si="49"/>
        <v>3133.0959999999995</v>
      </c>
      <c r="R103" s="1464">
        <f t="shared" si="49"/>
        <v>3133.0959999999995</v>
      </c>
      <c r="S103" s="3398"/>
      <c r="T103" s="3389"/>
      <c r="U103" s="2943"/>
      <c r="V103" s="2943"/>
      <c r="W103" s="2943"/>
      <c r="X103" s="2943"/>
      <c r="Y103" s="2943"/>
      <c r="Z103" s="2944"/>
      <c r="AA103" s="2944"/>
      <c r="AB103" s="2944"/>
      <c r="AE103" s="84"/>
      <c r="AF103" s="84"/>
    </row>
    <row r="104" spans="1:32" ht="33" hidden="1" customHeight="1">
      <c r="A104" s="3446" t="s">
        <v>3136</v>
      </c>
      <c r="B104" s="3447" t="s">
        <v>3137</v>
      </c>
      <c r="C104" s="3454">
        <v>188711925</v>
      </c>
      <c r="D104" s="735" t="s">
        <v>470</v>
      </c>
      <c r="E104" s="755"/>
      <c r="F104" s="1180"/>
      <c r="G104" s="1216">
        <v>21</v>
      </c>
      <c r="H104" s="737"/>
      <c r="I104" s="756"/>
      <c r="J104" s="755">
        <v>80</v>
      </c>
      <c r="K104" s="737"/>
      <c r="L104" s="681">
        <v>0</v>
      </c>
      <c r="M104" s="1470"/>
      <c r="N104" s="2044" t="e">
        <f t="shared" si="42"/>
        <v>#DIV/0!</v>
      </c>
      <c r="O104" s="681">
        <v>1813</v>
      </c>
      <c r="P104" s="1470">
        <v>1813</v>
      </c>
      <c r="Q104" s="681">
        <v>1813</v>
      </c>
      <c r="R104" s="1470">
        <v>1813</v>
      </c>
      <c r="S104" s="3455" t="s">
        <v>2258</v>
      </c>
      <c r="T104" s="3448" t="s">
        <v>3878</v>
      </c>
      <c r="U104" s="3425" t="s">
        <v>1640</v>
      </c>
      <c r="V104" s="3425" t="s">
        <v>2521</v>
      </c>
      <c r="W104" s="3425" t="s">
        <v>324</v>
      </c>
      <c r="X104" s="3425" t="s">
        <v>324</v>
      </c>
      <c r="Y104" s="3425" t="s">
        <v>324</v>
      </c>
      <c r="Z104" s="694"/>
      <c r="AA104" s="694"/>
      <c r="AB104" s="3425" t="s">
        <v>2520</v>
      </c>
      <c r="AC104" s="91" t="s">
        <v>2616</v>
      </c>
      <c r="AE104" s="84"/>
      <c r="AF104" s="84"/>
    </row>
    <row r="105" spans="1:32" ht="33.75" hidden="1" customHeight="1">
      <c r="A105" s="3446"/>
      <c r="B105" s="3447"/>
      <c r="C105" s="3454"/>
      <c r="D105" s="735" t="s">
        <v>246</v>
      </c>
      <c r="E105" s="755"/>
      <c r="F105" s="1180"/>
      <c r="G105" s="1216"/>
      <c r="H105" s="737"/>
      <c r="I105" s="756"/>
      <c r="J105" s="755"/>
      <c r="K105" s="737"/>
      <c r="L105" s="737"/>
      <c r="M105" s="1465"/>
      <c r="N105" s="2044" t="s">
        <v>4251</v>
      </c>
      <c r="O105" s="737"/>
      <c r="P105" s="1465"/>
      <c r="Q105" s="737"/>
      <c r="R105" s="1465"/>
      <c r="S105" s="3456"/>
      <c r="T105" s="3449"/>
      <c r="U105" s="3426"/>
      <c r="V105" s="3426"/>
      <c r="W105" s="3426"/>
      <c r="X105" s="3426"/>
      <c r="Y105" s="3426"/>
      <c r="Z105" s="702"/>
      <c r="AA105" s="702"/>
      <c r="AB105" s="3426"/>
      <c r="AE105" s="84"/>
      <c r="AF105" s="84"/>
    </row>
    <row r="106" spans="1:32" ht="21.75" hidden="1" customHeight="1">
      <c r="A106" s="3446"/>
      <c r="B106" s="3447"/>
      <c r="C106" s="3454"/>
      <c r="D106" s="1845" t="s">
        <v>1067</v>
      </c>
      <c r="E106" s="1030">
        <f>E104</f>
        <v>0</v>
      </c>
      <c r="F106" s="1123" t="e">
        <f t="shared" ref="F106" si="50">(H106-E106)/E106</f>
        <v>#DIV/0!</v>
      </c>
      <c r="G106" s="1846">
        <f t="shared" ref="G106:R106" si="51">G104</f>
        <v>21</v>
      </c>
      <c r="H106" s="1031">
        <f t="shared" si="51"/>
        <v>0</v>
      </c>
      <c r="I106" s="1847"/>
      <c r="J106" s="1030">
        <f t="shared" si="51"/>
        <v>80</v>
      </c>
      <c r="K106" s="1031">
        <f t="shared" si="51"/>
        <v>0</v>
      </c>
      <c r="L106" s="1031">
        <f t="shared" si="51"/>
        <v>0</v>
      </c>
      <c r="M106" s="1741">
        <f t="shared" si="51"/>
        <v>0</v>
      </c>
      <c r="N106" s="2211"/>
      <c r="O106" s="1031">
        <f t="shared" si="51"/>
        <v>1813</v>
      </c>
      <c r="P106" s="1741">
        <f t="shared" si="51"/>
        <v>1813</v>
      </c>
      <c r="Q106" s="1031">
        <f t="shared" si="51"/>
        <v>1813</v>
      </c>
      <c r="R106" s="1741">
        <f t="shared" si="51"/>
        <v>1813</v>
      </c>
      <c r="S106" s="3457"/>
      <c r="T106" s="3450"/>
      <c r="U106" s="3426"/>
      <c r="V106" s="3426"/>
      <c r="W106" s="3426"/>
      <c r="X106" s="3426"/>
      <c r="Y106" s="3426"/>
      <c r="Z106" s="702"/>
      <c r="AA106" s="702"/>
      <c r="AB106" s="3567"/>
      <c r="AE106" s="84"/>
      <c r="AF106" s="84"/>
    </row>
    <row r="107" spans="1:32" ht="33" hidden="1" customHeight="1">
      <c r="A107" s="3446" t="s">
        <v>3139</v>
      </c>
      <c r="B107" s="3447" t="s">
        <v>3138</v>
      </c>
      <c r="C107" s="3454">
        <v>188711925</v>
      </c>
      <c r="D107" s="735" t="s">
        <v>470</v>
      </c>
      <c r="E107" s="755"/>
      <c r="F107" s="1180"/>
      <c r="G107" s="1216">
        <v>21</v>
      </c>
      <c r="H107" s="737"/>
      <c r="I107" s="756"/>
      <c r="J107" s="755">
        <v>20</v>
      </c>
      <c r="K107" s="737"/>
      <c r="L107" s="737">
        <v>0</v>
      </c>
      <c r="M107" s="1465"/>
      <c r="N107" s="2044"/>
      <c r="O107" s="681">
        <v>299.2</v>
      </c>
      <c r="P107" s="1470">
        <v>299.2</v>
      </c>
      <c r="Q107" s="681">
        <v>299.2</v>
      </c>
      <c r="R107" s="1465">
        <v>299.2</v>
      </c>
      <c r="S107" s="3455" t="s">
        <v>2258</v>
      </c>
      <c r="T107" s="3448" t="s">
        <v>3881</v>
      </c>
      <c r="U107" s="3425" t="s">
        <v>1640</v>
      </c>
      <c r="V107" s="3425" t="s">
        <v>2521</v>
      </c>
      <c r="W107" s="3425" t="s">
        <v>324</v>
      </c>
      <c r="X107" s="3425" t="s">
        <v>324</v>
      </c>
      <c r="Y107" s="3425" t="s">
        <v>324</v>
      </c>
      <c r="Z107" s="694"/>
      <c r="AA107" s="694"/>
      <c r="AB107" s="3425" t="s">
        <v>2520</v>
      </c>
      <c r="AC107" s="91" t="s">
        <v>2616</v>
      </c>
      <c r="AE107" s="84"/>
      <c r="AF107" s="84"/>
    </row>
    <row r="108" spans="1:32" ht="33.75" hidden="1" customHeight="1">
      <c r="A108" s="3446"/>
      <c r="B108" s="3447"/>
      <c r="C108" s="3454"/>
      <c r="D108" s="735" t="s">
        <v>246</v>
      </c>
      <c r="E108" s="755"/>
      <c r="F108" s="1180"/>
      <c r="G108" s="1216"/>
      <c r="H108" s="737"/>
      <c r="I108" s="756"/>
      <c r="J108" s="755"/>
      <c r="K108" s="737"/>
      <c r="L108" s="737"/>
      <c r="M108" s="1465"/>
      <c r="N108" s="2044"/>
      <c r="O108" s="737"/>
      <c r="P108" s="1465"/>
      <c r="Q108" s="737"/>
      <c r="R108" s="1465"/>
      <c r="S108" s="3456"/>
      <c r="T108" s="3449"/>
      <c r="U108" s="3426"/>
      <c r="V108" s="3426"/>
      <c r="W108" s="3426"/>
      <c r="X108" s="3426"/>
      <c r="Y108" s="3426"/>
      <c r="Z108" s="702"/>
      <c r="AA108" s="702"/>
      <c r="AB108" s="3426"/>
      <c r="AE108" s="84"/>
      <c r="AF108" s="84"/>
    </row>
    <row r="109" spans="1:32" ht="27" hidden="1" customHeight="1">
      <c r="A109" s="3446"/>
      <c r="B109" s="3447"/>
      <c r="C109" s="3454"/>
      <c r="D109" s="1845" t="s">
        <v>1067</v>
      </c>
      <c r="E109" s="1030">
        <f>E107</f>
        <v>0</v>
      </c>
      <c r="F109" s="1123" t="e">
        <f t="shared" ref="F109" si="52">(H109-E109)/E109</f>
        <v>#DIV/0!</v>
      </c>
      <c r="G109" s="1846">
        <f t="shared" ref="G109:R109" si="53">G107</f>
        <v>21</v>
      </c>
      <c r="H109" s="1031">
        <f t="shared" si="53"/>
        <v>0</v>
      </c>
      <c r="I109" s="1847"/>
      <c r="J109" s="1030">
        <f t="shared" si="53"/>
        <v>20</v>
      </c>
      <c r="K109" s="1031">
        <f t="shared" si="53"/>
        <v>0</v>
      </c>
      <c r="L109" s="1031">
        <f t="shared" si="53"/>
        <v>0</v>
      </c>
      <c r="M109" s="1741">
        <f t="shared" si="53"/>
        <v>0</v>
      </c>
      <c r="N109" s="2211"/>
      <c r="O109" s="1031">
        <f t="shared" si="53"/>
        <v>299.2</v>
      </c>
      <c r="P109" s="1741">
        <f t="shared" si="53"/>
        <v>299.2</v>
      </c>
      <c r="Q109" s="1031">
        <f t="shared" si="53"/>
        <v>299.2</v>
      </c>
      <c r="R109" s="1741">
        <f t="shared" si="53"/>
        <v>299.2</v>
      </c>
      <c r="S109" s="3457"/>
      <c r="T109" s="3450"/>
      <c r="U109" s="3426"/>
      <c r="V109" s="3426"/>
      <c r="W109" s="3426"/>
      <c r="X109" s="3426"/>
      <c r="Y109" s="3426"/>
      <c r="Z109" s="702"/>
      <c r="AA109" s="702"/>
      <c r="AB109" s="3567"/>
      <c r="AE109" s="84"/>
      <c r="AF109" s="84"/>
    </row>
    <row r="110" spans="1:32" ht="33" hidden="1" customHeight="1">
      <c r="A110" s="3446" t="s">
        <v>3139</v>
      </c>
      <c r="B110" s="3447" t="s">
        <v>3880</v>
      </c>
      <c r="C110" s="3454">
        <v>188711925</v>
      </c>
      <c r="D110" s="735" t="s">
        <v>470</v>
      </c>
      <c r="E110" s="755"/>
      <c r="F110" s="1180"/>
      <c r="G110" s="1216">
        <v>21</v>
      </c>
      <c r="H110" s="737"/>
      <c r="I110" s="756"/>
      <c r="J110" s="755">
        <v>20</v>
      </c>
      <c r="K110" s="737"/>
      <c r="L110" s="686">
        <f>M110</f>
        <v>170</v>
      </c>
      <c r="M110" s="1498">
        <v>170</v>
      </c>
      <c r="N110" s="2044"/>
      <c r="O110" s="681">
        <v>1020.896</v>
      </c>
      <c r="P110" s="1470">
        <v>1020.896</v>
      </c>
      <c r="Q110" s="681">
        <v>1020.896</v>
      </c>
      <c r="R110" s="1465">
        <v>1020.896</v>
      </c>
      <c r="S110" s="3455" t="s">
        <v>2258</v>
      </c>
      <c r="T110" s="3448" t="s">
        <v>3879</v>
      </c>
      <c r="U110" s="3425" t="s">
        <v>1640</v>
      </c>
      <c r="V110" s="3425" t="s">
        <v>2521</v>
      </c>
      <c r="W110" s="3425" t="s">
        <v>324</v>
      </c>
      <c r="X110" s="3425" t="s">
        <v>324</v>
      </c>
      <c r="Y110" s="3425" t="s">
        <v>324</v>
      </c>
      <c r="Z110" s="694"/>
      <c r="AA110" s="694"/>
      <c r="AB110" s="3425" t="s">
        <v>2520</v>
      </c>
      <c r="AC110" s="91" t="s">
        <v>2616</v>
      </c>
      <c r="AE110" s="84"/>
      <c r="AF110" s="84"/>
    </row>
    <row r="111" spans="1:32" ht="33.75" hidden="1" customHeight="1">
      <c r="A111" s="3446"/>
      <c r="B111" s="3447"/>
      <c r="C111" s="3454"/>
      <c r="D111" s="735" t="s">
        <v>246</v>
      </c>
      <c r="E111" s="755"/>
      <c r="F111" s="1180"/>
      <c r="G111" s="1216"/>
      <c r="H111" s="737"/>
      <c r="I111" s="756"/>
      <c r="J111" s="755"/>
      <c r="K111" s="737"/>
      <c r="L111" s="737"/>
      <c r="M111" s="1465"/>
      <c r="N111" s="2044"/>
      <c r="O111" s="737"/>
      <c r="P111" s="1465"/>
      <c r="Q111" s="737"/>
      <c r="R111" s="1465"/>
      <c r="S111" s="3456"/>
      <c r="T111" s="3449"/>
      <c r="U111" s="3426"/>
      <c r="V111" s="3426"/>
      <c r="W111" s="3426"/>
      <c r="X111" s="3426"/>
      <c r="Y111" s="3426"/>
      <c r="Z111" s="702"/>
      <c r="AA111" s="702"/>
      <c r="AB111" s="3426"/>
      <c r="AE111" s="84"/>
      <c r="AF111" s="84"/>
    </row>
    <row r="112" spans="1:32" ht="25.5" hidden="1" customHeight="1">
      <c r="A112" s="3446"/>
      <c r="B112" s="3447"/>
      <c r="C112" s="3454"/>
      <c r="D112" s="1845" t="s">
        <v>1067</v>
      </c>
      <c r="E112" s="1030">
        <f>E110</f>
        <v>0</v>
      </c>
      <c r="F112" s="1123" t="e">
        <f t="shared" ref="F112" si="54">(H112-E112)/E112</f>
        <v>#DIV/0!</v>
      </c>
      <c r="G112" s="1846">
        <f t="shared" ref="G112:H112" si="55">G110</f>
        <v>21</v>
      </c>
      <c r="H112" s="1031">
        <f t="shared" si="55"/>
        <v>0</v>
      </c>
      <c r="I112" s="1847"/>
      <c r="J112" s="1030">
        <f t="shared" ref="J112:R112" si="56">J110</f>
        <v>20</v>
      </c>
      <c r="K112" s="1031">
        <f t="shared" si="56"/>
        <v>0</v>
      </c>
      <c r="L112" s="1031">
        <f t="shared" si="56"/>
        <v>170</v>
      </c>
      <c r="M112" s="1741">
        <f t="shared" si="56"/>
        <v>170</v>
      </c>
      <c r="N112" s="2211"/>
      <c r="O112" s="1031">
        <f t="shared" si="56"/>
        <v>1020.896</v>
      </c>
      <c r="P112" s="1741">
        <f t="shared" si="56"/>
        <v>1020.896</v>
      </c>
      <c r="Q112" s="1031">
        <f t="shared" si="56"/>
        <v>1020.896</v>
      </c>
      <c r="R112" s="1741">
        <f t="shared" si="56"/>
        <v>1020.896</v>
      </c>
      <c r="S112" s="3457"/>
      <c r="T112" s="3450"/>
      <c r="U112" s="3426"/>
      <c r="V112" s="3426"/>
      <c r="W112" s="3426"/>
      <c r="X112" s="3426"/>
      <c r="Y112" s="3426"/>
      <c r="Z112" s="702"/>
      <c r="AA112" s="702"/>
      <c r="AB112" s="3567"/>
      <c r="AE112" s="84"/>
      <c r="AF112" s="84"/>
    </row>
    <row r="113" spans="1:32" ht="64.5" hidden="1" customHeight="1">
      <c r="A113" s="3440" t="s">
        <v>2098</v>
      </c>
      <c r="B113" s="3423" t="s">
        <v>2760</v>
      </c>
      <c r="C113" s="3458">
        <v>188711925</v>
      </c>
      <c r="D113" s="1084" t="s">
        <v>2747</v>
      </c>
      <c r="E113" s="1058">
        <v>135</v>
      </c>
      <c r="F113" s="1217">
        <f t="shared" si="29"/>
        <v>-0.85185185185185186</v>
      </c>
      <c r="G113" s="1218">
        <v>20</v>
      </c>
      <c r="H113" s="951">
        <v>20</v>
      </c>
      <c r="I113" s="1205">
        <f t="shared" ref="I113:I178" si="57">J113/H113-1</f>
        <v>-1</v>
      </c>
      <c r="J113" s="949"/>
      <c r="K113" s="951"/>
      <c r="L113" s="951"/>
      <c r="M113" s="1623"/>
      <c r="N113" s="2042" t="e">
        <f t="shared" si="42"/>
        <v>#DIV/0!</v>
      </c>
      <c r="O113" s="951"/>
      <c r="P113" s="1623"/>
      <c r="Q113" s="951"/>
      <c r="R113" s="1623"/>
      <c r="S113" s="3428" t="s">
        <v>2184</v>
      </c>
      <c r="T113" s="3451" t="s">
        <v>3140</v>
      </c>
      <c r="U113" s="3408" t="s">
        <v>1641</v>
      </c>
      <c r="V113" s="3408" t="s">
        <v>2761</v>
      </c>
      <c r="W113" s="3408" t="s">
        <v>2437</v>
      </c>
      <c r="X113" s="3408" t="s">
        <v>433</v>
      </c>
      <c r="Y113" s="3408" t="s">
        <v>433</v>
      </c>
      <c r="Z113" s="954"/>
      <c r="AA113" s="954"/>
      <c r="AB113" s="3408" t="s">
        <v>1441</v>
      </c>
      <c r="AE113" s="84"/>
      <c r="AF113" s="84"/>
    </row>
    <row r="114" spans="1:32" ht="51.75" hidden="1" customHeight="1">
      <c r="A114" s="3440"/>
      <c r="B114" s="3423"/>
      <c r="C114" s="3458"/>
      <c r="D114" s="1088" t="s">
        <v>1067</v>
      </c>
      <c r="E114" s="949">
        <f>E113</f>
        <v>135</v>
      </c>
      <c r="F114" s="950">
        <f t="shared" si="29"/>
        <v>-0.85185185185185186</v>
      </c>
      <c r="G114" s="1204">
        <f t="shared" ref="G114:M114" si="58">G113</f>
        <v>20</v>
      </c>
      <c r="H114" s="951">
        <f t="shared" si="58"/>
        <v>20</v>
      </c>
      <c r="I114" s="1205">
        <f t="shared" si="57"/>
        <v>-1</v>
      </c>
      <c r="J114" s="949"/>
      <c r="K114" s="951">
        <f t="shared" si="58"/>
        <v>0</v>
      </c>
      <c r="L114" s="951">
        <f t="shared" si="58"/>
        <v>0</v>
      </c>
      <c r="M114" s="1623">
        <f t="shared" si="58"/>
        <v>0</v>
      </c>
      <c r="N114" s="2042" t="e">
        <f t="shared" si="42"/>
        <v>#DIV/0!</v>
      </c>
      <c r="O114" s="951"/>
      <c r="P114" s="1623"/>
      <c r="Q114" s="951"/>
      <c r="R114" s="1623"/>
      <c r="S114" s="3430"/>
      <c r="T114" s="3453"/>
      <c r="U114" s="3409"/>
      <c r="V114" s="3409"/>
      <c r="W114" s="3409"/>
      <c r="X114" s="3409"/>
      <c r="Y114" s="3409"/>
      <c r="Z114" s="1037"/>
      <c r="AA114" s="1037"/>
      <c r="AB114" s="3556"/>
      <c r="AE114" s="84"/>
      <c r="AF114" s="84"/>
    </row>
    <row r="115" spans="1:32" ht="36.75" customHeight="1">
      <c r="A115" s="3379" t="s">
        <v>2099</v>
      </c>
      <c r="B115" s="3381" t="s">
        <v>4167</v>
      </c>
      <c r="C115" s="3392">
        <v>188711925</v>
      </c>
      <c r="D115" s="741" t="s">
        <v>2747</v>
      </c>
      <c r="E115" s="720">
        <v>538.55999999999995</v>
      </c>
      <c r="F115" s="914">
        <f t="shared" si="29"/>
        <v>-0.30369875222816395</v>
      </c>
      <c r="G115" s="875">
        <v>800</v>
      </c>
      <c r="H115" s="722">
        <f>400-25</f>
        <v>375</v>
      </c>
      <c r="I115" s="1014">
        <f t="shared" si="57"/>
        <v>-1</v>
      </c>
      <c r="J115" s="720"/>
      <c r="K115" s="722"/>
      <c r="L115" s="722">
        <v>400.06</v>
      </c>
      <c r="M115" s="1496"/>
      <c r="N115" s="2055"/>
      <c r="O115" s="722"/>
      <c r="P115" s="1496"/>
      <c r="Q115" s="722"/>
      <c r="R115" s="1496"/>
      <c r="S115" s="3386" t="s">
        <v>2256</v>
      </c>
      <c r="T115" s="3427" t="s">
        <v>4204</v>
      </c>
      <c r="U115" s="2942" t="s">
        <v>1642</v>
      </c>
      <c r="V115" s="2942" t="s">
        <v>2762</v>
      </c>
      <c r="W115" s="2942" t="s">
        <v>324</v>
      </c>
      <c r="X115" s="2942" t="s">
        <v>324</v>
      </c>
      <c r="Y115" s="3573" t="s">
        <v>324</v>
      </c>
      <c r="Z115" s="2942" t="s">
        <v>433</v>
      </c>
      <c r="AA115" s="2942" t="s">
        <v>433</v>
      </c>
      <c r="AB115" s="2942" t="s">
        <v>2257</v>
      </c>
      <c r="AE115" s="84"/>
      <c r="AF115" s="84"/>
    </row>
    <row r="116" spans="1:32" ht="29.25" customHeight="1">
      <c r="A116" s="3379"/>
      <c r="B116" s="3381"/>
      <c r="C116" s="3392"/>
      <c r="D116" s="741" t="s">
        <v>470</v>
      </c>
      <c r="E116" s="720"/>
      <c r="F116" s="914"/>
      <c r="G116" s="875"/>
      <c r="H116" s="722"/>
      <c r="I116" s="1014"/>
      <c r="J116" s="720">
        <f>SUM(J120,J121,J122,J123,J124,J126)</f>
        <v>533</v>
      </c>
      <c r="K116" s="722">
        <f>SUM(K120,K121,K122,K123,K124,K126)</f>
        <v>478</v>
      </c>
      <c r="L116" s="722">
        <v>300</v>
      </c>
      <c r="M116" s="722">
        <f>SUM(M120,M125,M126)</f>
        <v>700.06099999999992</v>
      </c>
      <c r="N116" s="2055">
        <f>(L116-K116)/K116</f>
        <v>-0.3723849372384937</v>
      </c>
      <c r="O116" s="722">
        <f t="shared" ref="O116:R116" si="59">SUM(O120,O121,O122,O123,O124,O126)</f>
        <v>755</v>
      </c>
      <c r="P116" s="1496">
        <f t="shared" si="59"/>
        <v>700</v>
      </c>
      <c r="Q116" s="722">
        <f t="shared" si="59"/>
        <v>800</v>
      </c>
      <c r="R116" s="1496">
        <f t="shared" si="59"/>
        <v>800</v>
      </c>
      <c r="S116" s="3387"/>
      <c r="T116" s="3376"/>
      <c r="U116" s="2943"/>
      <c r="V116" s="2943"/>
      <c r="W116" s="2943"/>
      <c r="X116" s="2943"/>
      <c r="Y116" s="3574"/>
      <c r="Z116" s="2943"/>
      <c r="AA116" s="2943"/>
      <c r="AB116" s="2943"/>
      <c r="AE116" s="84"/>
      <c r="AF116" s="84"/>
    </row>
    <row r="117" spans="1:32" ht="30.75" customHeight="1">
      <c r="A117" s="3379"/>
      <c r="B117" s="3381"/>
      <c r="C117" s="3392"/>
      <c r="D117" s="741" t="s">
        <v>412</v>
      </c>
      <c r="E117" s="720">
        <v>420</v>
      </c>
      <c r="F117" s="914">
        <f t="shared" si="29"/>
        <v>-1</v>
      </c>
      <c r="G117" s="875"/>
      <c r="H117" s="722"/>
      <c r="I117" s="1014"/>
      <c r="J117" s="720"/>
      <c r="K117" s="722"/>
      <c r="L117" s="722"/>
      <c r="M117" s="1496"/>
      <c r="N117" s="2055"/>
      <c r="O117" s="722"/>
      <c r="P117" s="1496"/>
      <c r="Q117" s="722"/>
      <c r="R117" s="1496"/>
      <c r="S117" s="3387"/>
      <c r="T117" s="3376"/>
      <c r="U117" s="2943"/>
      <c r="V117" s="2943"/>
      <c r="W117" s="2943"/>
      <c r="X117" s="2943"/>
      <c r="Y117" s="3574"/>
      <c r="Z117" s="2943"/>
      <c r="AA117" s="2943"/>
      <c r="AB117" s="2943"/>
      <c r="AE117" s="84"/>
      <c r="AF117" s="84"/>
    </row>
    <row r="118" spans="1:32" ht="33" customHeight="1">
      <c r="A118" s="3379"/>
      <c r="B118" s="3381"/>
      <c r="C118" s="3392"/>
      <c r="D118" s="741" t="s">
        <v>1358</v>
      </c>
      <c r="E118" s="720">
        <v>130</v>
      </c>
      <c r="F118" s="914">
        <f t="shared" si="29"/>
        <v>-1</v>
      </c>
      <c r="G118" s="875"/>
      <c r="H118" s="722"/>
      <c r="I118" s="1014"/>
      <c r="J118" s="720"/>
      <c r="K118" s="722"/>
      <c r="L118" s="722"/>
      <c r="M118" s="1496"/>
      <c r="N118" s="2055"/>
      <c r="O118" s="722"/>
      <c r="P118" s="1496"/>
      <c r="Q118" s="722"/>
      <c r="R118" s="1496"/>
      <c r="S118" s="3387"/>
      <c r="T118" s="3376"/>
      <c r="U118" s="2943"/>
      <c r="V118" s="2943"/>
      <c r="W118" s="2943"/>
      <c r="X118" s="2943"/>
      <c r="Y118" s="3574"/>
      <c r="Z118" s="2943"/>
      <c r="AA118" s="2943"/>
      <c r="AB118" s="2943"/>
      <c r="AE118" s="84"/>
      <c r="AF118" s="84"/>
    </row>
    <row r="119" spans="1:32" ht="32.25" customHeight="1">
      <c r="A119" s="3393"/>
      <c r="B119" s="3381"/>
      <c r="C119" s="3424"/>
      <c r="D119" s="742" t="s">
        <v>1067</v>
      </c>
      <c r="E119" s="726">
        <f>SUM(E115:E118)</f>
        <v>1088.56</v>
      </c>
      <c r="F119" s="911">
        <f t="shared" si="29"/>
        <v>-0.65550819431175134</v>
      </c>
      <c r="G119" s="1198">
        <f t="shared" ref="G119:R119" si="60">SUM(G115:G118)</f>
        <v>800</v>
      </c>
      <c r="H119" s="728">
        <f t="shared" si="60"/>
        <v>375</v>
      </c>
      <c r="I119" s="729">
        <f t="shared" si="57"/>
        <v>0.42133333333333334</v>
      </c>
      <c r="J119" s="726">
        <f t="shared" si="60"/>
        <v>533</v>
      </c>
      <c r="K119" s="728">
        <f t="shared" si="60"/>
        <v>478</v>
      </c>
      <c r="L119" s="728">
        <f>SUM(L115:L118)</f>
        <v>700.06</v>
      </c>
      <c r="M119" s="1464">
        <f t="shared" ref="M119" si="61">SUM(M115:M118)</f>
        <v>700.06099999999992</v>
      </c>
      <c r="N119" s="2056">
        <f t="shared" si="42"/>
        <v>0.46456066945606683</v>
      </c>
      <c r="O119" s="728">
        <f t="shared" si="60"/>
        <v>755</v>
      </c>
      <c r="P119" s="1464">
        <f t="shared" si="60"/>
        <v>700</v>
      </c>
      <c r="Q119" s="728">
        <f t="shared" si="60"/>
        <v>800</v>
      </c>
      <c r="R119" s="1464">
        <f t="shared" si="60"/>
        <v>800</v>
      </c>
      <c r="S119" s="3398"/>
      <c r="T119" s="3389"/>
      <c r="U119" s="2943"/>
      <c r="V119" s="2943"/>
      <c r="W119" s="2943"/>
      <c r="X119" s="2943"/>
      <c r="Y119" s="3574"/>
      <c r="Z119" s="2944"/>
      <c r="AA119" s="2944"/>
      <c r="AB119" s="2943"/>
      <c r="AE119" s="84"/>
      <c r="AF119" s="84"/>
    </row>
    <row r="120" spans="1:32" ht="78" hidden="1" customHeight="1">
      <c r="A120" s="1219"/>
      <c r="B120" s="1006" t="s">
        <v>4168</v>
      </c>
      <c r="C120" s="1220"/>
      <c r="D120" s="916"/>
      <c r="E120" s="755"/>
      <c r="F120" s="1180"/>
      <c r="G120" s="1216"/>
      <c r="H120" s="737"/>
      <c r="I120" s="733"/>
      <c r="J120" s="755">
        <v>45</v>
      </c>
      <c r="K120" s="681">
        <v>45</v>
      </c>
      <c r="L120" s="681">
        <v>290.06</v>
      </c>
      <c r="M120" s="1470">
        <v>290.06099999999998</v>
      </c>
      <c r="N120" s="2044">
        <f t="shared" si="42"/>
        <v>5.4457777777777778</v>
      </c>
      <c r="O120" s="737"/>
      <c r="P120" s="1465"/>
      <c r="Q120" s="737"/>
      <c r="R120" s="1465"/>
      <c r="S120" s="1063"/>
      <c r="T120" s="1916" t="s">
        <v>4170</v>
      </c>
      <c r="U120" s="693"/>
      <c r="V120" s="693"/>
      <c r="W120" s="693"/>
      <c r="X120" s="693"/>
      <c r="Y120" s="693"/>
      <c r="Z120" s="693"/>
      <c r="AA120" s="693"/>
      <c r="AB120" s="693"/>
      <c r="AE120" s="84"/>
      <c r="AF120" s="84"/>
    </row>
    <row r="121" spans="1:32" ht="48.75" hidden="1" customHeight="1">
      <c r="A121" s="1219"/>
      <c r="B121" s="1006" t="s">
        <v>3141</v>
      </c>
      <c r="C121" s="1220"/>
      <c r="D121" s="916"/>
      <c r="E121" s="755"/>
      <c r="F121" s="1180"/>
      <c r="G121" s="1216"/>
      <c r="H121" s="737"/>
      <c r="I121" s="733"/>
      <c r="J121" s="755">
        <v>250</v>
      </c>
      <c r="K121" s="681">
        <v>250</v>
      </c>
      <c r="L121" s="681"/>
      <c r="M121" s="1470"/>
      <c r="N121" s="2044">
        <f t="shared" si="42"/>
        <v>-1</v>
      </c>
      <c r="O121" s="737"/>
      <c r="P121" s="1465"/>
      <c r="Q121" s="737"/>
      <c r="R121" s="1465"/>
      <c r="S121" s="1063"/>
      <c r="T121" s="1917"/>
      <c r="U121" s="693"/>
      <c r="V121" s="693"/>
      <c r="W121" s="693"/>
      <c r="X121" s="693"/>
      <c r="Y121" s="693"/>
      <c r="Z121" s="693"/>
      <c r="AA121" s="693"/>
      <c r="AB121" s="693"/>
      <c r="AE121" s="84"/>
      <c r="AF121" s="84"/>
    </row>
    <row r="122" spans="1:32" ht="42" hidden="1" customHeight="1">
      <c r="A122" s="1219"/>
      <c r="B122" s="1006" t="s">
        <v>3142</v>
      </c>
      <c r="C122" s="1220"/>
      <c r="D122" s="916"/>
      <c r="E122" s="755"/>
      <c r="F122" s="1180"/>
      <c r="G122" s="1216"/>
      <c r="H122" s="737"/>
      <c r="I122" s="733"/>
      <c r="J122" s="755">
        <v>34</v>
      </c>
      <c r="K122" s="681">
        <v>34</v>
      </c>
      <c r="L122" s="681"/>
      <c r="M122" s="1470"/>
      <c r="N122" s="2044">
        <f t="shared" si="42"/>
        <v>-1</v>
      </c>
      <c r="O122" s="737"/>
      <c r="P122" s="1465"/>
      <c r="Q122" s="737"/>
      <c r="R122" s="1465"/>
      <c r="S122" s="1063"/>
      <c r="T122" s="1917"/>
      <c r="U122" s="693"/>
      <c r="V122" s="693"/>
      <c r="W122" s="693"/>
      <c r="X122" s="693"/>
      <c r="Y122" s="693"/>
      <c r="Z122" s="693"/>
      <c r="AA122" s="693"/>
      <c r="AB122" s="693"/>
      <c r="AE122" s="84"/>
      <c r="AF122" s="84"/>
    </row>
    <row r="123" spans="1:32" ht="48.75" hidden="1" customHeight="1">
      <c r="A123" s="1219"/>
      <c r="B123" s="1006" t="s">
        <v>3143</v>
      </c>
      <c r="C123" s="1220"/>
      <c r="D123" s="916"/>
      <c r="E123" s="755"/>
      <c r="F123" s="1180"/>
      <c r="G123" s="1216"/>
      <c r="H123" s="737"/>
      <c r="I123" s="733"/>
      <c r="J123" s="755">
        <v>140</v>
      </c>
      <c r="K123" s="681">
        <v>140</v>
      </c>
      <c r="L123" s="1914"/>
      <c r="M123" s="1469"/>
      <c r="N123" s="2044">
        <f t="shared" si="42"/>
        <v>-1</v>
      </c>
      <c r="O123" s="755"/>
      <c r="P123" s="1465"/>
      <c r="Q123" s="755"/>
      <c r="R123" s="1465"/>
      <c r="S123" s="1063"/>
      <c r="T123" s="1917"/>
      <c r="U123" s="693"/>
      <c r="V123" s="693"/>
      <c r="W123" s="693"/>
      <c r="X123" s="693"/>
      <c r="Y123" s="693"/>
      <c r="Z123" s="693"/>
      <c r="AA123" s="693"/>
      <c r="AB123" s="693"/>
      <c r="AE123" s="84"/>
      <c r="AF123" s="84"/>
    </row>
    <row r="124" spans="1:32" ht="52.5" hidden="1" customHeight="1">
      <c r="A124" s="1219"/>
      <c r="B124" s="1006" t="s">
        <v>3144</v>
      </c>
      <c r="C124" s="1220"/>
      <c r="D124" s="916"/>
      <c r="E124" s="755"/>
      <c r="F124" s="1180"/>
      <c r="G124" s="1216"/>
      <c r="H124" s="737"/>
      <c r="I124" s="733"/>
      <c r="J124" s="755">
        <v>9</v>
      </c>
      <c r="K124" s="681">
        <v>9</v>
      </c>
      <c r="L124" s="681"/>
      <c r="M124" s="1470"/>
      <c r="N124" s="2044">
        <f t="shared" si="42"/>
        <v>-1</v>
      </c>
      <c r="O124" s="737"/>
      <c r="P124" s="1465"/>
      <c r="Q124" s="737"/>
      <c r="R124" s="1465"/>
      <c r="S124" s="1063"/>
      <c r="T124" s="1917"/>
      <c r="U124" s="693"/>
      <c r="V124" s="693"/>
      <c r="W124" s="693"/>
      <c r="X124" s="693"/>
      <c r="Y124" s="693"/>
      <c r="Z124" s="693"/>
      <c r="AA124" s="693"/>
      <c r="AB124" s="693"/>
      <c r="AE124" s="84"/>
      <c r="AF124" s="84"/>
    </row>
    <row r="125" spans="1:32" ht="52.5" hidden="1" customHeight="1">
      <c r="A125" s="1219"/>
      <c r="B125" s="1466" t="s">
        <v>3882</v>
      </c>
      <c r="C125" s="1220"/>
      <c r="D125" s="916"/>
      <c r="E125" s="755"/>
      <c r="F125" s="1180"/>
      <c r="G125" s="1216"/>
      <c r="H125" s="737"/>
      <c r="I125" s="733"/>
      <c r="J125" s="755"/>
      <c r="K125" s="681"/>
      <c r="L125" s="681">
        <v>350</v>
      </c>
      <c r="M125" s="1470">
        <v>350</v>
      </c>
      <c r="N125" s="2044"/>
      <c r="O125" s="737"/>
      <c r="P125" s="1465"/>
      <c r="Q125" s="737"/>
      <c r="R125" s="1465"/>
      <c r="S125" s="1063"/>
      <c r="T125" s="1918"/>
      <c r="U125" s="693"/>
      <c r="V125" s="693"/>
      <c r="W125" s="693"/>
      <c r="X125" s="693"/>
      <c r="Y125" s="693"/>
      <c r="Z125" s="693"/>
      <c r="AA125" s="693"/>
      <c r="AB125" s="693"/>
      <c r="AE125" s="84"/>
      <c r="AF125" s="84"/>
    </row>
    <row r="126" spans="1:32" ht="52.5" hidden="1" customHeight="1">
      <c r="A126" s="1467"/>
      <c r="B126" s="665" t="s">
        <v>3145</v>
      </c>
      <c r="C126" s="1468"/>
      <c r="D126" s="916"/>
      <c r="E126" s="755"/>
      <c r="F126" s="1180"/>
      <c r="G126" s="1216"/>
      <c r="H126" s="737"/>
      <c r="I126" s="733"/>
      <c r="J126" s="755">
        <v>55</v>
      </c>
      <c r="K126" s="681">
        <v>0</v>
      </c>
      <c r="L126" s="681">
        <v>60</v>
      </c>
      <c r="M126" s="1470">
        <v>60</v>
      </c>
      <c r="N126" s="2044"/>
      <c r="O126" s="681">
        <v>755</v>
      </c>
      <c r="P126" s="1470">
        <v>700</v>
      </c>
      <c r="Q126" s="681">
        <v>800</v>
      </c>
      <c r="R126" s="1470">
        <v>800</v>
      </c>
      <c r="S126" s="1063"/>
      <c r="T126" s="1462" t="s">
        <v>3883</v>
      </c>
      <c r="U126" s="693"/>
      <c r="V126" s="693"/>
      <c r="W126" s="693"/>
      <c r="X126" s="693"/>
      <c r="Y126" s="693"/>
      <c r="Z126" s="693"/>
      <c r="AA126" s="693"/>
      <c r="AB126" s="693"/>
      <c r="AE126" s="84"/>
      <c r="AF126" s="84"/>
    </row>
    <row r="127" spans="1:32" ht="25.5" hidden="1" customHeight="1">
      <c r="A127" s="3440" t="s">
        <v>2100</v>
      </c>
      <c r="B127" s="3459" t="s">
        <v>2763</v>
      </c>
      <c r="C127" s="3458">
        <v>188711925</v>
      </c>
      <c r="D127" s="1084" t="s">
        <v>2747</v>
      </c>
      <c r="E127" s="949">
        <v>1</v>
      </c>
      <c r="F127" s="950">
        <f t="shared" si="29"/>
        <v>75.453999999999994</v>
      </c>
      <c r="G127" s="1204">
        <v>50.917999999999999</v>
      </c>
      <c r="H127" s="951">
        <v>76.453999999999994</v>
      </c>
      <c r="I127" s="1205"/>
      <c r="J127" s="949"/>
      <c r="K127" s="951"/>
      <c r="L127" s="951"/>
      <c r="M127" s="1623"/>
      <c r="N127" s="2042" t="e">
        <f t="shared" si="42"/>
        <v>#DIV/0!</v>
      </c>
      <c r="O127" s="951"/>
      <c r="P127" s="1623"/>
      <c r="Q127" s="951"/>
      <c r="R127" s="1623"/>
      <c r="S127" s="3428" t="s">
        <v>2258</v>
      </c>
      <c r="T127" s="3451" t="s">
        <v>2989</v>
      </c>
      <c r="U127" s="3408" t="s">
        <v>1643</v>
      </c>
      <c r="V127" s="3408" t="s">
        <v>1580</v>
      </c>
      <c r="W127" s="3408" t="s">
        <v>324</v>
      </c>
      <c r="X127" s="3408" t="s">
        <v>433</v>
      </c>
      <c r="Y127" s="3408" t="s">
        <v>433</v>
      </c>
      <c r="Z127" s="954"/>
      <c r="AA127" s="954"/>
      <c r="AB127" s="3408" t="s">
        <v>2259</v>
      </c>
      <c r="AE127" s="84"/>
      <c r="AF127" s="84"/>
    </row>
    <row r="128" spans="1:32" ht="24" hidden="1" customHeight="1">
      <c r="A128" s="3440"/>
      <c r="B128" s="3460"/>
      <c r="C128" s="3461"/>
      <c r="D128" s="1085" t="s">
        <v>412</v>
      </c>
      <c r="E128" s="953">
        <v>429.791</v>
      </c>
      <c r="F128" s="950">
        <f t="shared" si="29"/>
        <v>-1</v>
      </c>
      <c r="G128" s="1221"/>
      <c r="H128" s="951"/>
      <c r="I128" s="1205"/>
      <c r="J128" s="949"/>
      <c r="K128" s="951"/>
      <c r="L128" s="951"/>
      <c r="M128" s="1623"/>
      <c r="N128" s="2042" t="e">
        <f t="shared" si="42"/>
        <v>#DIV/0!</v>
      </c>
      <c r="O128" s="951"/>
      <c r="P128" s="1623"/>
      <c r="Q128" s="951"/>
      <c r="R128" s="1623"/>
      <c r="S128" s="3429"/>
      <c r="T128" s="3452"/>
      <c r="U128" s="3409"/>
      <c r="V128" s="3409"/>
      <c r="W128" s="3409"/>
      <c r="X128" s="3409"/>
      <c r="Y128" s="3409"/>
      <c r="Z128" s="1037"/>
      <c r="AA128" s="1037"/>
      <c r="AB128" s="3409"/>
      <c r="AE128" s="84"/>
      <c r="AF128" s="84"/>
    </row>
    <row r="129" spans="1:32" ht="31.5" hidden="1" customHeight="1">
      <c r="A129" s="3440"/>
      <c r="B129" s="3460"/>
      <c r="C129" s="3461"/>
      <c r="D129" s="1085" t="s">
        <v>1358</v>
      </c>
      <c r="E129" s="953">
        <v>157.74199999999999</v>
      </c>
      <c r="F129" s="950">
        <f t="shared" si="29"/>
        <v>-0.8386035424934386</v>
      </c>
      <c r="G129" s="1221"/>
      <c r="H129" s="951">
        <v>25.459</v>
      </c>
      <c r="I129" s="1205"/>
      <c r="J129" s="949"/>
      <c r="K129" s="951"/>
      <c r="L129" s="1114"/>
      <c r="M129" s="1634"/>
      <c r="N129" s="2042" t="e">
        <f t="shared" si="42"/>
        <v>#DIV/0!</v>
      </c>
      <c r="O129" s="1114"/>
      <c r="P129" s="1634"/>
      <c r="Q129" s="1114"/>
      <c r="R129" s="1634"/>
      <c r="S129" s="3429"/>
      <c r="T129" s="3452"/>
      <c r="U129" s="3409"/>
      <c r="V129" s="3409"/>
      <c r="W129" s="3409"/>
      <c r="X129" s="3409"/>
      <c r="Y129" s="3409"/>
      <c r="Z129" s="1037"/>
      <c r="AA129" s="1037"/>
      <c r="AB129" s="3409"/>
      <c r="AE129" s="84"/>
      <c r="AF129" s="84"/>
    </row>
    <row r="130" spans="1:32" ht="30" hidden="1" customHeight="1">
      <c r="A130" s="3440"/>
      <c r="B130" s="3460"/>
      <c r="C130" s="3461"/>
      <c r="D130" s="1085" t="s">
        <v>246</v>
      </c>
      <c r="E130" s="953">
        <v>207.09</v>
      </c>
      <c r="F130" s="950">
        <f t="shared" si="29"/>
        <v>-0.87682650055531408</v>
      </c>
      <c r="G130" s="1221"/>
      <c r="H130" s="951">
        <v>25.507999999999999</v>
      </c>
      <c r="I130" s="1205"/>
      <c r="J130" s="949"/>
      <c r="K130" s="951"/>
      <c r="L130" s="951"/>
      <c r="M130" s="1623"/>
      <c r="N130" s="2042" t="e">
        <f t="shared" si="42"/>
        <v>#DIV/0!</v>
      </c>
      <c r="O130" s="951"/>
      <c r="P130" s="1623"/>
      <c r="Q130" s="951"/>
      <c r="R130" s="1623"/>
      <c r="S130" s="3429"/>
      <c r="T130" s="3452"/>
      <c r="U130" s="3409"/>
      <c r="V130" s="3409"/>
      <c r="W130" s="3409"/>
      <c r="X130" s="3409"/>
      <c r="Y130" s="3409"/>
      <c r="Z130" s="1037"/>
      <c r="AA130" s="1037"/>
      <c r="AB130" s="3409"/>
      <c r="AE130" s="84"/>
      <c r="AF130" s="84"/>
    </row>
    <row r="131" spans="1:32" ht="39" hidden="1" customHeight="1">
      <c r="A131" s="3441"/>
      <c r="B131" s="3460"/>
      <c r="C131" s="3462"/>
      <c r="D131" s="1086" t="s">
        <v>1067</v>
      </c>
      <c r="E131" s="953">
        <f>SUM(E127:E130)</f>
        <v>795.62300000000005</v>
      </c>
      <c r="F131" s="950">
        <f t="shared" si="29"/>
        <v>-0.83984751572038507</v>
      </c>
      <c r="G131" s="1221">
        <f t="shared" ref="G131:M131" si="62">SUM(G127:G130)</f>
        <v>50.917999999999999</v>
      </c>
      <c r="H131" s="951">
        <f>SUM(H127:H130)</f>
        <v>127.42099999999999</v>
      </c>
      <c r="I131" s="1205"/>
      <c r="J131" s="949"/>
      <c r="K131" s="951">
        <f>SUM(K127:K130)</f>
        <v>0</v>
      </c>
      <c r="L131" s="951">
        <f t="shared" si="62"/>
        <v>0</v>
      </c>
      <c r="M131" s="1623">
        <f t="shared" si="62"/>
        <v>0</v>
      </c>
      <c r="N131" s="2042" t="e">
        <f t="shared" si="42"/>
        <v>#DIV/0!</v>
      </c>
      <c r="O131" s="951"/>
      <c r="P131" s="1623"/>
      <c r="Q131" s="951"/>
      <c r="R131" s="1623"/>
      <c r="S131" s="3430"/>
      <c r="T131" s="3453"/>
      <c r="U131" s="3409"/>
      <c r="V131" s="3409"/>
      <c r="W131" s="3409"/>
      <c r="X131" s="3409"/>
      <c r="Y131" s="3409"/>
      <c r="Z131" s="1037"/>
      <c r="AA131" s="1037"/>
      <c r="AB131" s="3556"/>
      <c r="AE131" s="84"/>
      <c r="AF131" s="84"/>
    </row>
    <row r="132" spans="1:32" ht="62.4" customHeight="1">
      <c r="A132" s="663" t="s">
        <v>2133</v>
      </c>
      <c r="B132" s="663" t="s">
        <v>1282</v>
      </c>
      <c r="C132" s="697"/>
      <c r="D132" s="697"/>
      <c r="E132" s="715">
        <f>SUM(E135,E137,E139,E144,E157,E168)</f>
        <v>4076.2029999999995</v>
      </c>
      <c r="F132" s="897">
        <f t="shared" si="29"/>
        <v>-0.95975421243740799</v>
      </c>
      <c r="G132" s="1222">
        <f>SUM(G135,G137,G139,G144,G157,G168)</f>
        <v>203.05</v>
      </c>
      <c r="H132" s="690">
        <f>SUM(H135,H137,H139,H144,H157,H168)</f>
        <v>164.05</v>
      </c>
      <c r="I132" s="747">
        <f t="shared" si="57"/>
        <v>0.88357208168241375</v>
      </c>
      <c r="J132" s="690">
        <f>SUM(J135,J137,J139,J144,J157,J168)</f>
        <v>309</v>
      </c>
      <c r="K132" s="690">
        <f>SUM(K135,K137,K139,K144,K157,K168)</f>
        <v>360.57</v>
      </c>
      <c r="L132" s="690">
        <f>SUM(L135,L137,L139,L144,L157,L168)</f>
        <v>319</v>
      </c>
      <c r="M132" s="690">
        <f t="shared" ref="M132:Q132" si="63">SUM(M135,M137,M139,M144,M157,M168)</f>
        <v>359</v>
      </c>
      <c r="N132" s="690" t="e">
        <f t="shared" si="63"/>
        <v>#DIV/0!</v>
      </c>
      <c r="O132" s="690">
        <f t="shared" si="63"/>
        <v>1523</v>
      </c>
      <c r="P132" s="690">
        <f t="shared" si="63"/>
        <v>1523</v>
      </c>
      <c r="Q132" s="690">
        <f t="shared" si="63"/>
        <v>623</v>
      </c>
      <c r="R132" s="1495">
        <f>SUM(R135,R137,R139,R144,R157,R168)</f>
        <v>623</v>
      </c>
      <c r="S132" s="1223" t="s">
        <v>991</v>
      </c>
      <c r="T132" s="663"/>
      <c r="U132" s="663" t="s">
        <v>4729</v>
      </c>
      <c r="V132" s="663" t="s">
        <v>2261</v>
      </c>
      <c r="W132" s="663"/>
      <c r="X132" s="663">
        <v>3</v>
      </c>
      <c r="Y132" s="663">
        <v>3</v>
      </c>
      <c r="Z132" s="663">
        <v>3</v>
      </c>
      <c r="AA132" s="663">
        <v>3</v>
      </c>
      <c r="AB132" s="663" t="s">
        <v>2261</v>
      </c>
      <c r="AE132" s="84"/>
      <c r="AF132" s="84"/>
    </row>
    <row r="133" spans="1:32" ht="42" customHeight="1">
      <c r="A133" s="3439" t="s">
        <v>4076</v>
      </c>
      <c r="B133" s="3380" t="s">
        <v>3885</v>
      </c>
      <c r="C133" s="3391">
        <v>188711925</v>
      </c>
      <c r="D133" s="748" t="s">
        <v>470</v>
      </c>
      <c r="E133" s="749">
        <v>0</v>
      </c>
      <c r="F133" s="914"/>
      <c r="G133" s="1202"/>
      <c r="H133" s="722"/>
      <c r="I133" s="1014" t="e">
        <f t="shared" si="57"/>
        <v>#DIV/0!</v>
      </c>
      <c r="J133" s="720"/>
      <c r="K133" s="722"/>
      <c r="L133" s="722"/>
      <c r="M133" s="1496">
        <f>106+10</f>
        <v>116</v>
      </c>
      <c r="N133" s="2055"/>
      <c r="O133" s="722">
        <f>P133</f>
        <v>1000</v>
      </c>
      <c r="P133" s="1496">
        <v>1000</v>
      </c>
      <c r="Q133" s="1818">
        <f>R133</f>
        <v>500</v>
      </c>
      <c r="R133" s="1496">
        <v>500</v>
      </c>
      <c r="S133" s="3386"/>
      <c r="T133" s="3427" t="s">
        <v>4228</v>
      </c>
      <c r="U133" s="2942" t="s">
        <v>1644</v>
      </c>
      <c r="V133" s="2942" t="s">
        <v>4079</v>
      </c>
      <c r="W133" s="3470"/>
      <c r="X133" s="3470"/>
      <c r="Y133" s="2942" t="s">
        <v>324</v>
      </c>
      <c r="Z133" s="2903" t="s">
        <v>433</v>
      </c>
      <c r="AA133" s="2903" t="s">
        <v>433</v>
      </c>
      <c r="AB133" s="3558"/>
      <c r="AE133" s="84"/>
      <c r="AF133" s="84"/>
    </row>
    <row r="134" spans="1:32" ht="42" customHeight="1">
      <c r="A134" s="3439"/>
      <c r="B134" s="3380"/>
      <c r="C134" s="3391"/>
      <c r="D134" s="741" t="s">
        <v>2747</v>
      </c>
      <c r="E134" s="749"/>
      <c r="F134" s="914"/>
      <c r="G134" s="1202"/>
      <c r="H134" s="722"/>
      <c r="I134" s="1014"/>
      <c r="J134" s="720"/>
      <c r="K134" s="722"/>
      <c r="L134" s="722">
        <v>116</v>
      </c>
      <c r="M134" s="1496"/>
      <c r="N134" s="2055"/>
      <c r="O134" s="722"/>
      <c r="P134" s="1496"/>
      <c r="Q134" s="1818"/>
      <c r="R134" s="1496"/>
      <c r="S134" s="3387"/>
      <c r="T134" s="3376"/>
      <c r="U134" s="2943"/>
      <c r="V134" s="2943"/>
      <c r="W134" s="3471"/>
      <c r="X134" s="3471"/>
      <c r="Y134" s="2943"/>
      <c r="Z134" s="2904"/>
      <c r="AA134" s="2904"/>
      <c r="AB134" s="3559"/>
      <c r="AE134" s="84"/>
      <c r="AF134" s="84"/>
    </row>
    <row r="135" spans="1:32" ht="42" customHeight="1">
      <c r="A135" s="3379"/>
      <c r="B135" s="3381">
        <f>SUM(B133:B133)</f>
        <v>0</v>
      </c>
      <c r="C135" s="3392">
        <f>SUM(C133:C133)</f>
        <v>188711925</v>
      </c>
      <c r="D135" s="742" t="s">
        <v>1067</v>
      </c>
      <c r="E135" s="726">
        <f>E133</f>
        <v>0</v>
      </c>
      <c r="F135" s="911"/>
      <c r="G135" s="1198">
        <f t="shared" ref="G135:H135" si="64">G133</f>
        <v>0</v>
      </c>
      <c r="H135" s="728">
        <f t="shared" si="64"/>
        <v>0</v>
      </c>
      <c r="I135" s="729" t="e">
        <f t="shared" si="57"/>
        <v>#DIV/0!</v>
      </c>
      <c r="J135" s="726"/>
      <c r="K135" s="728"/>
      <c r="L135" s="728">
        <f>SUM(L133,L134)</f>
        <v>116</v>
      </c>
      <c r="M135" s="1464">
        <f>M133</f>
        <v>116</v>
      </c>
      <c r="N135" s="2056"/>
      <c r="O135" s="728">
        <f>O133</f>
        <v>1000</v>
      </c>
      <c r="P135" s="1464">
        <f>P133</f>
        <v>1000</v>
      </c>
      <c r="Q135" s="728">
        <f>R135</f>
        <v>500</v>
      </c>
      <c r="R135" s="1464">
        <f>R133</f>
        <v>500</v>
      </c>
      <c r="S135" s="3398"/>
      <c r="T135" s="3389"/>
      <c r="U135" s="2943"/>
      <c r="V135" s="2943"/>
      <c r="W135" s="3471"/>
      <c r="X135" s="3471"/>
      <c r="Y135" s="2943"/>
      <c r="Z135" s="2905"/>
      <c r="AA135" s="2905"/>
      <c r="AB135" s="3560"/>
      <c r="AE135" s="84"/>
      <c r="AF135" s="84"/>
    </row>
    <row r="136" spans="1:32" ht="42" hidden="1" customHeight="1">
      <c r="A136" s="3575" t="s">
        <v>2101</v>
      </c>
      <c r="B136" s="3577" t="s">
        <v>1283</v>
      </c>
      <c r="C136" s="3431">
        <v>188711925</v>
      </c>
      <c r="D136" s="1230" t="s">
        <v>470</v>
      </c>
      <c r="E136" s="1226">
        <v>0</v>
      </c>
      <c r="F136" s="1224"/>
      <c r="G136" s="1228"/>
      <c r="H136" s="1225"/>
      <c r="I136" s="747" t="e">
        <f t="shared" si="57"/>
        <v>#DIV/0!</v>
      </c>
      <c r="J136" s="1226"/>
      <c r="K136" s="1225"/>
      <c r="L136" s="1225"/>
      <c r="M136" s="1635"/>
      <c r="N136" s="2042" t="e">
        <f t="shared" si="42"/>
        <v>#DIV/0!</v>
      </c>
      <c r="O136" s="1225"/>
      <c r="P136" s="1635"/>
      <c r="Q136" s="1225"/>
      <c r="R136" s="1635"/>
      <c r="S136" s="1231"/>
      <c r="T136" s="3433" t="s">
        <v>2440</v>
      </c>
      <c r="U136" s="3509" t="s">
        <v>1645</v>
      </c>
      <c r="V136" s="3509"/>
      <c r="W136" s="3509"/>
      <c r="X136" s="3509"/>
      <c r="Y136" s="3509"/>
      <c r="Z136" s="1227"/>
      <c r="AA136" s="1227"/>
      <c r="AB136" s="3561"/>
      <c r="AE136" s="84"/>
      <c r="AF136" s="84"/>
    </row>
    <row r="137" spans="1:32" ht="42" hidden="1" customHeight="1">
      <c r="A137" s="3576"/>
      <c r="B137" s="3578">
        <f>SUM(B136:B136)</f>
        <v>0</v>
      </c>
      <c r="C137" s="3432">
        <f>SUM(C136:C136)</f>
        <v>188711925</v>
      </c>
      <c r="D137" s="1232" t="s">
        <v>1067</v>
      </c>
      <c r="E137" s="1233">
        <f>E136</f>
        <v>0</v>
      </c>
      <c r="F137" s="1234"/>
      <c r="G137" s="1235">
        <f t="shared" ref="G137:M137" si="65">G136</f>
        <v>0</v>
      </c>
      <c r="H137" s="1236">
        <f t="shared" si="65"/>
        <v>0</v>
      </c>
      <c r="I137" s="1237" t="e">
        <f t="shared" si="57"/>
        <v>#DIV/0!</v>
      </c>
      <c r="J137" s="1233"/>
      <c r="K137" s="1236">
        <f t="shared" si="65"/>
        <v>0</v>
      </c>
      <c r="L137" s="1236">
        <f t="shared" si="65"/>
        <v>0</v>
      </c>
      <c r="M137" s="1636">
        <f t="shared" si="65"/>
        <v>0</v>
      </c>
      <c r="N137" s="2042" t="e">
        <f t="shared" si="42"/>
        <v>#DIV/0!</v>
      </c>
      <c r="O137" s="1236"/>
      <c r="P137" s="1636"/>
      <c r="Q137" s="1236"/>
      <c r="R137" s="1636"/>
      <c r="S137" s="1238"/>
      <c r="T137" s="3434"/>
      <c r="U137" s="3510"/>
      <c r="V137" s="3510"/>
      <c r="W137" s="3510"/>
      <c r="X137" s="3510"/>
      <c r="Y137" s="3510"/>
      <c r="Z137" s="1229"/>
      <c r="AA137" s="1229"/>
      <c r="AB137" s="3562"/>
      <c r="AE137" s="84"/>
      <c r="AF137" s="84"/>
    </row>
    <row r="138" spans="1:32" ht="42" customHeight="1">
      <c r="A138" s="2879" t="s">
        <v>2102</v>
      </c>
      <c r="B138" s="2703" t="s">
        <v>1578</v>
      </c>
      <c r="C138" s="2700">
        <v>188711925</v>
      </c>
      <c r="D138" s="706" t="s">
        <v>470</v>
      </c>
      <c r="E138" s="720">
        <v>12</v>
      </c>
      <c r="F138" s="914">
        <f t="shared" si="29"/>
        <v>5.666666666666667</v>
      </c>
      <c r="G138" s="720">
        <v>60</v>
      </c>
      <c r="H138" s="722">
        <v>80</v>
      </c>
      <c r="I138" s="1014">
        <f t="shared" si="57"/>
        <v>0.44999999999999996</v>
      </c>
      <c r="J138" s="720">
        <f>SUM(J140,J141)</f>
        <v>116</v>
      </c>
      <c r="K138" s="722">
        <f>SUM(K140,K141,K142)</f>
        <v>90</v>
      </c>
      <c r="L138" s="722">
        <f>SUM(L140,L141,L142)</f>
        <v>30</v>
      </c>
      <c r="M138" s="1496">
        <f>SUM(M140,M141)</f>
        <v>120</v>
      </c>
      <c r="N138" s="2055">
        <f t="shared" si="42"/>
        <v>-0.66666666666666663</v>
      </c>
      <c r="O138" s="722">
        <f t="shared" ref="O138:R138" si="66">SUM(O140,O141,O142)</f>
        <v>400</v>
      </c>
      <c r="P138" s="1496">
        <f t="shared" si="66"/>
        <v>400</v>
      </c>
      <c r="Q138" s="722">
        <f t="shared" si="66"/>
        <v>0</v>
      </c>
      <c r="R138" s="1496">
        <f t="shared" si="66"/>
        <v>0</v>
      </c>
      <c r="S138" s="2871" t="s">
        <v>2262</v>
      </c>
      <c r="T138" s="2704" t="s">
        <v>4703</v>
      </c>
      <c r="U138" s="2694" t="s">
        <v>1646</v>
      </c>
      <c r="V138" s="2694" t="s">
        <v>2439</v>
      </c>
      <c r="W138" s="2694" t="s">
        <v>324</v>
      </c>
      <c r="X138" s="2694" t="s">
        <v>324</v>
      </c>
      <c r="Y138" s="2694" t="s">
        <v>433</v>
      </c>
      <c r="Z138" s="2694" t="s">
        <v>324</v>
      </c>
      <c r="AA138" s="2694" t="s">
        <v>324</v>
      </c>
      <c r="AB138" s="2694" t="s">
        <v>2260</v>
      </c>
      <c r="AE138" s="84"/>
      <c r="AF138" s="84"/>
    </row>
    <row r="139" spans="1:32" ht="39" customHeight="1">
      <c r="A139" s="2879"/>
      <c r="B139" s="2703">
        <f>SUM(B138:B138)</f>
        <v>0</v>
      </c>
      <c r="C139" s="2700">
        <f>SUM(C138:C138)</f>
        <v>188711925</v>
      </c>
      <c r="D139" s="725" t="s">
        <v>1067</v>
      </c>
      <c r="E139" s="726">
        <f>E138</f>
        <v>12</v>
      </c>
      <c r="F139" s="911">
        <f t="shared" si="29"/>
        <v>5.666666666666667</v>
      </c>
      <c r="G139" s="726">
        <f t="shared" ref="G139:R139" si="67">G138</f>
        <v>60</v>
      </c>
      <c r="H139" s="728">
        <f t="shared" si="67"/>
        <v>80</v>
      </c>
      <c r="I139" s="729">
        <f t="shared" si="57"/>
        <v>0.44999999999999996</v>
      </c>
      <c r="J139" s="726">
        <f t="shared" si="67"/>
        <v>116</v>
      </c>
      <c r="K139" s="728">
        <f t="shared" si="67"/>
        <v>90</v>
      </c>
      <c r="L139" s="728">
        <f t="shared" si="67"/>
        <v>30</v>
      </c>
      <c r="M139" s="1464">
        <f t="shared" si="67"/>
        <v>120</v>
      </c>
      <c r="N139" s="2056">
        <f t="shared" si="42"/>
        <v>-0.66666666666666663</v>
      </c>
      <c r="O139" s="728">
        <f t="shared" si="67"/>
        <v>400</v>
      </c>
      <c r="P139" s="1464">
        <f t="shared" si="67"/>
        <v>400</v>
      </c>
      <c r="Q139" s="728">
        <f t="shared" si="67"/>
        <v>0</v>
      </c>
      <c r="R139" s="1464">
        <f t="shared" si="67"/>
        <v>0</v>
      </c>
      <c r="S139" s="2871"/>
      <c r="T139" s="2734"/>
      <c r="U139" s="2694"/>
      <c r="V139" s="2694"/>
      <c r="W139" s="2694"/>
      <c r="X139" s="2694"/>
      <c r="Y139" s="2694"/>
      <c r="Z139" s="2694"/>
      <c r="AA139" s="2694"/>
      <c r="AB139" s="2694"/>
      <c r="AE139" s="84"/>
      <c r="AF139" s="84"/>
    </row>
    <row r="140" spans="1:32" ht="73.95" hidden="1" customHeight="1">
      <c r="A140" s="1471" t="s">
        <v>3884</v>
      </c>
      <c r="B140" s="1472" t="s">
        <v>3146</v>
      </c>
      <c r="C140" s="976"/>
      <c r="D140" s="700"/>
      <c r="E140" s="755"/>
      <c r="F140" s="1180"/>
      <c r="G140" s="755"/>
      <c r="H140" s="737"/>
      <c r="I140" s="733"/>
      <c r="J140" s="734">
        <v>56</v>
      </c>
      <c r="K140" s="681">
        <v>30</v>
      </c>
      <c r="L140" s="681">
        <v>30</v>
      </c>
      <c r="M140" s="1470">
        <v>60</v>
      </c>
      <c r="N140" s="2044">
        <f t="shared" si="42"/>
        <v>0</v>
      </c>
      <c r="O140" s="681">
        <f>P140</f>
        <v>400</v>
      </c>
      <c r="P140" s="1470">
        <v>400</v>
      </c>
      <c r="Q140" s="681">
        <v>0</v>
      </c>
      <c r="R140" s="1470">
        <v>0</v>
      </c>
      <c r="S140" s="737"/>
      <c r="T140" s="681"/>
      <c r="U140" s="693"/>
      <c r="V140" s="693"/>
      <c r="W140" s="693"/>
      <c r="X140" s="693"/>
      <c r="Y140" s="693"/>
      <c r="Z140" s="693"/>
      <c r="AA140" s="693"/>
      <c r="AB140" s="693"/>
      <c r="AE140" s="84"/>
      <c r="AF140" s="84"/>
    </row>
    <row r="141" spans="1:32" ht="51" hidden="1" customHeight="1">
      <c r="A141" s="693" t="s">
        <v>3505</v>
      </c>
      <c r="B141" s="665" t="s">
        <v>3147</v>
      </c>
      <c r="C141" s="976"/>
      <c r="D141" s="700"/>
      <c r="E141" s="755"/>
      <c r="F141" s="1180"/>
      <c r="G141" s="755"/>
      <c r="H141" s="737"/>
      <c r="I141" s="733"/>
      <c r="J141" s="734">
        <v>60</v>
      </c>
      <c r="K141" s="681">
        <v>50</v>
      </c>
      <c r="L141" s="681">
        <v>0</v>
      </c>
      <c r="M141" s="1470">
        <v>60</v>
      </c>
      <c r="N141" s="2044">
        <f t="shared" si="42"/>
        <v>-1</v>
      </c>
      <c r="O141" s="681"/>
      <c r="P141" s="1470"/>
      <c r="Q141" s="681"/>
      <c r="R141" s="1470"/>
      <c r="S141" s="737"/>
      <c r="T141" s="681"/>
      <c r="U141" s="693"/>
      <c r="V141" s="693"/>
      <c r="W141" s="693"/>
      <c r="X141" s="693"/>
      <c r="Y141" s="693"/>
      <c r="Z141" s="693"/>
      <c r="AA141" s="693"/>
      <c r="AB141" s="693"/>
      <c r="AE141" s="84"/>
      <c r="AF141" s="84"/>
    </row>
    <row r="142" spans="1:32" ht="36" hidden="1" customHeight="1">
      <c r="A142" s="913"/>
      <c r="B142" s="665" t="s">
        <v>3506</v>
      </c>
      <c r="C142" s="976"/>
      <c r="D142" s="700"/>
      <c r="E142" s="755"/>
      <c r="F142" s="1180"/>
      <c r="G142" s="755"/>
      <c r="H142" s="737"/>
      <c r="I142" s="733"/>
      <c r="J142" s="734"/>
      <c r="K142" s="681">
        <v>10</v>
      </c>
      <c r="L142" s="681"/>
      <c r="M142" s="1470"/>
      <c r="N142" s="2044">
        <f t="shared" si="42"/>
        <v>-1</v>
      </c>
      <c r="O142" s="681"/>
      <c r="P142" s="1470"/>
      <c r="Q142" s="681"/>
      <c r="R142" s="1470"/>
      <c r="S142" s="737"/>
      <c r="T142" s="734" t="s">
        <v>4097</v>
      </c>
      <c r="U142" s="693"/>
      <c r="V142" s="693"/>
      <c r="W142" s="693"/>
      <c r="X142" s="693"/>
      <c r="Y142" s="693"/>
      <c r="Z142" s="693"/>
      <c r="AA142" s="693"/>
      <c r="AB142" s="693"/>
      <c r="AE142" s="84"/>
      <c r="AF142" s="84"/>
    </row>
    <row r="143" spans="1:32" s="271" customFormat="1" ht="35.4" customHeight="1">
      <c r="A143" s="3581" t="s">
        <v>2103</v>
      </c>
      <c r="B143" s="3580" t="s">
        <v>1284</v>
      </c>
      <c r="C143" s="3579">
        <v>188711925</v>
      </c>
      <c r="D143" s="1239" t="s">
        <v>470</v>
      </c>
      <c r="E143" s="1240">
        <f>SUM(E145,E148)</f>
        <v>0</v>
      </c>
      <c r="F143" s="1241" t="e">
        <f t="shared" si="29"/>
        <v>#DIV/0!</v>
      </c>
      <c r="G143" s="1240">
        <f>SUM(G145,G148)</f>
        <v>0</v>
      </c>
      <c r="H143" s="1062">
        <f t="shared" ref="H143" si="68">SUM(H145,H148)</f>
        <v>0</v>
      </c>
      <c r="I143" s="1014"/>
      <c r="J143" s="720">
        <f>10+60</f>
        <v>70</v>
      </c>
      <c r="K143" s="1062">
        <f>SUM(K145,K148,K151,K152,K153,K154)</f>
        <v>122</v>
      </c>
      <c r="L143" s="722">
        <f>L153</f>
        <v>50</v>
      </c>
      <c r="M143" s="1619">
        <v>0</v>
      </c>
      <c r="N143" s="2055">
        <f t="shared" si="42"/>
        <v>-0.5901639344262295</v>
      </c>
      <c r="O143" s="1062">
        <f t="shared" ref="O143:R143" si="69">SUM(O145,O148,O151,O152,O153)</f>
        <v>0</v>
      </c>
      <c r="P143" s="1619">
        <f t="shared" si="69"/>
        <v>0</v>
      </c>
      <c r="Q143" s="1062">
        <f t="shared" si="69"/>
        <v>0</v>
      </c>
      <c r="R143" s="1619">
        <f t="shared" si="69"/>
        <v>0</v>
      </c>
      <c r="S143" s="1062" t="s">
        <v>2258</v>
      </c>
      <c r="T143" s="2902" t="s">
        <v>3500</v>
      </c>
      <c r="U143" s="2935" t="s">
        <v>1647</v>
      </c>
      <c r="V143" s="2935" t="s">
        <v>336</v>
      </c>
      <c r="W143" s="2935" t="s">
        <v>433</v>
      </c>
      <c r="X143" s="2935" t="s">
        <v>324</v>
      </c>
      <c r="Y143" s="2935" t="s">
        <v>324</v>
      </c>
      <c r="Z143" s="3563" t="s">
        <v>324</v>
      </c>
      <c r="AA143" s="3563" t="s">
        <v>324</v>
      </c>
      <c r="AB143" s="2935" t="s">
        <v>2259</v>
      </c>
    </row>
    <row r="144" spans="1:32" s="271" customFormat="1" ht="42" customHeight="1">
      <c r="A144" s="3581"/>
      <c r="B144" s="3580">
        <f>SUM(B143:B143)</f>
        <v>0</v>
      </c>
      <c r="C144" s="3579">
        <f>SUM(C143:C143)</f>
        <v>188711925</v>
      </c>
      <c r="D144" s="1242" t="s">
        <v>1067</v>
      </c>
      <c r="E144" s="1075">
        <f>E143</f>
        <v>0</v>
      </c>
      <c r="F144" s="1243" t="e">
        <f t="shared" si="29"/>
        <v>#DIV/0!</v>
      </c>
      <c r="G144" s="1075">
        <f>G143</f>
        <v>0</v>
      </c>
      <c r="H144" s="728">
        <f t="shared" ref="H144:R144" si="70">H143</f>
        <v>0</v>
      </c>
      <c r="I144" s="728">
        <f t="shared" si="70"/>
        <v>0</v>
      </c>
      <c r="J144" s="728">
        <f t="shared" si="70"/>
        <v>70</v>
      </c>
      <c r="K144" s="728">
        <f t="shared" si="70"/>
        <v>122</v>
      </c>
      <c r="L144" s="728">
        <f t="shared" si="70"/>
        <v>50</v>
      </c>
      <c r="M144" s="1464">
        <f t="shared" si="70"/>
        <v>0</v>
      </c>
      <c r="N144" s="2056">
        <f t="shared" si="42"/>
        <v>-0.5901639344262295</v>
      </c>
      <c r="O144" s="728">
        <f t="shared" si="70"/>
        <v>0</v>
      </c>
      <c r="P144" s="1464">
        <f t="shared" si="70"/>
        <v>0</v>
      </c>
      <c r="Q144" s="728">
        <f t="shared" si="70"/>
        <v>0</v>
      </c>
      <c r="R144" s="1464">
        <f t="shared" si="70"/>
        <v>0</v>
      </c>
      <c r="S144" s="1062"/>
      <c r="T144" s="3517"/>
      <c r="U144" s="2935"/>
      <c r="V144" s="2935"/>
      <c r="W144" s="2935"/>
      <c r="X144" s="2935"/>
      <c r="Y144" s="2935"/>
      <c r="Z144" s="3564"/>
      <c r="AA144" s="3564"/>
      <c r="AB144" s="2935"/>
    </row>
    <row r="145" spans="1:32" s="270" customFormat="1" ht="30" hidden="1" customHeight="1">
      <c r="A145" s="3442"/>
      <c r="B145" s="2826" t="s">
        <v>3499</v>
      </c>
      <c r="C145" s="2726"/>
      <c r="D145" s="687" t="s">
        <v>470</v>
      </c>
      <c r="E145" s="757"/>
      <c r="F145" s="915"/>
      <c r="G145" s="1134"/>
      <c r="H145" s="681"/>
      <c r="I145" s="778"/>
      <c r="J145" s="734"/>
      <c r="K145" s="681">
        <v>0</v>
      </c>
      <c r="L145" s="681"/>
      <c r="M145" s="1470"/>
      <c r="N145" s="2044" t="e">
        <f t="shared" si="42"/>
        <v>#DIV/0!</v>
      </c>
      <c r="O145" s="681"/>
      <c r="P145" s="1470"/>
      <c r="Q145" s="681"/>
      <c r="R145" s="1470"/>
      <c r="S145" s="3443"/>
      <c r="T145" s="3435"/>
      <c r="U145" s="3515"/>
      <c r="V145" s="3515"/>
      <c r="W145" s="3515"/>
      <c r="X145" s="3515"/>
      <c r="Y145" s="3515"/>
      <c r="Z145" s="1009"/>
      <c r="AA145" s="1009"/>
      <c r="AB145" s="3515"/>
    </row>
    <row r="146" spans="1:32" s="270" customFormat="1" ht="24.6" hidden="1" customHeight="1">
      <c r="A146" s="3442"/>
      <c r="B146" s="2826"/>
      <c r="C146" s="2726"/>
      <c r="D146" s="687"/>
      <c r="E146" s="757"/>
      <c r="F146" s="915"/>
      <c r="G146" s="1134"/>
      <c r="H146" s="681"/>
      <c r="I146" s="778"/>
      <c r="J146" s="734"/>
      <c r="K146" s="681"/>
      <c r="L146" s="681"/>
      <c r="M146" s="1470"/>
      <c r="N146" s="2044" t="e">
        <f t="shared" si="42"/>
        <v>#DIV/0!</v>
      </c>
      <c r="O146" s="681"/>
      <c r="P146" s="1470"/>
      <c r="Q146" s="681"/>
      <c r="R146" s="1470"/>
      <c r="S146" s="3444"/>
      <c r="T146" s="3436"/>
      <c r="U146" s="3516"/>
      <c r="V146" s="3516"/>
      <c r="W146" s="3516"/>
      <c r="X146" s="3516"/>
      <c r="Y146" s="3516"/>
      <c r="Z146" s="902"/>
      <c r="AA146" s="902"/>
      <c r="AB146" s="3516"/>
    </row>
    <row r="147" spans="1:32" s="270" customFormat="1" ht="24.6" hidden="1" customHeight="1">
      <c r="A147" s="3442"/>
      <c r="B147" s="2826"/>
      <c r="C147" s="2726"/>
      <c r="D147" s="780" t="s">
        <v>1067</v>
      </c>
      <c r="E147" s="757">
        <f>SUM(E145:E146)</f>
        <v>0</v>
      </c>
      <c r="F147" s="915" t="e">
        <f t="shared" ref="F147" si="71">(H147-E147)/E147</f>
        <v>#DIV/0!</v>
      </c>
      <c r="G147" s="1134">
        <f t="shared" ref="G147:K147" si="72">SUM(G145:G146)</f>
        <v>0</v>
      </c>
      <c r="H147" s="681">
        <f t="shared" si="72"/>
        <v>0</v>
      </c>
      <c r="I147" s="778"/>
      <c r="J147" s="734"/>
      <c r="K147" s="681">
        <f t="shared" si="72"/>
        <v>0</v>
      </c>
      <c r="L147" s="681"/>
      <c r="M147" s="1470"/>
      <c r="N147" s="2044" t="e">
        <f t="shared" si="42"/>
        <v>#DIV/0!</v>
      </c>
      <c r="O147" s="681"/>
      <c r="P147" s="1470"/>
      <c r="Q147" s="681"/>
      <c r="R147" s="1470"/>
      <c r="S147" s="3445"/>
      <c r="T147" s="3437"/>
      <c r="U147" s="3516"/>
      <c r="V147" s="3516"/>
      <c r="W147" s="3516"/>
      <c r="X147" s="3516"/>
      <c r="Y147" s="3516"/>
      <c r="Z147" s="902"/>
      <c r="AA147" s="902"/>
      <c r="AB147" s="3565"/>
    </row>
    <row r="148" spans="1:32" s="270" customFormat="1" ht="24.6" hidden="1" customHeight="1">
      <c r="A148" s="3442"/>
      <c r="B148" s="2826" t="s">
        <v>2853</v>
      </c>
      <c r="C148" s="2726">
        <v>188711925</v>
      </c>
      <c r="D148" s="687" t="s">
        <v>470</v>
      </c>
      <c r="E148" s="757"/>
      <c r="F148" s="915"/>
      <c r="G148" s="1134"/>
      <c r="H148" s="681"/>
      <c r="I148" s="778"/>
      <c r="J148" s="734"/>
      <c r="K148" s="681">
        <v>0</v>
      </c>
      <c r="L148" s="681"/>
      <c r="M148" s="1470"/>
      <c r="N148" s="2044" t="e">
        <f t="shared" si="42"/>
        <v>#DIV/0!</v>
      </c>
      <c r="O148" s="681"/>
      <c r="P148" s="1470"/>
      <c r="Q148" s="681"/>
      <c r="R148" s="1470"/>
      <c r="S148" s="3443"/>
      <c r="T148" s="3435"/>
      <c r="U148" s="3515"/>
      <c r="V148" s="3515"/>
      <c r="W148" s="3515"/>
      <c r="X148" s="3515"/>
      <c r="Y148" s="3515"/>
      <c r="Z148" s="1009"/>
      <c r="AA148" s="1009"/>
      <c r="AB148" s="3515"/>
    </row>
    <row r="149" spans="1:32" s="270" customFormat="1" ht="24.6" hidden="1" customHeight="1">
      <c r="A149" s="3442"/>
      <c r="B149" s="2826"/>
      <c r="C149" s="2726"/>
      <c r="D149" s="687"/>
      <c r="E149" s="757"/>
      <c r="F149" s="915"/>
      <c r="G149" s="1134"/>
      <c r="H149" s="681"/>
      <c r="I149" s="778"/>
      <c r="J149" s="734"/>
      <c r="K149" s="681"/>
      <c r="L149" s="681"/>
      <c r="M149" s="1470"/>
      <c r="N149" s="2044" t="e">
        <f t="shared" si="42"/>
        <v>#DIV/0!</v>
      </c>
      <c r="O149" s="681"/>
      <c r="P149" s="1470"/>
      <c r="Q149" s="681"/>
      <c r="R149" s="1470"/>
      <c r="S149" s="3444"/>
      <c r="T149" s="3436"/>
      <c r="U149" s="3516"/>
      <c r="V149" s="3516"/>
      <c r="W149" s="3516"/>
      <c r="X149" s="3516"/>
      <c r="Y149" s="3516"/>
      <c r="Z149" s="902"/>
      <c r="AA149" s="902"/>
      <c r="AB149" s="3516"/>
    </row>
    <row r="150" spans="1:32" s="270" customFormat="1" ht="24.6" hidden="1" customHeight="1">
      <c r="A150" s="3442"/>
      <c r="B150" s="2826"/>
      <c r="C150" s="2726">
        <f>SUM(C148:C148)</f>
        <v>188711925</v>
      </c>
      <c r="D150" s="780" t="s">
        <v>1067</v>
      </c>
      <c r="E150" s="757">
        <f>SUM(E148:E149)</f>
        <v>0</v>
      </c>
      <c r="F150" s="915" t="e">
        <f t="shared" ref="F150" si="73">(H150-E150)/E150</f>
        <v>#DIV/0!</v>
      </c>
      <c r="G150" s="1134">
        <f t="shared" ref="G150:K150" si="74">SUM(G148:G149)</f>
        <v>0</v>
      </c>
      <c r="H150" s="681">
        <f t="shared" si="74"/>
        <v>0</v>
      </c>
      <c r="I150" s="778"/>
      <c r="J150" s="734"/>
      <c r="K150" s="681">
        <f t="shared" si="74"/>
        <v>0</v>
      </c>
      <c r="L150" s="681"/>
      <c r="M150" s="1470"/>
      <c r="N150" s="2044" t="e">
        <f t="shared" si="42"/>
        <v>#DIV/0!</v>
      </c>
      <c r="O150" s="681"/>
      <c r="P150" s="1470"/>
      <c r="Q150" s="681"/>
      <c r="R150" s="1470"/>
      <c r="S150" s="3445"/>
      <c r="T150" s="3437"/>
      <c r="U150" s="3516"/>
      <c r="V150" s="3516"/>
      <c r="W150" s="3516"/>
      <c r="X150" s="3516"/>
      <c r="Y150" s="3516"/>
      <c r="Z150" s="902"/>
      <c r="AA150" s="902"/>
      <c r="AB150" s="3565"/>
    </row>
    <row r="151" spans="1:32" s="270" customFormat="1" ht="27" hidden="1" customHeight="1">
      <c r="A151" s="926"/>
      <c r="B151" s="665" t="s">
        <v>3428</v>
      </c>
      <c r="C151" s="1024"/>
      <c r="D151" s="780"/>
      <c r="E151" s="757"/>
      <c r="F151" s="915"/>
      <c r="G151" s="1134"/>
      <c r="H151" s="681"/>
      <c r="I151" s="778"/>
      <c r="J151" s="734">
        <v>10</v>
      </c>
      <c r="K151" s="681">
        <v>10</v>
      </c>
      <c r="L151" s="681"/>
      <c r="M151" s="1470"/>
      <c r="N151" s="2044">
        <f t="shared" si="42"/>
        <v>-1</v>
      </c>
      <c r="O151" s="681"/>
      <c r="P151" s="1470"/>
      <c r="Q151" s="681"/>
      <c r="R151" s="1470"/>
      <c r="S151" s="1036"/>
      <c r="T151" s="1007"/>
      <c r="U151" s="902"/>
      <c r="V151" s="902"/>
      <c r="W151" s="902"/>
      <c r="X151" s="902"/>
      <c r="Y151" s="902"/>
      <c r="Z151" s="902"/>
      <c r="AA151" s="902"/>
      <c r="AB151" s="902"/>
    </row>
    <row r="152" spans="1:32" s="270" customFormat="1" ht="69" hidden="1" customHeight="1">
      <c r="A152" s="926"/>
      <c r="B152" s="665" t="s">
        <v>3230</v>
      </c>
      <c r="C152" s="1024"/>
      <c r="D152" s="780"/>
      <c r="E152" s="689"/>
      <c r="F152" s="756"/>
      <c r="G152" s="940"/>
      <c r="H152" s="681"/>
      <c r="I152" s="778"/>
      <c r="J152" s="734">
        <v>60</v>
      </c>
      <c r="K152" s="681">
        <v>60</v>
      </c>
      <c r="L152" s="681"/>
      <c r="M152" s="1470"/>
      <c r="N152" s="2044">
        <f t="shared" si="42"/>
        <v>-1</v>
      </c>
      <c r="O152" s="681"/>
      <c r="P152" s="1470"/>
      <c r="Q152" s="681"/>
      <c r="R152" s="1470"/>
      <c r="S152" s="1036"/>
      <c r="T152" s="1007"/>
      <c r="U152" s="902"/>
      <c r="V152" s="902"/>
      <c r="W152" s="902"/>
      <c r="X152" s="902"/>
      <c r="Y152" s="902"/>
      <c r="Z152" s="902"/>
      <c r="AA152" s="902"/>
      <c r="AB152" s="902"/>
    </row>
    <row r="153" spans="1:32" s="270" customFormat="1" ht="22.95" hidden="1" customHeight="1">
      <c r="A153" s="926"/>
      <c r="B153" s="1339" t="s">
        <v>3429</v>
      </c>
      <c r="C153" s="1024"/>
      <c r="D153" s="780"/>
      <c r="E153" s="689"/>
      <c r="F153" s="756"/>
      <c r="G153" s="940"/>
      <c r="H153" s="681"/>
      <c r="I153" s="778"/>
      <c r="J153" s="734"/>
      <c r="K153" s="681">
        <v>30</v>
      </c>
      <c r="L153" s="681">
        <v>50</v>
      </c>
      <c r="M153" s="1470"/>
      <c r="N153" s="2044">
        <f t="shared" si="42"/>
        <v>0.66666666666666663</v>
      </c>
      <c r="O153" s="681"/>
      <c r="P153" s="1470"/>
      <c r="Q153" s="681"/>
      <c r="R153" s="1470"/>
      <c r="S153" s="1036"/>
      <c r="T153" s="1007"/>
      <c r="U153" s="902"/>
      <c r="V153" s="902"/>
      <c r="W153" s="902"/>
      <c r="X153" s="902"/>
      <c r="Y153" s="902"/>
      <c r="Z153" s="902"/>
      <c r="AA153" s="902"/>
      <c r="AB153" s="902"/>
    </row>
    <row r="154" spans="1:32" s="270" customFormat="1" ht="38.25" hidden="1" customHeight="1">
      <c r="A154" s="926"/>
      <c r="B154" s="665" t="s">
        <v>3507</v>
      </c>
      <c r="C154" s="1024"/>
      <c r="D154" s="780"/>
      <c r="E154" s="689"/>
      <c r="F154" s="756"/>
      <c r="G154" s="940"/>
      <c r="H154" s="681"/>
      <c r="I154" s="778"/>
      <c r="J154" s="734"/>
      <c r="K154" s="681">
        <v>22</v>
      </c>
      <c r="L154" s="681"/>
      <c r="M154" s="1470"/>
      <c r="N154" s="2044">
        <f t="shared" si="42"/>
        <v>-1</v>
      </c>
      <c r="O154" s="681"/>
      <c r="P154" s="1470"/>
      <c r="Q154" s="681"/>
      <c r="R154" s="1470"/>
      <c r="S154" s="1036"/>
      <c r="T154" s="1007"/>
      <c r="U154" s="902"/>
      <c r="V154" s="902"/>
      <c r="W154" s="902"/>
      <c r="X154" s="902"/>
      <c r="Y154" s="902"/>
      <c r="Z154" s="902"/>
      <c r="AA154" s="902"/>
      <c r="AB154" s="902"/>
    </row>
    <row r="155" spans="1:32" ht="42.75" customHeight="1">
      <c r="A155" s="2879" t="s">
        <v>2104</v>
      </c>
      <c r="B155" s="2703" t="s">
        <v>1285</v>
      </c>
      <c r="C155" s="2700">
        <v>188711925</v>
      </c>
      <c r="D155" s="706" t="s">
        <v>470</v>
      </c>
      <c r="E155" s="720">
        <v>164.7</v>
      </c>
      <c r="F155" s="914">
        <f t="shared" si="29"/>
        <v>-0.58409228901032173</v>
      </c>
      <c r="G155" s="875">
        <v>137</v>
      </c>
      <c r="H155" s="722">
        <v>68.5</v>
      </c>
      <c r="I155" s="1014">
        <f t="shared" si="57"/>
        <v>0.79562043795620441</v>
      </c>
      <c r="J155" s="720">
        <f>SUM(J158,J159,J160,J161,J162)</f>
        <v>123</v>
      </c>
      <c r="K155" s="722">
        <f>SUM(K158,K159,K160,K161,K162)</f>
        <v>145.26999999999998</v>
      </c>
      <c r="L155" s="722">
        <f>SUM(L160,L161)</f>
        <v>123</v>
      </c>
      <c r="M155" s="1496">
        <f>SUM(M160,M161)</f>
        <v>123</v>
      </c>
      <c r="N155" s="2055">
        <f t="shared" si="42"/>
        <v>-0.15330075032697724</v>
      </c>
      <c r="O155" s="722">
        <f t="shared" ref="O155:R155" si="75">SUM(O160,O161)</f>
        <v>123</v>
      </c>
      <c r="P155" s="1496">
        <f t="shared" si="75"/>
        <v>123</v>
      </c>
      <c r="Q155" s="722">
        <f t="shared" si="75"/>
        <v>123</v>
      </c>
      <c r="R155" s="1496">
        <f t="shared" si="75"/>
        <v>123</v>
      </c>
      <c r="S155" s="2871" t="s">
        <v>2263</v>
      </c>
      <c r="T155" s="2704" t="s">
        <v>4229</v>
      </c>
      <c r="U155" s="2694" t="s">
        <v>1648</v>
      </c>
      <c r="V155" s="2694" t="s">
        <v>1581</v>
      </c>
      <c r="W155" s="2694" t="s">
        <v>1304</v>
      </c>
      <c r="X155" s="2694" t="s">
        <v>1304</v>
      </c>
      <c r="Y155" s="2694" t="s">
        <v>432</v>
      </c>
      <c r="Z155" s="2694" t="s">
        <v>432</v>
      </c>
      <c r="AA155" s="2694" t="s">
        <v>432</v>
      </c>
      <c r="AB155" s="2694" t="s">
        <v>2441</v>
      </c>
      <c r="AE155" s="84"/>
      <c r="AF155" s="84"/>
    </row>
    <row r="156" spans="1:32" ht="45.75" customHeight="1">
      <c r="A156" s="2879"/>
      <c r="B156" s="2703"/>
      <c r="C156" s="2700"/>
      <c r="D156" s="706" t="s">
        <v>1353</v>
      </c>
      <c r="E156" s="720">
        <v>4</v>
      </c>
      <c r="F156" s="914">
        <f t="shared" si="29"/>
        <v>1.375</v>
      </c>
      <c r="G156" s="875"/>
      <c r="H156" s="722">
        <f>H159+H158</f>
        <v>9.5</v>
      </c>
      <c r="I156" s="1014">
        <f t="shared" si="57"/>
        <v>-1</v>
      </c>
      <c r="J156" s="720"/>
      <c r="K156" s="722">
        <f>K173</f>
        <v>3.3</v>
      </c>
      <c r="L156" s="722"/>
      <c r="M156" s="1496"/>
      <c r="N156" s="2055">
        <f t="shared" si="42"/>
        <v>-1</v>
      </c>
      <c r="O156" s="722"/>
      <c r="P156" s="1496"/>
      <c r="Q156" s="722"/>
      <c r="R156" s="1496"/>
      <c r="S156" s="2871"/>
      <c r="T156" s="2704"/>
      <c r="U156" s="2694"/>
      <c r="V156" s="2694"/>
      <c r="W156" s="2694"/>
      <c r="X156" s="2694"/>
      <c r="Y156" s="2694"/>
      <c r="Z156" s="2694"/>
      <c r="AA156" s="2694"/>
      <c r="AB156" s="2694"/>
      <c r="AE156" s="84"/>
      <c r="AF156" s="84"/>
    </row>
    <row r="157" spans="1:32" ht="75" customHeight="1">
      <c r="A157" s="2879"/>
      <c r="B157" s="2703"/>
      <c r="C157" s="2700">
        <f>SUM(C155:C155)</f>
        <v>188711925</v>
      </c>
      <c r="D157" s="725" t="s">
        <v>1067</v>
      </c>
      <c r="E157" s="726">
        <f>SUM(E155:E156)</f>
        <v>168.7</v>
      </c>
      <c r="F157" s="911">
        <f t="shared" si="29"/>
        <v>-0.53764078245406044</v>
      </c>
      <c r="G157" s="1198">
        <f t="shared" ref="G157:R157" si="76">SUM(G155:G156)</f>
        <v>137</v>
      </c>
      <c r="H157" s="728">
        <f t="shared" si="76"/>
        <v>78</v>
      </c>
      <c r="I157" s="729">
        <f t="shared" si="57"/>
        <v>0.57692307692307687</v>
      </c>
      <c r="J157" s="726">
        <f t="shared" si="76"/>
        <v>123</v>
      </c>
      <c r="K157" s="728">
        <f t="shared" si="76"/>
        <v>148.57</v>
      </c>
      <c r="L157" s="728">
        <f t="shared" si="76"/>
        <v>123</v>
      </c>
      <c r="M157" s="1464">
        <f t="shared" si="76"/>
        <v>123</v>
      </c>
      <c r="N157" s="2056">
        <f t="shared" si="42"/>
        <v>-0.17210742410984717</v>
      </c>
      <c r="O157" s="728">
        <f t="shared" si="76"/>
        <v>123</v>
      </c>
      <c r="P157" s="1464">
        <f t="shared" si="76"/>
        <v>123</v>
      </c>
      <c r="Q157" s="728">
        <f t="shared" si="76"/>
        <v>123</v>
      </c>
      <c r="R157" s="1464">
        <f t="shared" si="76"/>
        <v>123</v>
      </c>
      <c r="S157" s="2871"/>
      <c r="T157" s="2734"/>
      <c r="U157" s="2694"/>
      <c r="V157" s="2694"/>
      <c r="W157" s="2694"/>
      <c r="X157" s="2694"/>
      <c r="Y157" s="2694"/>
      <c r="Z157" s="2694"/>
      <c r="AA157" s="2694"/>
      <c r="AB157" s="2694"/>
      <c r="AE157" s="84"/>
      <c r="AF157" s="84"/>
    </row>
    <row r="158" spans="1:32" ht="42" hidden="1" customHeight="1">
      <c r="A158" s="926"/>
      <c r="B158" s="665" t="s">
        <v>1521</v>
      </c>
      <c r="C158" s="976"/>
      <c r="D158" s="700"/>
      <c r="E158" s="755"/>
      <c r="F158" s="1180"/>
      <c r="G158" s="1216"/>
      <c r="H158" s="681">
        <v>5.6</v>
      </c>
      <c r="I158" s="733"/>
      <c r="J158" s="734"/>
      <c r="K158" s="737"/>
      <c r="L158" s="737"/>
      <c r="M158" s="1465"/>
      <c r="N158" s="2042" t="e">
        <f t="shared" ref="N158:N224" si="77">(L158-K158)/K158</f>
        <v>#DIV/0!</v>
      </c>
      <c r="O158" s="737"/>
      <c r="P158" s="1465"/>
      <c r="Q158" s="737"/>
      <c r="R158" s="1465"/>
      <c r="S158" s="1036"/>
      <c r="T158" s="686"/>
      <c r="U158" s="902"/>
      <c r="V158" s="688"/>
      <c r="W158" s="688"/>
      <c r="X158" s="688"/>
      <c r="Y158" s="925"/>
      <c r="Z158" s="925"/>
      <c r="AA158" s="925"/>
      <c r="AB158" s="688"/>
      <c r="AE158" s="84"/>
      <c r="AF158" s="84"/>
    </row>
    <row r="159" spans="1:32" ht="42" hidden="1" customHeight="1">
      <c r="A159" s="926"/>
      <c r="B159" s="665" t="s">
        <v>1522</v>
      </c>
      <c r="C159" s="976"/>
      <c r="D159" s="682" t="s">
        <v>1353</v>
      </c>
      <c r="E159" s="734"/>
      <c r="F159" s="906"/>
      <c r="G159" s="1199"/>
      <c r="H159" s="681">
        <v>3.9</v>
      </c>
      <c r="I159" s="733"/>
      <c r="J159" s="734"/>
      <c r="K159" s="737"/>
      <c r="L159" s="737"/>
      <c r="M159" s="1465"/>
      <c r="N159" s="2042" t="e">
        <f t="shared" si="77"/>
        <v>#DIV/0!</v>
      </c>
      <c r="O159" s="737"/>
      <c r="P159" s="1465"/>
      <c r="Q159" s="737"/>
      <c r="R159" s="1465"/>
      <c r="S159" s="1036"/>
      <c r="T159" s="686"/>
      <c r="U159" s="902"/>
      <c r="V159" s="688"/>
      <c r="W159" s="688"/>
      <c r="X159" s="688"/>
      <c r="Y159" s="925"/>
      <c r="Z159" s="925"/>
      <c r="AA159" s="925"/>
      <c r="AB159" s="688"/>
      <c r="AE159" s="84"/>
      <c r="AF159" s="84"/>
    </row>
    <row r="160" spans="1:32" ht="42" hidden="1" customHeight="1">
      <c r="A160" s="1471" t="s">
        <v>3164</v>
      </c>
      <c r="B160" s="1472" t="s">
        <v>3886</v>
      </c>
      <c r="C160" s="976"/>
      <c r="D160" s="682"/>
      <c r="E160" s="734"/>
      <c r="F160" s="906"/>
      <c r="G160" s="1199"/>
      <c r="H160" s="681"/>
      <c r="I160" s="778"/>
      <c r="J160" s="734">
        <v>100</v>
      </c>
      <c r="K160" s="681">
        <v>122.27</v>
      </c>
      <c r="L160" s="1776">
        <v>100</v>
      </c>
      <c r="M160" s="1470">
        <v>100</v>
      </c>
      <c r="N160" s="2043">
        <f t="shared" si="77"/>
        <v>-0.18213789155148438</v>
      </c>
      <c r="O160" s="1776">
        <v>100</v>
      </c>
      <c r="P160" s="1470">
        <v>100</v>
      </c>
      <c r="Q160" s="1776">
        <v>100</v>
      </c>
      <c r="R160" s="1470">
        <v>100</v>
      </c>
      <c r="S160" s="1282"/>
      <c r="T160" s="681"/>
      <c r="U160" s="902"/>
      <c r="V160" s="688"/>
      <c r="W160" s="688"/>
      <c r="X160" s="688"/>
      <c r="Y160" s="925"/>
      <c r="Z160" s="925"/>
      <c r="AA160" s="925"/>
      <c r="AB160" s="688"/>
      <c r="AE160" s="84"/>
      <c r="AF160" s="84"/>
    </row>
    <row r="161" spans="1:32" ht="42" hidden="1" customHeight="1">
      <c r="A161" s="1711" t="s">
        <v>3157</v>
      </c>
      <c r="B161" s="1472" t="s">
        <v>3839</v>
      </c>
      <c r="C161" s="1792"/>
      <c r="D161" s="1509"/>
      <c r="E161" s="1470"/>
      <c r="F161" s="1510"/>
      <c r="G161" s="1793"/>
      <c r="H161" s="1470"/>
      <c r="I161" s="1510"/>
      <c r="J161" s="1470">
        <v>23</v>
      </c>
      <c r="K161" s="1470">
        <v>23</v>
      </c>
      <c r="L161" s="1776">
        <v>23</v>
      </c>
      <c r="M161" s="1470">
        <v>23</v>
      </c>
      <c r="N161" s="2043">
        <f t="shared" si="77"/>
        <v>0</v>
      </c>
      <c r="O161" s="1776">
        <v>23</v>
      </c>
      <c r="P161" s="1470">
        <v>23</v>
      </c>
      <c r="Q161" s="1776">
        <v>23</v>
      </c>
      <c r="R161" s="1470">
        <v>23</v>
      </c>
      <c r="S161" s="1282"/>
      <c r="T161" s="734"/>
      <c r="U161" s="902"/>
      <c r="V161" s="688"/>
      <c r="W161" s="688"/>
      <c r="X161" s="688"/>
      <c r="Y161" s="925"/>
      <c r="Z161" s="925"/>
      <c r="AA161" s="925"/>
      <c r="AB161" s="688"/>
      <c r="AE161" s="84"/>
      <c r="AF161" s="84"/>
    </row>
    <row r="162" spans="1:32" ht="42" hidden="1" customHeight="1">
      <c r="A162" s="926"/>
      <c r="B162" s="665" t="s">
        <v>3244</v>
      </c>
      <c r="C162" s="976"/>
      <c r="D162" s="682"/>
      <c r="E162" s="734"/>
      <c r="F162" s="906"/>
      <c r="G162" s="1199"/>
      <c r="H162" s="681"/>
      <c r="I162" s="733"/>
      <c r="J162" s="755"/>
      <c r="K162" s="755"/>
      <c r="L162" s="755"/>
      <c r="M162" s="1465"/>
      <c r="N162" s="2044" t="e">
        <f t="shared" si="77"/>
        <v>#DIV/0!</v>
      </c>
      <c r="O162" s="755"/>
      <c r="P162" s="1465"/>
      <c r="Q162" s="755"/>
      <c r="R162" s="1465"/>
      <c r="S162" s="1036"/>
      <c r="T162" s="686"/>
      <c r="U162" s="902"/>
      <c r="V162" s="688"/>
      <c r="W162" s="688"/>
      <c r="X162" s="688"/>
      <c r="Y162" s="925"/>
      <c r="Z162" s="925"/>
      <c r="AA162" s="925"/>
      <c r="AB162" s="688"/>
      <c r="AE162" s="84"/>
      <c r="AF162" s="84"/>
    </row>
    <row r="163" spans="1:32" ht="25.2" hidden="1" customHeight="1">
      <c r="A163" s="3104" t="s">
        <v>2105</v>
      </c>
      <c r="B163" s="2725" t="s">
        <v>1286</v>
      </c>
      <c r="C163" s="2726">
        <v>188711925</v>
      </c>
      <c r="D163" s="687" t="s">
        <v>2747</v>
      </c>
      <c r="E163" s="757">
        <v>1132.616</v>
      </c>
      <c r="F163" s="915">
        <f t="shared" si="29"/>
        <v>-0.99465838377702598</v>
      </c>
      <c r="G163" s="1134">
        <v>6.05</v>
      </c>
      <c r="H163" s="689">
        <v>6.05</v>
      </c>
      <c r="I163" s="756"/>
      <c r="J163" s="757"/>
      <c r="K163" s="689"/>
      <c r="L163" s="689"/>
      <c r="M163" s="1484"/>
      <c r="N163" s="2044" t="e">
        <f t="shared" si="77"/>
        <v>#DIV/0!</v>
      </c>
      <c r="O163" s="689"/>
      <c r="P163" s="1484"/>
      <c r="Q163" s="689"/>
      <c r="R163" s="1484"/>
      <c r="S163" s="3428" t="s">
        <v>2248</v>
      </c>
      <c r="T163" s="2969" t="s">
        <v>2989</v>
      </c>
      <c r="U163" s="3408" t="s">
        <v>1649</v>
      </c>
      <c r="V163" s="2965" t="s">
        <v>1582</v>
      </c>
      <c r="W163" s="2965" t="s">
        <v>324</v>
      </c>
      <c r="X163" s="2965">
        <v>0</v>
      </c>
      <c r="Y163" s="2965">
        <v>0</v>
      </c>
      <c r="Z163" s="952"/>
      <c r="AA163" s="952"/>
      <c r="AB163" s="2965" t="s">
        <v>2249</v>
      </c>
      <c r="AE163" s="84"/>
      <c r="AF163" s="84"/>
    </row>
    <row r="164" spans="1:32" ht="25.2" hidden="1" customHeight="1">
      <c r="A164" s="3104"/>
      <c r="B164" s="2725"/>
      <c r="C164" s="2726"/>
      <c r="D164" s="687" t="s">
        <v>412</v>
      </c>
      <c r="E164" s="757">
        <v>126.94799999999999</v>
      </c>
      <c r="F164" s="915">
        <f t="shared" ref="F164:F269" si="78">(H164-E164)/E164</f>
        <v>-1</v>
      </c>
      <c r="G164" s="1134"/>
      <c r="H164" s="689"/>
      <c r="I164" s="756"/>
      <c r="J164" s="757"/>
      <c r="K164" s="689"/>
      <c r="L164" s="689"/>
      <c r="M164" s="1484"/>
      <c r="N164" s="2044" t="e">
        <f t="shared" si="77"/>
        <v>#DIV/0!</v>
      </c>
      <c r="O164" s="689"/>
      <c r="P164" s="1484"/>
      <c r="Q164" s="689"/>
      <c r="R164" s="1484"/>
      <c r="S164" s="3429"/>
      <c r="T164" s="2969"/>
      <c r="U164" s="3409"/>
      <c r="V164" s="2965"/>
      <c r="W164" s="2965"/>
      <c r="X164" s="2965"/>
      <c r="Y164" s="2965"/>
      <c r="Z164" s="952"/>
      <c r="AA164" s="952"/>
      <c r="AB164" s="2965"/>
      <c r="AE164" s="84"/>
      <c r="AF164" s="84"/>
    </row>
    <row r="165" spans="1:32" ht="25.95" hidden="1" customHeight="1">
      <c r="A165" s="3104"/>
      <c r="B165" s="2725"/>
      <c r="C165" s="2726"/>
      <c r="D165" s="687" t="s">
        <v>1111</v>
      </c>
      <c r="E165" s="757"/>
      <c r="F165" s="915" t="e">
        <f t="shared" si="78"/>
        <v>#DIV/0!</v>
      </c>
      <c r="G165" s="1134"/>
      <c r="H165" s="689"/>
      <c r="I165" s="756"/>
      <c r="J165" s="757"/>
      <c r="K165" s="689"/>
      <c r="L165" s="689"/>
      <c r="M165" s="1484"/>
      <c r="N165" s="2044" t="e">
        <f t="shared" si="77"/>
        <v>#DIV/0!</v>
      </c>
      <c r="O165" s="689"/>
      <c r="P165" s="1484"/>
      <c r="Q165" s="689"/>
      <c r="R165" s="1484"/>
      <c r="S165" s="3429"/>
      <c r="T165" s="2969"/>
      <c r="U165" s="3409"/>
      <c r="V165" s="2965"/>
      <c r="W165" s="2965"/>
      <c r="X165" s="2965"/>
      <c r="Y165" s="2965"/>
      <c r="Z165" s="952"/>
      <c r="AA165" s="952"/>
      <c r="AB165" s="2965"/>
      <c r="AE165" s="84"/>
      <c r="AF165" s="84"/>
    </row>
    <row r="166" spans="1:32" ht="24.6" hidden="1" customHeight="1">
      <c r="A166" s="3104"/>
      <c r="B166" s="2725"/>
      <c r="C166" s="2726"/>
      <c r="D166" s="687" t="s">
        <v>246</v>
      </c>
      <c r="E166" s="757">
        <v>1565.6859999999999</v>
      </c>
      <c r="F166" s="915">
        <f t="shared" si="78"/>
        <v>-1</v>
      </c>
      <c r="G166" s="1134"/>
      <c r="H166" s="689"/>
      <c r="I166" s="756"/>
      <c r="J166" s="757"/>
      <c r="K166" s="689"/>
      <c r="L166" s="689"/>
      <c r="M166" s="1484"/>
      <c r="N166" s="2044" t="e">
        <f t="shared" si="77"/>
        <v>#DIV/0!</v>
      </c>
      <c r="O166" s="689"/>
      <c r="P166" s="1484"/>
      <c r="Q166" s="689"/>
      <c r="R166" s="1484"/>
      <c r="S166" s="3429"/>
      <c r="T166" s="2969"/>
      <c r="U166" s="3409"/>
      <c r="V166" s="2965"/>
      <c r="W166" s="2965"/>
      <c r="X166" s="2965"/>
      <c r="Y166" s="2965"/>
      <c r="Z166" s="952"/>
      <c r="AA166" s="952"/>
      <c r="AB166" s="2965"/>
      <c r="AE166" s="84"/>
      <c r="AF166" s="84"/>
    </row>
    <row r="167" spans="1:32" ht="24.6" hidden="1" customHeight="1">
      <c r="A167" s="3104"/>
      <c r="B167" s="2725"/>
      <c r="C167" s="2726"/>
      <c r="D167" s="687" t="s">
        <v>1358</v>
      </c>
      <c r="E167" s="757">
        <v>1070.2529999999999</v>
      </c>
      <c r="F167" s="915">
        <f t="shared" si="78"/>
        <v>-1</v>
      </c>
      <c r="G167" s="1134"/>
      <c r="H167" s="689"/>
      <c r="I167" s="756"/>
      <c r="J167" s="757"/>
      <c r="K167" s="689"/>
      <c r="L167" s="689"/>
      <c r="M167" s="1484"/>
      <c r="N167" s="2044" t="e">
        <f t="shared" si="77"/>
        <v>#DIV/0!</v>
      </c>
      <c r="O167" s="689"/>
      <c r="P167" s="1484"/>
      <c r="Q167" s="689"/>
      <c r="R167" s="1484"/>
      <c r="S167" s="3429"/>
      <c r="T167" s="2969"/>
      <c r="U167" s="3409"/>
      <c r="V167" s="2965"/>
      <c r="W167" s="2965"/>
      <c r="X167" s="2965"/>
      <c r="Y167" s="2965"/>
      <c r="Z167" s="952"/>
      <c r="AA167" s="952"/>
      <c r="AB167" s="2965"/>
      <c r="AE167" s="84"/>
      <c r="AF167" s="84"/>
    </row>
    <row r="168" spans="1:32" ht="28.2" hidden="1" customHeight="1">
      <c r="A168" s="3104"/>
      <c r="B168" s="2725"/>
      <c r="C168" s="2726"/>
      <c r="D168" s="780" t="s">
        <v>1067</v>
      </c>
      <c r="E168" s="757">
        <f>SUM(E163:E167)</f>
        <v>3895.5029999999997</v>
      </c>
      <c r="F168" s="915">
        <f t="shared" si="78"/>
        <v>-0.99844692713623884</v>
      </c>
      <c r="G168" s="1134">
        <f t="shared" ref="G168:M168" si="79">SUM(G163:G167)</f>
        <v>6.05</v>
      </c>
      <c r="H168" s="689">
        <f t="shared" si="79"/>
        <v>6.05</v>
      </c>
      <c r="I168" s="756"/>
      <c r="J168" s="757"/>
      <c r="K168" s="689">
        <f t="shared" si="79"/>
        <v>0</v>
      </c>
      <c r="L168" s="689">
        <f t="shared" si="79"/>
        <v>0</v>
      </c>
      <c r="M168" s="1484">
        <f t="shared" si="79"/>
        <v>0</v>
      </c>
      <c r="N168" s="2044" t="e">
        <f t="shared" si="77"/>
        <v>#DIV/0!</v>
      </c>
      <c r="O168" s="689"/>
      <c r="P168" s="1484"/>
      <c r="Q168" s="689"/>
      <c r="R168" s="1484"/>
      <c r="S168" s="3430"/>
      <c r="T168" s="3161"/>
      <c r="U168" s="3409"/>
      <c r="V168" s="2965"/>
      <c r="W168" s="2965"/>
      <c r="X168" s="2965"/>
      <c r="Y168" s="2965"/>
      <c r="Z168" s="952"/>
      <c r="AA168" s="952"/>
      <c r="AB168" s="2965"/>
      <c r="AE168" s="84"/>
      <c r="AF168" s="84"/>
    </row>
    <row r="169" spans="1:32" ht="42" hidden="1" customHeight="1">
      <c r="A169" s="3479" t="s">
        <v>403</v>
      </c>
      <c r="B169" s="3497" t="s">
        <v>1287</v>
      </c>
      <c r="C169" s="3482">
        <v>188711925</v>
      </c>
      <c r="D169" s="1476" t="s">
        <v>470</v>
      </c>
      <c r="E169" s="1477">
        <v>0</v>
      </c>
      <c r="F169" s="915" t="e">
        <f t="shared" si="78"/>
        <v>#DIV/0!</v>
      </c>
      <c r="G169" s="1478"/>
      <c r="H169" s="689"/>
      <c r="I169" s="756" t="e">
        <f t="shared" si="57"/>
        <v>#DIV/0!</v>
      </c>
      <c r="J169" s="757"/>
      <c r="K169" s="689"/>
      <c r="L169" s="689"/>
      <c r="M169" s="1484"/>
      <c r="N169" s="2044" t="e">
        <f t="shared" si="77"/>
        <v>#DIV/0!</v>
      </c>
      <c r="O169" s="689"/>
      <c r="P169" s="1484"/>
      <c r="Q169" s="689"/>
      <c r="R169" s="1484"/>
      <c r="S169" s="1244"/>
      <c r="T169" s="3518"/>
      <c r="U169" s="3509" t="s">
        <v>1650</v>
      </c>
      <c r="V169" s="3520"/>
      <c r="W169" s="3566"/>
      <c r="X169" s="3566"/>
      <c r="Y169" s="3566"/>
      <c r="Z169" s="1444"/>
      <c r="AA169" s="1444"/>
      <c r="AB169" s="3520"/>
      <c r="AE169" s="84"/>
      <c r="AF169" s="84"/>
    </row>
    <row r="170" spans="1:32" ht="42" hidden="1" customHeight="1">
      <c r="A170" s="3480"/>
      <c r="B170" s="3498"/>
      <c r="C170" s="2726"/>
      <c r="D170" s="1479" t="s">
        <v>246</v>
      </c>
      <c r="E170" s="751"/>
      <c r="F170" s="915" t="e">
        <f t="shared" si="78"/>
        <v>#DIV/0!</v>
      </c>
      <c r="G170" s="1480"/>
      <c r="H170" s="686"/>
      <c r="I170" s="756" t="e">
        <f t="shared" si="57"/>
        <v>#DIV/0!</v>
      </c>
      <c r="J170" s="751"/>
      <c r="K170" s="689"/>
      <c r="L170" s="689"/>
      <c r="M170" s="1484"/>
      <c r="N170" s="2044" t="e">
        <f t="shared" si="77"/>
        <v>#DIV/0!</v>
      </c>
      <c r="O170" s="689"/>
      <c r="P170" s="1484"/>
      <c r="Q170" s="689"/>
      <c r="R170" s="1484"/>
      <c r="S170" s="1244"/>
      <c r="T170" s="3519"/>
      <c r="U170" s="3510"/>
      <c r="V170" s="3520"/>
      <c r="W170" s="3566"/>
      <c r="X170" s="3566"/>
      <c r="Y170" s="3566"/>
      <c r="Z170" s="1444"/>
      <c r="AA170" s="1444"/>
      <c r="AB170" s="3520"/>
      <c r="AE170" s="84"/>
      <c r="AF170" s="84"/>
    </row>
    <row r="171" spans="1:32" ht="42" hidden="1" customHeight="1">
      <c r="A171" s="3480"/>
      <c r="B171" s="3498"/>
      <c r="C171" s="2726"/>
      <c r="D171" s="1479" t="s">
        <v>412</v>
      </c>
      <c r="E171" s="751"/>
      <c r="F171" s="915" t="e">
        <f t="shared" si="78"/>
        <v>#DIV/0!</v>
      </c>
      <c r="G171" s="1480"/>
      <c r="H171" s="686"/>
      <c r="I171" s="756" t="e">
        <f t="shared" si="57"/>
        <v>#DIV/0!</v>
      </c>
      <c r="J171" s="751"/>
      <c r="K171" s="689"/>
      <c r="L171" s="689"/>
      <c r="M171" s="1484"/>
      <c r="N171" s="2044" t="e">
        <f t="shared" si="77"/>
        <v>#DIV/0!</v>
      </c>
      <c r="O171" s="689"/>
      <c r="P171" s="1484"/>
      <c r="Q171" s="689"/>
      <c r="R171" s="1484"/>
      <c r="S171" s="1244"/>
      <c r="T171" s="3519"/>
      <c r="U171" s="3510"/>
      <c r="V171" s="3520"/>
      <c r="W171" s="3566"/>
      <c r="X171" s="3566"/>
      <c r="Y171" s="3566"/>
      <c r="Z171" s="1444"/>
      <c r="AA171" s="1444"/>
      <c r="AB171" s="3520"/>
      <c r="AE171" s="84"/>
      <c r="AF171" s="84"/>
    </row>
    <row r="172" spans="1:32" ht="42" hidden="1" customHeight="1">
      <c r="A172" s="3481"/>
      <c r="B172" s="3499"/>
      <c r="C172" s="2726"/>
      <c r="D172" s="1481" t="s">
        <v>1067</v>
      </c>
      <c r="E172" s="757">
        <f>E169</f>
        <v>0</v>
      </c>
      <c r="F172" s="915" t="e">
        <f t="shared" si="78"/>
        <v>#DIV/0!</v>
      </c>
      <c r="G172" s="1134"/>
      <c r="H172" s="689"/>
      <c r="I172" s="756" t="e">
        <f t="shared" si="57"/>
        <v>#DIV/0!</v>
      </c>
      <c r="J172" s="757"/>
      <c r="K172" s="689"/>
      <c r="L172" s="689"/>
      <c r="M172" s="1484"/>
      <c r="N172" s="2044" t="e">
        <f t="shared" si="77"/>
        <v>#DIV/0!</v>
      </c>
      <c r="O172" s="689"/>
      <c r="P172" s="1484"/>
      <c r="Q172" s="689"/>
      <c r="R172" s="1484"/>
      <c r="S172" s="1245"/>
      <c r="T172" s="3519"/>
      <c r="U172" s="3511"/>
      <c r="V172" s="3520"/>
      <c r="W172" s="3566"/>
      <c r="X172" s="3566"/>
      <c r="Y172" s="3566"/>
      <c r="Z172" s="1444"/>
      <c r="AA172" s="1444"/>
      <c r="AB172" s="3520"/>
      <c r="AE172" s="84"/>
      <c r="AF172" s="84"/>
    </row>
    <row r="173" spans="1:32" ht="42" hidden="1" customHeight="1">
      <c r="A173" s="926"/>
      <c r="B173" s="665" t="s">
        <v>3887</v>
      </c>
      <c r="C173" s="1024"/>
      <c r="D173" s="1246"/>
      <c r="E173" s="757"/>
      <c r="F173" s="915"/>
      <c r="G173" s="1134"/>
      <c r="H173" s="689"/>
      <c r="I173" s="756"/>
      <c r="J173" s="757"/>
      <c r="K173" s="689">
        <v>3.3</v>
      </c>
      <c r="L173" s="689"/>
      <c r="M173" s="1484"/>
      <c r="N173" s="2044">
        <f t="shared" si="77"/>
        <v>-1</v>
      </c>
      <c r="O173" s="689"/>
      <c r="P173" s="1484"/>
      <c r="Q173" s="689"/>
      <c r="R173" s="1484"/>
      <c r="S173" s="1025"/>
      <c r="T173" s="686"/>
      <c r="U173" s="704"/>
      <c r="V173" s="925"/>
      <c r="W173" s="687"/>
      <c r="X173" s="687"/>
      <c r="Y173" s="687"/>
      <c r="Z173" s="687"/>
      <c r="AA173" s="687"/>
      <c r="AB173" s="925"/>
      <c r="AE173" s="84"/>
      <c r="AF173" s="84"/>
    </row>
    <row r="174" spans="1:32" ht="70.8" customHeight="1">
      <c r="A174" s="697" t="s">
        <v>2132</v>
      </c>
      <c r="B174" s="663" t="s">
        <v>1288</v>
      </c>
      <c r="C174" s="697"/>
      <c r="D174" s="697"/>
      <c r="E174" s="745">
        <f>SUM(E178,E195)</f>
        <v>182.86600000000001</v>
      </c>
      <c r="F174" s="897" t="e">
        <f t="shared" si="78"/>
        <v>#REF!</v>
      </c>
      <c r="G174" s="1194">
        <f>SUM(G178,G195)</f>
        <v>10</v>
      </c>
      <c r="H174" s="746" t="e">
        <f>SUM(H178,H195)</f>
        <v>#REF!</v>
      </c>
      <c r="I174" s="747" t="e">
        <f t="shared" si="57"/>
        <v>#REF!</v>
      </c>
      <c r="J174" s="746">
        <f>SUM(J178,J195)</f>
        <v>34</v>
      </c>
      <c r="K174" s="746">
        <f>SUM(K178,K195)</f>
        <v>1736.27</v>
      </c>
      <c r="L174" s="746">
        <f>SUM(L178,L196,L202,L205,L208,L210)</f>
        <v>2400.3910000000001</v>
      </c>
      <c r="M174" s="746">
        <f t="shared" ref="M174:Q174" si="80">SUM(M178,M196,M202,M205,M208,M210)</f>
        <v>4169.5239999999994</v>
      </c>
      <c r="N174" s="746">
        <f t="shared" si="80"/>
        <v>-0.60414218522740737</v>
      </c>
      <c r="O174" s="746">
        <f t="shared" si="80"/>
        <v>4328.6280000000006</v>
      </c>
      <c r="P174" s="746">
        <f t="shared" si="80"/>
        <v>4328.6280000000006</v>
      </c>
      <c r="Q174" s="746">
        <f t="shared" si="80"/>
        <v>3908.8519999999999</v>
      </c>
      <c r="R174" s="1497">
        <f>SUM(R178,R195)</f>
        <v>3911.8520000000003</v>
      </c>
      <c r="S174" s="929"/>
      <c r="T174" s="697"/>
      <c r="U174" s="697" t="s">
        <v>1651</v>
      </c>
      <c r="V174" s="697" t="s">
        <v>2347</v>
      </c>
      <c r="W174" s="697"/>
      <c r="X174" s="697"/>
      <c r="Y174" s="697">
        <v>1</v>
      </c>
      <c r="Z174" s="697">
        <v>1</v>
      </c>
      <c r="AA174" s="697">
        <v>1</v>
      </c>
      <c r="AB174" s="697" t="s">
        <v>2347</v>
      </c>
      <c r="AE174" s="84"/>
      <c r="AF174" s="84"/>
    </row>
    <row r="175" spans="1:32" ht="38.4" customHeight="1">
      <c r="A175" s="3378" t="s">
        <v>2106</v>
      </c>
      <c r="B175" s="3494" t="s">
        <v>1289</v>
      </c>
      <c r="C175" s="3503" t="s">
        <v>1071</v>
      </c>
      <c r="D175" s="706" t="s">
        <v>470</v>
      </c>
      <c r="E175" s="720">
        <v>182.86600000000001</v>
      </c>
      <c r="F175" s="914" t="e">
        <f t="shared" si="78"/>
        <v>#REF!</v>
      </c>
      <c r="G175" s="875">
        <f>SUM(G181:G193)</f>
        <v>0</v>
      </c>
      <c r="H175" s="722" t="e">
        <f>#REF!</f>
        <v>#REF!</v>
      </c>
      <c r="I175" s="1014" t="e">
        <f t="shared" si="57"/>
        <v>#REF!</v>
      </c>
      <c r="J175" s="720"/>
      <c r="K175" s="722"/>
      <c r="L175" s="722"/>
      <c r="M175" s="722">
        <f>SUM(M179,M180)</f>
        <v>2819.5239999999999</v>
      </c>
      <c r="N175" s="2055">
        <f>(L175-K176)/K176</f>
        <v>-1</v>
      </c>
      <c r="O175" s="722">
        <v>2408.6280000000002</v>
      </c>
      <c r="P175" s="1496">
        <f t="shared" ref="P175:R175" si="81">SUM(P179,P180)</f>
        <v>2408.6280000000002</v>
      </c>
      <c r="Q175" s="722">
        <v>3878.8519999999999</v>
      </c>
      <c r="R175" s="1496">
        <f t="shared" si="81"/>
        <v>3878.8520000000003</v>
      </c>
      <c r="S175" s="3399"/>
      <c r="T175" s="3427" t="s">
        <v>4230</v>
      </c>
      <c r="U175" s="2942" t="s">
        <v>1652</v>
      </c>
      <c r="V175" s="2942" t="s">
        <v>2751</v>
      </c>
      <c r="W175" s="3413">
        <v>98</v>
      </c>
      <c r="X175" s="3413">
        <v>98</v>
      </c>
      <c r="Y175" s="3413">
        <v>98</v>
      </c>
      <c r="Z175" s="3413">
        <v>98</v>
      </c>
      <c r="AA175" s="3413">
        <v>98</v>
      </c>
      <c r="AB175" s="3558"/>
      <c r="AE175" s="84"/>
      <c r="AF175" s="84"/>
    </row>
    <row r="176" spans="1:32" ht="36" customHeight="1">
      <c r="A176" s="3476"/>
      <c r="B176" s="3495"/>
      <c r="C176" s="3504"/>
      <c r="D176" s="706" t="s">
        <v>2747</v>
      </c>
      <c r="E176" s="720"/>
      <c r="F176" s="914"/>
      <c r="G176" s="875"/>
      <c r="H176" s="722" t="e">
        <f>SUM(#REF!,#REF!,#REF!,H181,H183,#REF!,H184,H185,H186,H187,H188,H189,H190,H191,H192,H193,H194,)</f>
        <v>#REF!</v>
      </c>
      <c r="I176" s="1014" t="e">
        <f t="shared" si="57"/>
        <v>#REF!</v>
      </c>
      <c r="J176" s="720"/>
      <c r="K176" s="722">
        <f>1652.27+50</f>
        <v>1702.27</v>
      </c>
      <c r="L176" s="722">
        <f>SUM(L179,L180)</f>
        <v>1074.3910000000001</v>
      </c>
      <c r="M176" s="722"/>
      <c r="N176" s="2055">
        <f t="shared" si="77"/>
        <v>-0.36884806758034855</v>
      </c>
      <c r="O176" s="722"/>
      <c r="P176" s="722"/>
      <c r="Q176" s="722"/>
      <c r="R176" s="722"/>
      <c r="S176" s="3399"/>
      <c r="T176" s="3376"/>
      <c r="U176" s="2943"/>
      <c r="V176" s="2943"/>
      <c r="W176" s="3414"/>
      <c r="X176" s="3414"/>
      <c r="Y176" s="3414"/>
      <c r="Z176" s="3414"/>
      <c r="AA176" s="3414"/>
      <c r="AB176" s="3559"/>
      <c r="AE176" s="84"/>
      <c r="AF176" s="84"/>
    </row>
    <row r="177" spans="1:32" ht="34.200000000000003" customHeight="1">
      <c r="A177" s="3476"/>
      <c r="B177" s="3495"/>
      <c r="C177" s="3504"/>
      <c r="D177" s="706" t="s">
        <v>1353</v>
      </c>
      <c r="E177" s="720"/>
      <c r="F177" s="914"/>
      <c r="G177" s="875"/>
      <c r="H177" s="722">
        <v>5</v>
      </c>
      <c r="I177" s="1014">
        <f t="shared" si="57"/>
        <v>-1</v>
      </c>
      <c r="J177" s="720"/>
      <c r="K177" s="720"/>
      <c r="L177" s="720"/>
      <c r="M177" s="722"/>
      <c r="N177" s="2055"/>
      <c r="O177" s="722"/>
      <c r="P177" s="722"/>
      <c r="Q177" s="722"/>
      <c r="R177" s="722">
        <v>3</v>
      </c>
      <c r="S177" s="3399"/>
      <c r="T177" s="3376"/>
      <c r="U177" s="2943"/>
      <c r="V177" s="2943"/>
      <c r="W177" s="3414"/>
      <c r="X177" s="3414"/>
      <c r="Y177" s="3414"/>
      <c r="Z177" s="3414"/>
      <c r="AA177" s="3414"/>
      <c r="AB177" s="3559"/>
      <c r="AE177" s="84"/>
      <c r="AF177" s="84"/>
    </row>
    <row r="178" spans="1:32" ht="39.75" customHeight="1">
      <c r="A178" s="3477"/>
      <c r="B178" s="3496"/>
      <c r="C178" s="3401"/>
      <c r="D178" s="781" t="s">
        <v>1067</v>
      </c>
      <c r="E178" s="782">
        <f>E175</f>
        <v>182.86600000000001</v>
      </c>
      <c r="F178" s="924" t="e">
        <f t="shared" si="78"/>
        <v>#REF!</v>
      </c>
      <c r="G178" s="1247">
        <f t="shared" ref="G178" si="82">G175</f>
        <v>0</v>
      </c>
      <c r="H178" s="1785" t="e">
        <f>H175+H176+H177</f>
        <v>#REF!</v>
      </c>
      <c r="I178" s="1786" t="e">
        <f t="shared" si="57"/>
        <v>#REF!</v>
      </c>
      <c r="J178" s="1794"/>
      <c r="K178" s="1785">
        <f t="shared" ref="K178:R178" si="83">K175+K176+K177</f>
        <v>1702.27</v>
      </c>
      <c r="L178" s="1785">
        <f t="shared" si="83"/>
        <v>1074.3910000000001</v>
      </c>
      <c r="M178" s="1643">
        <f t="shared" si="83"/>
        <v>2819.5239999999999</v>
      </c>
      <c r="N178" s="2210">
        <f t="shared" si="77"/>
        <v>-0.36884806758034855</v>
      </c>
      <c r="O178" s="1785">
        <f t="shared" si="83"/>
        <v>2408.6280000000002</v>
      </c>
      <c r="P178" s="1643">
        <f t="shared" si="83"/>
        <v>2408.6280000000002</v>
      </c>
      <c r="Q178" s="1785">
        <f t="shared" si="83"/>
        <v>3878.8519999999999</v>
      </c>
      <c r="R178" s="1643">
        <f t="shared" si="83"/>
        <v>3881.8520000000003</v>
      </c>
      <c r="S178" s="3386"/>
      <c r="T178" s="3377"/>
      <c r="U178" s="2943"/>
      <c r="V178" s="2943"/>
      <c r="W178" s="3414"/>
      <c r="X178" s="3414"/>
      <c r="Y178" s="3414"/>
      <c r="Z178" s="3414"/>
      <c r="AA178" s="3414"/>
      <c r="AB178" s="3471"/>
      <c r="AE178" s="84"/>
      <c r="AF178" s="84"/>
    </row>
    <row r="179" spans="1:32" ht="39.75" hidden="1" customHeight="1">
      <c r="A179" s="2233" t="s">
        <v>4066</v>
      </c>
      <c r="B179" s="1778" t="s">
        <v>4067</v>
      </c>
      <c r="C179" s="1915"/>
      <c r="D179" s="1511"/>
      <c r="E179" s="1512"/>
      <c r="F179" s="1513"/>
      <c r="G179" s="1512"/>
      <c r="H179" s="1512"/>
      <c r="I179" s="1513"/>
      <c r="J179" s="1512"/>
      <c r="K179" s="1512"/>
      <c r="L179" s="681">
        <v>941.69100000000003</v>
      </c>
      <c r="M179" s="1470">
        <v>2639.9690000000001</v>
      </c>
      <c r="N179" s="2043"/>
      <c r="O179" s="1465"/>
      <c r="P179" s="1470">
        <v>2219.6930000000002</v>
      </c>
      <c r="Q179" s="1470"/>
      <c r="R179" s="1470">
        <v>3636.7620000000002</v>
      </c>
      <c r="S179" s="1465"/>
      <c r="T179" s="1470"/>
      <c r="U179" s="1711"/>
      <c r="V179" s="1711"/>
      <c r="W179" s="1509"/>
      <c r="X179" s="1509"/>
      <c r="Y179" s="1509"/>
      <c r="Z179" s="1509"/>
      <c r="AA179" s="1509"/>
      <c r="AB179" s="1795"/>
      <c r="AE179" s="84"/>
      <c r="AF179" s="84"/>
    </row>
    <row r="180" spans="1:32" ht="39.75" hidden="1" customHeight="1">
      <c r="A180" s="2233" t="s">
        <v>4068</v>
      </c>
      <c r="B180" s="1778" t="s">
        <v>4069</v>
      </c>
      <c r="C180" s="1915"/>
      <c r="D180" s="1511"/>
      <c r="E180" s="1512"/>
      <c r="F180" s="1513"/>
      <c r="G180" s="1913"/>
      <c r="H180" s="1512"/>
      <c r="I180" s="1513"/>
      <c r="J180" s="1512"/>
      <c r="K180" s="1512"/>
      <c r="L180" s="681">
        <v>132.69999999999999</v>
      </c>
      <c r="M180" s="1470">
        <v>179.55500000000001</v>
      </c>
      <c r="N180" s="2043"/>
      <c r="O180" s="1465"/>
      <c r="P180" s="1470">
        <v>188.935</v>
      </c>
      <c r="Q180" s="1470"/>
      <c r="R180" s="1470">
        <v>242.09</v>
      </c>
      <c r="S180" s="1796"/>
      <c r="T180" s="1470" t="s">
        <v>4169</v>
      </c>
      <c r="U180" s="1797"/>
      <c r="V180" s="1798"/>
      <c r="W180" s="1799"/>
      <c r="X180" s="1799"/>
      <c r="Y180" s="1799"/>
      <c r="Z180" s="1800"/>
      <c r="AA180" s="1800"/>
      <c r="AB180" s="1801"/>
      <c r="AE180" s="84"/>
      <c r="AF180" s="84"/>
    </row>
    <row r="181" spans="1:32" ht="42" hidden="1" customHeight="1">
      <c r="A181" s="1612"/>
      <c r="B181" s="1653" t="s">
        <v>1404</v>
      </c>
      <c r="C181" s="1654"/>
      <c r="D181" s="1655"/>
      <c r="E181" s="1614"/>
      <c r="F181" s="1656"/>
      <c r="G181" s="1657"/>
      <c r="H181" s="1614">
        <v>10</v>
      </c>
      <c r="I181" s="1613">
        <f t="shared" ref="I181:I267" si="84">J181/H181-1</f>
        <v>-1</v>
      </c>
      <c r="J181" s="1614"/>
      <c r="K181" s="1658"/>
      <c r="L181" s="1658"/>
      <c r="M181" s="1659">
        <v>129.9</v>
      </c>
      <c r="N181" s="2042" t="e">
        <f t="shared" si="77"/>
        <v>#DIV/0!</v>
      </c>
      <c r="O181" s="1658"/>
      <c r="P181" s="1659">
        <v>100</v>
      </c>
      <c r="Q181" s="1658"/>
      <c r="R181" s="1659">
        <v>165</v>
      </c>
      <c r="S181" s="1254"/>
      <c r="T181" s="1258"/>
      <c r="U181" s="1255"/>
      <c r="V181" s="1256"/>
      <c r="W181" s="1259">
        <v>3527</v>
      </c>
      <c r="X181" s="1259"/>
      <c r="Y181" s="1259"/>
      <c r="Z181" s="1260"/>
      <c r="AA181" s="1260"/>
      <c r="AB181" s="1256"/>
      <c r="AE181" s="84"/>
      <c r="AF181" s="84"/>
    </row>
    <row r="182" spans="1:32" ht="42" hidden="1" customHeight="1">
      <c r="A182" s="1612"/>
      <c r="B182" s="1653" t="s">
        <v>1407</v>
      </c>
      <c r="C182" s="1654"/>
      <c r="D182" s="1655"/>
      <c r="E182" s="1614"/>
      <c r="F182" s="1656"/>
      <c r="G182" s="1657"/>
      <c r="H182" s="1658"/>
      <c r="I182" s="1613" t="e">
        <f t="shared" si="84"/>
        <v>#DIV/0!</v>
      </c>
      <c r="J182" s="1614"/>
      <c r="K182" s="1658"/>
      <c r="L182" s="1658"/>
      <c r="M182" s="1659">
        <v>90</v>
      </c>
      <c r="N182" s="2042" t="e">
        <f t="shared" si="77"/>
        <v>#DIV/0!</v>
      </c>
      <c r="O182" s="1658"/>
      <c r="P182" s="1659">
        <v>80</v>
      </c>
      <c r="Q182" s="1658"/>
      <c r="R182" s="1659">
        <v>80</v>
      </c>
      <c r="S182" s="1671"/>
      <c r="T182" s="1672" t="s">
        <v>3939</v>
      </c>
      <c r="U182" s="1255"/>
      <c r="V182" s="1256"/>
      <c r="W182" s="1259"/>
      <c r="X182" s="1259"/>
      <c r="Y182" s="1259"/>
      <c r="Z182" s="1260"/>
      <c r="AA182" s="1260"/>
      <c r="AB182" s="1256"/>
      <c r="AE182" s="84"/>
      <c r="AF182" s="84"/>
    </row>
    <row r="183" spans="1:32" ht="64.95" hidden="1" customHeight="1">
      <c r="A183" s="1612"/>
      <c r="B183" s="1653" t="s">
        <v>1406</v>
      </c>
      <c r="C183" s="1654"/>
      <c r="D183" s="1655"/>
      <c r="E183" s="1614"/>
      <c r="F183" s="1656"/>
      <c r="G183" s="1657"/>
      <c r="H183" s="1614">
        <v>21</v>
      </c>
      <c r="I183" s="1613">
        <f t="shared" si="84"/>
        <v>-1</v>
      </c>
      <c r="J183" s="1614"/>
      <c r="K183" s="1658"/>
      <c r="L183" s="1658"/>
      <c r="M183" s="1659">
        <v>85.5</v>
      </c>
      <c r="N183" s="2042" t="e">
        <f t="shared" si="77"/>
        <v>#DIV/0!</v>
      </c>
      <c r="O183" s="1658"/>
      <c r="P183" s="1659">
        <v>135</v>
      </c>
      <c r="Q183" s="1658"/>
      <c r="R183" s="1659">
        <v>95</v>
      </c>
      <c r="S183" s="1671"/>
      <c r="T183" s="1672" t="s">
        <v>3940</v>
      </c>
      <c r="U183" s="1255"/>
      <c r="V183" s="1256"/>
      <c r="W183" s="1259"/>
      <c r="X183" s="1259"/>
      <c r="Y183" s="1259"/>
      <c r="Z183" s="1260"/>
      <c r="AA183" s="1260"/>
      <c r="AB183" s="1256"/>
      <c r="AE183" s="84"/>
      <c r="AF183" s="84"/>
    </row>
    <row r="184" spans="1:32" ht="54" hidden="1" customHeight="1">
      <c r="A184" s="1612"/>
      <c r="B184" s="1653" t="s">
        <v>1517</v>
      </c>
      <c r="C184" s="1654"/>
      <c r="D184" s="1655"/>
      <c r="E184" s="1614"/>
      <c r="F184" s="1656"/>
      <c r="G184" s="1657"/>
      <c r="H184" s="1614">
        <v>22.465</v>
      </c>
      <c r="I184" s="1613">
        <f t="shared" si="84"/>
        <v>-1</v>
      </c>
      <c r="J184" s="1614"/>
      <c r="K184" s="1658"/>
      <c r="L184" s="1658"/>
      <c r="M184" s="1659">
        <v>82.052999999999997</v>
      </c>
      <c r="N184" s="2042" t="e">
        <f t="shared" si="77"/>
        <v>#DIV/0!</v>
      </c>
      <c r="O184" s="1658"/>
      <c r="P184" s="1659">
        <v>75.692999999999998</v>
      </c>
      <c r="Q184" s="1658"/>
      <c r="R184" s="1659">
        <v>20</v>
      </c>
      <c r="S184" s="1671"/>
      <c r="T184" s="1672" t="s">
        <v>3942</v>
      </c>
      <c r="U184" s="1255"/>
      <c r="V184" s="1256"/>
      <c r="W184" s="1259"/>
      <c r="X184" s="1259"/>
      <c r="Y184" s="1259"/>
      <c r="Z184" s="1260"/>
      <c r="AA184" s="1260"/>
      <c r="AB184" s="1256"/>
      <c r="AE184" s="84"/>
      <c r="AF184" s="84"/>
    </row>
    <row r="185" spans="1:32" ht="42" hidden="1" customHeight="1">
      <c r="A185" s="1612"/>
      <c r="B185" s="1653" t="s">
        <v>1076</v>
      </c>
      <c r="C185" s="1654"/>
      <c r="D185" s="1655"/>
      <c r="E185" s="1614"/>
      <c r="F185" s="1656"/>
      <c r="G185" s="1657"/>
      <c r="H185" s="1614">
        <v>20</v>
      </c>
      <c r="I185" s="1613">
        <f t="shared" si="84"/>
        <v>-1</v>
      </c>
      <c r="J185" s="1614"/>
      <c r="K185" s="1658"/>
      <c r="L185" s="1658"/>
      <c r="M185" s="1659">
        <v>80</v>
      </c>
      <c r="N185" s="2042" t="e">
        <f t="shared" si="77"/>
        <v>#DIV/0!</v>
      </c>
      <c r="O185" s="1658"/>
      <c r="P185" s="1659"/>
      <c r="Q185" s="1658"/>
      <c r="R185" s="1659"/>
      <c r="S185" s="1671"/>
      <c r="T185" s="1672" t="s">
        <v>3943</v>
      </c>
      <c r="U185" s="1255"/>
      <c r="V185" s="1256"/>
      <c r="W185" s="1259"/>
      <c r="X185" s="1259"/>
      <c r="Y185" s="1259"/>
      <c r="Z185" s="1260"/>
      <c r="AA185" s="1260"/>
      <c r="AB185" s="1256"/>
      <c r="AE185" s="84"/>
      <c r="AF185" s="84"/>
    </row>
    <row r="186" spans="1:32" ht="42" hidden="1" customHeight="1">
      <c r="A186" s="1612"/>
      <c r="B186" s="1653" t="s">
        <v>1132</v>
      </c>
      <c r="C186" s="1654"/>
      <c r="D186" s="1655"/>
      <c r="E186" s="1614"/>
      <c r="F186" s="1656"/>
      <c r="G186" s="1657"/>
      <c r="H186" s="1614">
        <v>66</v>
      </c>
      <c r="I186" s="1613">
        <f t="shared" si="84"/>
        <v>-1</v>
      </c>
      <c r="J186" s="1614"/>
      <c r="K186" s="1658"/>
      <c r="L186" s="1658"/>
      <c r="M186" s="1659">
        <v>592</v>
      </c>
      <c r="N186" s="2042" t="e">
        <f t="shared" si="77"/>
        <v>#DIV/0!</v>
      </c>
      <c r="O186" s="1658"/>
      <c r="P186" s="1659">
        <v>432</v>
      </c>
      <c r="Q186" s="1658"/>
      <c r="R186" s="1659">
        <v>1150</v>
      </c>
      <c r="S186" s="1671"/>
      <c r="T186" s="1672" t="s">
        <v>3944</v>
      </c>
      <c r="U186" s="1255"/>
      <c r="V186" s="1256"/>
      <c r="W186" s="1259"/>
      <c r="X186" s="1259"/>
      <c r="Y186" s="1259"/>
      <c r="Z186" s="1260"/>
      <c r="AA186" s="1260"/>
      <c r="AB186" s="1256"/>
      <c r="AE186" s="84"/>
      <c r="AF186" s="84"/>
    </row>
    <row r="187" spans="1:32" ht="42" hidden="1" customHeight="1">
      <c r="A187" s="1612"/>
      <c r="B187" s="1653" t="s">
        <v>1518</v>
      </c>
      <c r="C187" s="1654"/>
      <c r="D187" s="1655"/>
      <c r="E187" s="1614"/>
      <c r="F187" s="1656"/>
      <c r="G187" s="1657"/>
      <c r="H187" s="1614">
        <v>84.784999999999997</v>
      </c>
      <c r="I187" s="1613">
        <f t="shared" si="84"/>
        <v>-1</v>
      </c>
      <c r="J187" s="1614"/>
      <c r="K187" s="1658"/>
      <c r="L187" s="1658"/>
      <c r="M187" s="1659">
        <v>560.79999999999995</v>
      </c>
      <c r="N187" s="2042" t="e">
        <f t="shared" si="77"/>
        <v>#DIV/0!</v>
      </c>
      <c r="O187" s="1658"/>
      <c r="P187" s="1659">
        <v>380</v>
      </c>
      <c r="Q187" s="1658"/>
      <c r="R187" s="1659">
        <v>700</v>
      </c>
      <c r="S187" s="1671"/>
      <c r="T187" s="1672" t="s">
        <v>3946</v>
      </c>
      <c r="U187" s="1255"/>
      <c r="V187" s="1256"/>
      <c r="W187" s="1259"/>
      <c r="X187" s="1259"/>
      <c r="Y187" s="1259"/>
      <c r="Z187" s="1260"/>
      <c r="AA187" s="1260"/>
      <c r="AB187" s="1256"/>
      <c r="AE187" s="84"/>
      <c r="AF187" s="84"/>
    </row>
    <row r="188" spans="1:32" ht="42" hidden="1" customHeight="1">
      <c r="A188" s="1612"/>
      <c r="B188" s="1653" t="s">
        <v>1520</v>
      </c>
      <c r="C188" s="1654"/>
      <c r="D188" s="1655"/>
      <c r="E188" s="1614"/>
      <c r="F188" s="1656"/>
      <c r="G188" s="1657"/>
      <c r="H188" s="1614">
        <v>27.16</v>
      </c>
      <c r="I188" s="1613">
        <f t="shared" si="84"/>
        <v>-1</v>
      </c>
      <c r="J188" s="1614"/>
      <c r="K188" s="1658"/>
      <c r="L188" s="1658"/>
      <c r="M188" s="1659">
        <v>17.641999999999999</v>
      </c>
      <c r="N188" s="2042" t="e">
        <f t="shared" si="77"/>
        <v>#DIV/0!</v>
      </c>
      <c r="O188" s="1658"/>
      <c r="P188" s="1659">
        <v>68</v>
      </c>
      <c r="Q188" s="1658"/>
      <c r="R188" s="1659">
        <v>78.17</v>
      </c>
      <c r="S188" s="1671"/>
      <c r="T188" s="1672" t="s">
        <v>3947</v>
      </c>
      <c r="U188" s="1255"/>
      <c r="V188" s="1256"/>
      <c r="W188" s="1259"/>
      <c r="X188" s="1259"/>
      <c r="Y188" s="1259"/>
      <c r="Z188" s="1260"/>
      <c r="AA188" s="1260"/>
      <c r="AB188" s="1256"/>
      <c r="AE188" s="84"/>
      <c r="AF188" s="84"/>
    </row>
    <row r="189" spans="1:32" ht="352.2" hidden="1" customHeight="1">
      <c r="A189" s="1612"/>
      <c r="B189" s="1653" t="s">
        <v>1526</v>
      </c>
      <c r="C189" s="1654"/>
      <c r="D189" s="1655"/>
      <c r="E189" s="1614"/>
      <c r="F189" s="1656"/>
      <c r="G189" s="1657"/>
      <c r="H189" s="1614">
        <v>18.5</v>
      </c>
      <c r="I189" s="1613">
        <f t="shared" si="84"/>
        <v>-1</v>
      </c>
      <c r="J189" s="1614"/>
      <c r="K189" s="1658"/>
      <c r="L189" s="1658"/>
      <c r="M189" s="1659">
        <v>86.8</v>
      </c>
      <c r="N189" s="2042" t="e">
        <f t="shared" si="77"/>
        <v>#DIV/0!</v>
      </c>
      <c r="O189" s="1658"/>
      <c r="P189" s="1659">
        <v>68.5</v>
      </c>
      <c r="Q189" s="1658"/>
      <c r="R189" s="1659">
        <v>2.7</v>
      </c>
      <c r="S189" s="1671"/>
      <c r="T189" s="1672" t="s">
        <v>3948</v>
      </c>
      <c r="U189" s="1255"/>
      <c r="V189" s="1256"/>
      <c r="W189" s="1259"/>
      <c r="X189" s="1259"/>
      <c r="Y189" s="1259"/>
      <c r="Z189" s="1260"/>
      <c r="AA189" s="1260"/>
      <c r="AB189" s="1256"/>
      <c r="AE189" s="84"/>
      <c r="AF189" s="84"/>
    </row>
    <row r="190" spans="1:32" ht="42" hidden="1" customHeight="1">
      <c r="A190" s="1248"/>
      <c r="B190" s="1257" t="s">
        <v>1412</v>
      </c>
      <c r="C190" s="1249"/>
      <c r="D190" s="1250"/>
      <c r="E190" s="1156"/>
      <c r="F190" s="1251"/>
      <c r="G190" s="1158"/>
      <c r="H190" s="1252">
        <f>26.88+10.085</f>
        <v>36.965000000000003</v>
      </c>
      <c r="I190" s="747">
        <f t="shared" si="84"/>
        <v>-1</v>
      </c>
      <c r="J190" s="1252"/>
      <c r="K190" s="1253"/>
      <c r="L190" s="1253"/>
      <c r="M190" s="1638"/>
      <c r="N190" s="2042" t="e">
        <f t="shared" si="77"/>
        <v>#DIV/0!</v>
      </c>
      <c r="O190" s="1253"/>
      <c r="P190" s="1638"/>
      <c r="Q190" s="1253"/>
      <c r="R190" s="1638"/>
      <c r="S190" s="1254"/>
      <c r="T190" s="1258"/>
      <c r="U190" s="1255"/>
      <c r="V190" s="1256"/>
      <c r="W190" s="1259"/>
      <c r="X190" s="1259"/>
      <c r="Y190" s="1259"/>
      <c r="Z190" s="1260"/>
      <c r="AA190" s="1260"/>
      <c r="AB190" s="1256"/>
      <c r="AE190" s="84"/>
      <c r="AF190" s="84"/>
    </row>
    <row r="191" spans="1:32" ht="42" hidden="1" customHeight="1">
      <c r="A191" s="1248"/>
      <c r="B191" s="1257" t="s">
        <v>2705</v>
      </c>
      <c r="C191" s="1249"/>
      <c r="D191" s="1250"/>
      <c r="E191" s="1156"/>
      <c r="F191" s="1251"/>
      <c r="G191" s="1158"/>
      <c r="H191" s="1252">
        <v>29</v>
      </c>
      <c r="I191" s="747">
        <f t="shared" si="84"/>
        <v>-1</v>
      </c>
      <c r="J191" s="1252"/>
      <c r="K191" s="1253"/>
      <c r="L191" s="1253"/>
      <c r="M191" s="1638"/>
      <c r="N191" s="2042" t="e">
        <f t="shared" si="77"/>
        <v>#DIV/0!</v>
      </c>
      <c r="O191" s="1253"/>
      <c r="P191" s="1638"/>
      <c r="Q191" s="1253"/>
      <c r="R191" s="1638"/>
      <c r="S191" s="1254"/>
      <c r="T191" s="1258"/>
      <c r="U191" s="1255"/>
      <c r="V191" s="1256"/>
      <c r="W191" s="1259"/>
      <c r="X191" s="1259"/>
      <c r="Y191" s="1259"/>
      <c r="Z191" s="1260"/>
      <c r="AA191" s="1260"/>
      <c r="AB191" s="1256"/>
      <c r="AE191" s="84"/>
      <c r="AF191" s="84"/>
    </row>
    <row r="192" spans="1:32" ht="42" hidden="1" customHeight="1">
      <c r="A192" s="1612"/>
      <c r="B192" s="1653" t="s">
        <v>2706</v>
      </c>
      <c r="C192" s="1654"/>
      <c r="D192" s="1655"/>
      <c r="E192" s="1614"/>
      <c r="F192" s="1656"/>
      <c r="G192" s="1657"/>
      <c r="H192" s="1614">
        <v>32</v>
      </c>
      <c r="I192" s="1613">
        <f t="shared" si="84"/>
        <v>-1</v>
      </c>
      <c r="J192" s="1614"/>
      <c r="K192" s="1658"/>
      <c r="L192" s="1658"/>
      <c r="M192" s="1659">
        <v>130.5</v>
      </c>
      <c r="N192" s="2042" t="e">
        <f t="shared" si="77"/>
        <v>#DIV/0!</v>
      </c>
      <c r="O192" s="1658"/>
      <c r="P192" s="1659">
        <v>20</v>
      </c>
      <c r="Q192" s="1658"/>
      <c r="R192" s="1659">
        <v>151.1</v>
      </c>
      <c r="S192" s="1671"/>
      <c r="T192" s="1672"/>
      <c r="U192" s="1255"/>
      <c r="V192" s="1256"/>
      <c r="W192" s="1259"/>
      <c r="X192" s="1259"/>
      <c r="Y192" s="1259"/>
      <c r="Z192" s="1260"/>
      <c r="AA192" s="1260"/>
      <c r="AB192" s="1256"/>
      <c r="AE192" s="84"/>
      <c r="AF192" s="84"/>
    </row>
    <row r="193" spans="1:32" ht="42" hidden="1" customHeight="1">
      <c r="A193" s="1248"/>
      <c r="B193" s="1257" t="s">
        <v>1577</v>
      </c>
      <c r="C193" s="1249"/>
      <c r="D193" s="1250"/>
      <c r="E193" s="1156"/>
      <c r="F193" s="1251"/>
      <c r="G193" s="1158"/>
      <c r="H193" s="1252">
        <v>10</v>
      </c>
      <c r="I193" s="747">
        <f t="shared" si="84"/>
        <v>-1</v>
      </c>
      <c r="J193" s="1252"/>
      <c r="K193" s="1253"/>
      <c r="L193" s="1253"/>
      <c r="M193" s="1638"/>
      <c r="N193" s="2042" t="e">
        <f t="shared" si="77"/>
        <v>#DIV/0!</v>
      </c>
      <c r="O193" s="1253"/>
      <c r="P193" s="1638"/>
      <c r="Q193" s="1253"/>
      <c r="R193" s="1638"/>
      <c r="S193" s="1254"/>
      <c r="T193" s="1258"/>
      <c r="U193" s="1255"/>
      <c r="V193" s="1256"/>
      <c r="W193" s="1259"/>
      <c r="X193" s="1259"/>
      <c r="Y193" s="1259"/>
      <c r="Z193" s="1260"/>
      <c r="AA193" s="1260"/>
      <c r="AB193" s="1256"/>
      <c r="AE193" s="84"/>
      <c r="AF193" s="84"/>
    </row>
    <row r="194" spans="1:32" ht="93" hidden="1" customHeight="1">
      <c r="A194" s="1704"/>
      <c r="B194" s="1705" t="s">
        <v>2707</v>
      </c>
      <c r="C194" s="1706"/>
      <c r="D194" s="1655"/>
      <c r="E194" s="1614"/>
      <c r="F194" s="1656"/>
      <c r="G194" s="1657"/>
      <c r="H194" s="1614">
        <v>36.03</v>
      </c>
      <c r="I194" s="1613">
        <f t="shared" si="84"/>
        <v>-1</v>
      </c>
      <c r="J194" s="1614"/>
      <c r="K194" s="1658"/>
      <c r="L194" s="1658"/>
      <c r="M194" s="1659">
        <v>66</v>
      </c>
      <c r="N194" s="2042" t="e">
        <f t="shared" si="77"/>
        <v>#DIV/0!</v>
      </c>
      <c r="O194" s="1658"/>
      <c r="P194" s="1659"/>
      <c r="Q194" s="1658"/>
      <c r="R194" s="1659"/>
      <c r="S194" s="1671"/>
      <c r="T194" s="1707" t="s">
        <v>3971</v>
      </c>
      <c r="U194" s="1255"/>
      <c r="V194" s="1255"/>
      <c r="W194" s="1259"/>
      <c r="X194" s="1259"/>
      <c r="Y194" s="1259"/>
      <c r="Z194" s="1260"/>
      <c r="AA194" s="1260"/>
      <c r="AB194" s="1255"/>
      <c r="AE194" s="84"/>
      <c r="AF194" s="84"/>
    </row>
    <row r="195" spans="1:32" ht="42" customHeight="1">
      <c r="A195" s="3478" t="s">
        <v>2107</v>
      </c>
      <c r="B195" s="3591" t="s">
        <v>2708</v>
      </c>
      <c r="C195" s="3473">
        <v>188711925</v>
      </c>
      <c r="D195" s="1026" t="s">
        <v>470</v>
      </c>
      <c r="E195" s="1076"/>
      <c r="F195" s="1439"/>
      <c r="G195" s="1443">
        <v>10</v>
      </c>
      <c r="H195" s="1076">
        <v>10</v>
      </c>
      <c r="I195" s="1439">
        <f t="shared" si="84"/>
        <v>2.4</v>
      </c>
      <c r="J195" s="1076">
        <f>SUM(J197,J198,J199,)</f>
        <v>34</v>
      </c>
      <c r="K195" s="722">
        <v>34</v>
      </c>
      <c r="L195" s="722">
        <f>SUM(L197,L198,L199,)</f>
        <v>26</v>
      </c>
      <c r="M195" s="1496">
        <f>SUM(M197,M198,M199,)</f>
        <v>50</v>
      </c>
      <c r="N195" s="2055">
        <f t="shared" si="77"/>
        <v>-0.23529411764705882</v>
      </c>
      <c r="O195" s="722">
        <f>O197+O198</f>
        <v>30</v>
      </c>
      <c r="P195" s="1496">
        <f>P197+P198+P199</f>
        <v>30</v>
      </c>
      <c r="Q195" s="722">
        <f t="shared" ref="Q195:R195" si="85">Q197+Q198+Q199</f>
        <v>30</v>
      </c>
      <c r="R195" s="1496">
        <f t="shared" si="85"/>
        <v>30</v>
      </c>
      <c r="S195" s="3386" t="s">
        <v>2265</v>
      </c>
      <c r="T195" s="3427" t="s">
        <v>4231</v>
      </c>
      <c r="U195" s="2942" t="s">
        <v>1740</v>
      </c>
      <c r="V195" s="2942" t="s">
        <v>3599</v>
      </c>
      <c r="W195" s="3406">
        <v>1</v>
      </c>
      <c r="X195" s="3406" t="s">
        <v>585</v>
      </c>
      <c r="Y195" s="3406" t="s">
        <v>585</v>
      </c>
      <c r="Z195" s="3406" t="s">
        <v>585</v>
      </c>
      <c r="AA195" s="3406" t="s">
        <v>585</v>
      </c>
      <c r="AB195" s="2942" t="s">
        <v>2443</v>
      </c>
      <c r="AE195" s="84"/>
      <c r="AF195" s="84"/>
    </row>
    <row r="196" spans="1:32" ht="42" customHeight="1">
      <c r="A196" s="3469"/>
      <c r="B196" s="3592"/>
      <c r="C196" s="3475"/>
      <c r="D196" s="725" t="s">
        <v>1067</v>
      </c>
      <c r="E196" s="726">
        <f>SUM(E188:E195)</f>
        <v>0</v>
      </c>
      <c r="F196" s="911"/>
      <c r="G196" s="1198">
        <f>G195</f>
        <v>10</v>
      </c>
      <c r="H196" s="728">
        <f t="shared" ref="H196:R196" si="86">H195</f>
        <v>10</v>
      </c>
      <c r="I196" s="729">
        <f t="shared" si="84"/>
        <v>2.4</v>
      </c>
      <c r="J196" s="728">
        <f t="shared" si="86"/>
        <v>34</v>
      </c>
      <c r="K196" s="728">
        <f t="shared" si="86"/>
        <v>34</v>
      </c>
      <c r="L196" s="728">
        <f t="shared" si="86"/>
        <v>26</v>
      </c>
      <c r="M196" s="1464">
        <f t="shared" si="86"/>
        <v>50</v>
      </c>
      <c r="N196" s="2056">
        <f t="shared" si="77"/>
        <v>-0.23529411764705882</v>
      </c>
      <c r="O196" s="728">
        <f t="shared" si="86"/>
        <v>30</v>
      </c>
      <c r="P196" s="1464">
        <f t="shared" si="86"/>
        <v>30</v>
      </c>
      <c r="Q196" s="728">
        <f t="shared" si="86"/>
        <v>30</v>
      </c>
      <c r="R196" s="1464">
        <f t="shared" si="86"/>
        <v>30</v>
      </c>
      <c r="S196" s="3398"/>
      <c r="T196" s="3512"/>
      <c r="U196" s="2944"/>
      <c r="V196" s="2944"/>
      <c r="W196" s="3407"/>
      <c r="X196" s="3407"/>
      <c r="Y196" s="3407"/>
      <c r="Z196" s="3407"/>
      <c r="AA196" s="3407"/>
      <c r="AB196" s="2944"/>
      <c r="AE196" s="84"/>
      <c r="AF196" s="84"/>
    </row>
    <row r="197" spans="1:32" ht="42.75" hidden="1" customHeight="1">
      <c r="A197" s="2234" t="s">
        <v>3157</v>
      </c>
      <c r="B197" s="2235" t="s">
        <v>3155</v>
      </c>
      <c r="C197" s="2236"/>
      <c r="D197" s="1511"/>
      <c r="E197" s="1512"/>
      <c r="F197" s="1513"/>
      <c r="G197" s="1913"/>
      <c r="H197" s="1512"/>
      <c r="I197" s="1513"/>
      <c r="J197" s="1776">
        <v>17</v>
      </c>
      <c r="K197" s="1776">
        <v>17</v>
      </c>
      <c r="L197" s="1776">
        <v>18</v>
      </c>
      <c r="M197" s="1776">
        <v>18</v>
      </c>
      <c r="N197" s="2043">
        <f t="shared" si="77"/>
        <v>5.8823529411764705E-2</v>
      </c>
      <c r="O197" s="1776">
        <v>18</v>
      </c>
      <c r="P197" s="1776">
        <v>18</v>
      </c>
      <c r="Q197" s="1776">
        <v>18</v>
      </c>
      <c r="R197" s="1776">
        <v>18</v>
      </c>
      <c r="S197" s="1802"/>
      <c r="T197" s="3448" t="s">
        <v>3888</v>
      </c>
      <c r="U197" s="3582"/>
      <c r="V197" s="3583"/>
      <c r="W197" s="3583"/>
      <c r="X197" s="3583"/>
      <c r="Y197" s="3583"/>
      <c r="Z197" s="3583"/>
      <c r="AA197" s="3583"/>
      <c r="AB197" s="3584"/>
      <c r="AE197" s="84"/>
      <c r="AF197" s="84"/>
    </row>
    <row r="198" spans="1:32" ht="32.25" hidden="1" customHeight="1">
      <c r="A198" s="2234" t="s">
        <v>3157</v>
      </c>
      <c r="B198" s="2235" t="s">
        <v>3156</v>
      </c>
      <c r="C198" s="2236"/>
      <c r="D198" s="1511"/>
      <c r="E198" s="1512"/>
      <c r="F198" s="1513"/>
      <c r="G198" s="1913"/>
      <c r="H198" s="1512"/>
      <c r="I198" s="1513"/>
      <c r="J198" s="1776">
        <v>7</v>
      </c>
      <c r="K198" s="1776">
        <v>7</v>
      </c>
      <c r="L198" s="1776">
        <v>8</v>
      </c>
      <c r="M198" s="1776">
        <v>12</v>
      </c>
      <c r="N198" s="2043">
        <f t="shared" si="77"/>
        <v>0.14285714285714285</v>
      </c>
      <c r="O198" s="1776">
        <v>12</v>
      </c>
      <c r="P198" s="1776">
        <v>12</v>
      </c>
      <c r="Q198" s="1776">
        <v>12</v>
      </c>
      <c r="R198" s="1776">
        <v>12</v>
      </c>
      <c r="S198" s="1802"/>
      <c r="T198" s="3449"/>
      <c r="U198" s="3585"/>
      <c r="V198" s="3586"/>
      <c r="W198" s="3586"/>
      <c r="X198" s="3586"/>
      <c r="Y198" s="3586"/>
      <c r="Z198" s="3586"/>
      <c r="AA198" s="3586"/>
      <c r="AB198" s="3587"/>
      <c r="AE198" s="84"/>
      <c r="AF198" s="84"/>
    </row>
    <row r="199" spans="1:32" ht="42" hidden="1" customHeight="1">
      <c r="A199" s="2234" t="s">
        <v>3153</v>
      </c>
      <c r="B199" s="2235" t="s">
        <v>3154</v>
      </c>
      <c r="C199" s="2236"/>
      <c r="D199" s="1511"/>
      <c r="E199" s="1512"/>
      <c r="F199" s="1513"/>
      <c r="G199" s="1913"/>
      <c r="H199" s="1512"/>
      <c r="I199" s="1513"/>
      <c r="J199" s="1776">
        <v>10</v>
      </c>
      <c r="K199" s="1776">
        <v>10</v>
      </c>
      <c r="L199" s="1776">
        <v>0</v>
      </c>
      <c r="M199" s="1776">
        <v>20</v>
      </c>
      <c r="N199" s="2043">
        <f t="shared" si="77"/>
        <v>-1</v>
      </c>
      <c r="O199" s="1776">
        <v>0</v>
      </c>
      <c r="P199" s="1776"/>
      <c r="Q199" s="1776">
        <v>0</v>
      </c>
      <c r="R199" s="1776"/>
      <c r="S199" s="1802"/>
      <c r="T199" s="3568"/>
      <c r="U199" s="3588"/>
      <c r="V199" s="3589"/>
      <c r="W199" s="3589"/>
      <c r="X199" s="3589"/>
      <c r="Y199" s="3589"/>
      <c r="Z199" s="3589"/>
      <c r="AA199" s="3589"/>
      <c r="AB199" s="3590"/>
      <c r="AE199" s="84"/>
      <c r="AF199" s="84"/>
    </row>
    <row r="200" spans="1:32" ht="42" customHeight="1">
      <c r="A200" s="2942" t="s">
        <v>4072</v>
      </c>
      <c r="B200" s="3470" t="s">
        <v>3889</v>
      </c>
      <c r="C200" s="3473">
        <v>188711925</v>
      </c>
      <c r="D200" s="706" t="s">
        <v>470</v>
      </c>
      <c r="E200" s="1076"/>
      <c r="F200" s="1439"/>
      <c r="G200" s="1443">
        <v>10</v>
      </c>
      <c r="H200" s="1076">
        <v>10</v>
      </c>
      <c r="I200" s="1439">
        <f t="shared" ref="I200:I210" si="87">J200/H200-1</f>
        <v>5</v>
      </c>
      <c r="J200" s="1076">
        <f>SUM(J211,J212,J213,)</f>
        <v>60</v>
      </c>
      <c r="K200" s="1076"/>
      <c r="L200" s="722">
        <v>241.50200000000001</v>
      </c>
      <c r="M200" s="1496">
        <v>625</v>
      </c>
      <c r="N200" s="2055"/>
      <c r="O200" s="722">
        <v>890</v>
      </c>
      <c r="P200" s="1496">
        <v>890</v>
      </c>
      <c r="Q200" s="1076"/>
      <c r="R200" s="1496"/>
      <c r="S200" s="3386" t="s">
        <v>2265</v>
      </c>
      <c r="T200" s="3427" t="s">
        <v>4233</v>
      </c>
      <c r="U200" s="2942" t="s">
        <v>4075</v>
      </c>
      <c r="V200" s="2942" t="s">
        <v>4232</v>
      </c>
      <c r="W200" s="3406">
        <v>1</v>
      </c>
      <c r="X200" s="3406" t="s">
        <v>585</v>
      </c>
      <c r="Y200" s="3406">
        <v>0</v>
      </c>
      <c r="Z200" s="3406">
        <v>8213</v>
      </c>
      <c r="AA200" s="3406">
        <v>0</v>
      </c>
      <c r="AB200" s="2942" t="s">
        <v>2347</v>
      </c>
      <c r="AE200" s="84"/>
      <c r="AF200" s="84"/>
    </row>
    <row r="201" spans="1:32" ht="42" customHeight="1">
      <c r="A201" s="2943"/>
      <c r="B201" s="3471"/>
      <c r="C201" s="3474"/>
      <c r="D201" s="706" t="s">
        <v>2747</v>
      </c>
      <c r="E201" s="1076"/>
      <c r="F201" s="1439"/>
      <c r="G201" s="1443"/>
      <c r="H201" s="1076"/>
      <c r="I201" s="1439"/>
      <c r="J201" s="1076"/>
      <c r="K201" s="1076"/>
      <c r="L201" s="722">
        <v>383.49799999999999</v>
      </c>
      <c r="M201" s="1496"/>
      <c r="N201" s="2055"/>
      <c r="O201" s="722"/>
      <c r="P201" s="1496"/>
      <c r="Q201" s="1076"/>
      <c r="R201" s="1496"/>
      <c r="S201" s="3387"/>
      <c r="T201" s="3376"/>
      <c r="U201" s="2943"/>
      <c r="V201" s="2943"/>
      <c r="W201" s="3521"/>
      <c r="X201" s="3521"/>
      <c r="Y201" s="3521"/>
      <c r="Z201" s="3521"/>
      <c r="AA201" s="3521"/>
      <c r="AB201" s="2943"/>
      <c r="AE201" s="84"/>
      <c r="AF201" s="84"/>
    </row>
    <row r="202" spans="1:32" ht="42" customHeight="1">
      <c r="A202" s="3469"/>
      <c r="B202" s="3472"/>
      <c r="C202" s="3475"/>
      <c r="D202" s="725" t="s">
        <v>1067</v>
      </c>
      <c r="E202" s="726">
        <f>SUM(E193:E200)</f>
        <v>0</v>
      </c>
      <c r="F202" s="911"/>
      <c r="G202" s="1198">
        <f>G200</f>
        <v>10</v>
      </c>
      <c r="H202" s="728">
        <f t="shared" ref="H202" si="88">H200</f>
        <v>10</v>
      </c>
      <c r="I202" s="729">
        <f t="shared" si="87"/>
        <v>5</v>
      </c>
      <c r="J202" s="728">
        <f t="shared" ref="J202:M202" si="89">J200</f>
        <v>60</v>
      </c>
      <c r="K202" s="728">
        <f t="shared" si="89"/>
        <v>0</v>
      </c>
      <c r="L202" s="728">
        <f>SUM(L200,L201)</f>
        <v>625</v>
      </c>
      <c r="M202" s="1464">
        <f t="shared" si="89"/>
        <v>625</v>
      </c>
      <c r="N202" s="2056"/>
      <c r="O202" s="728">
        <f t="shared" ref="O202:R202" si="90">O200</f>
        <v>890</v>
      </c>
      <c r="P202" s="1464">
        <f t="shared" si="90"/>
        <v>890</v>
      </c>
      <c r="Q202" s="728">
        <f t="shared" si="90"/>
        <v>0</v>
      </c>
      <c r="R202" s="1464">
        <f t="shared" si="90"/>
        <v>0</v>
      </c>
      <c r="S202" s="3398"/>
      <c r="T202" s="3512"/>
      <c r="U202" s="2944"/>
      <c r="V202" s="2944"/>
      <c r="W202" s="3407"/>
      <c r="X202" s="3407"/>
      <c r="Y202" s="3407"/>
      <c r="Z202" s="3407"/>
      <c r="AA202" s="3407"/>
      <c r="AB202" s="2944"/>
      <c r="AE202" s="84"/>
      <c r="AF202" s="84"/>
    </row>
    <row r="203" spans="1:32" ht="42" customHeight="1">
      <c r="A203" s="2942" t="s">
        <v>4070</v>
      </c>
      <c r="B203" s="3470" t="s">
        <v>3890</v>
      </c>
      <c r="C203" s="3473">
        <v>188711925</v>
      </c>
      <c r="D203" s="706" t="s">
        <v>470</v>
      </c>
      <c r="E203" s="1076"/>
      <c r="F203" s="1439"/>
      <c r="G203" s="1443">
        <v>10</v>
      </c>
      <c r="H203" s="1076">
        <v>10</v>
      </c>
      <c r="I203" s="1439">
        <f t="shared" si="87"/>
        <v>1</v>
      </c>
      <c r="J203" s="1076">
        <f>SUM(J213,J214,J215,)</f>
        <v>20</v>
      </c>
      <c r="K203" s="1076"/>
      <c r="L203" s="722"/>
      <c r="M203" s="1496">
        <v>300</v>
      </c>
      <c r="N203" s="2055"/>
      <c r="O203" s="722">
        <v>100</v>
      </c>
      <c r="P203" s="1496">
        <v>100</v>
      </c>
      <c r="Q203" s="1076"/>
      <c r="R203" s="1496"/>
      <c r="S203" s="3386" t="s">
        <v>2265</v>
      </c>
      <c r="T203" s="3427" t="s">
        <v>4234</v>
      </c>
      <c r="U203" s="2942" t="s">
        <v>4074</v>
      </c>
      <c r="V203" s="2942" t="s">
        <v>4235</v>
      </c>
      <c r="W203" s="3406">
        <v>1</v>
      </c>
      <c r="X203" s="3406" t="s">
        <v>585</v>
      </c>
      <c r="Y203" s="3406">
        <v>0</v>
      </c>
      <c r="Z203" s="3406">
        <v>1</v>
      </c>
      <c r="AA203" s="3406">
        <v>0</v>
      </c>
      <c r="AB203" s="2942"/>
      <c r="AE203" s="84"/>
      <c r="AF203" s="84"/>
    </row>
    <row r="204" spans="1:32" ht="42" customHeight="1">
      <c r="A204" s="2943"/>
      <c r="B204" s="3471"/>
      <c r="C204" s="3474"/>
      <c r="D204" s="706" t="s">
        <v>2747</v>
      </c>
      <c r="E204" s="1076"/>
      <c r="F204" s="1439"/>
      <c r="G204" s="1443"/>
      <c r="H204" s="1076"/>
      <c r="I204" s="1439"/>
      <c r="J204" s="1076"/>
      <c r="K204" s="1076"/>
      <c r="L204" s="722">
        <v>300</v>
      </c>
      <c r="M204" s="1496"/>
      <c r="N204" s="2055"/>
      <c r="O204" s="722"/>
      <c r="P204" s="1496"/>
      <c r="Q204" s="1076"/>
      <c r="R204" s="1496"/>
      <c r="S204" s="3387"/>
      <c r="T204" s="3376"/>
      <c r="U204" s="2943"/>
      <c r="V204" s="2943"/>
      <c r="W204" s="3521"/>
      <c r="X204" s="3521"/>
      <c r="Y204" s="3521"/>
      <c r="Z204" s="3521"/>
      <c r="AA204" s="3521"/>
      <c r="AB204" s="2943"/>
      <c r="AE204" s="84"/>
      <c r="AF204" s="84"/>
    </row>
    <row r="205" spans="1:32" ht="42" customHeight="1">
      <c r="A205" s="3469"/>
      <c r="B205" s="3472"/>
      <c r="C205" s="3475"/>
      <c r="D205" s="725" t="s">
        <v>1067</v>
      </c>
      <c r="E205" s="726">
        <f>SUM(E195:E203)</f>
        <v>0</v>
      </c>
      <c r="F205" s="911"/>
      <c r="G205" s="1198">
        <f>G203</f>
        <v>10</v>
      </c>
      <c r="H205" s="728">
        <f>H203</f>
        <v>10</v>
      </c>
      <c r="I205" s="729">
        <f t="shared" si="87"/>
        <v>1</v>
      </c>
      <c r="J205" s="728">
        <f t="shared" ref="J205:M205" si="91">J203</f>
        <v>20</v>
      </c>
      <c r="K205" s="728">
        <f t="shared" si="91"/>
        <v>0</v>
      </c>
      <c r="L205" s="728">
        <f>L204</f>
        <v>300</v>
      </c>
      <c r="M205" s="1464">
        <f t="shared" si="91"/>
        <v>300</v>
      </c>
      <c r="N205" s="2056"/>
      <c r="O205" s="728">
        <f t="shared" ref="O205:R205" si="92">O203</f>
        <v>100</v>
      </c>
      <c r="P205" s="1464">
        <f t="shared" si="92"/>
        <v>100</v>
      </c>
      <c r="Q205" s="728">
        <f t="shared" si="92"/>
        <v>0</v>
      </c>
      <c r="R205" s="1464">
        <f t="shared" si="92"/>
        <v>0</v>
      </c>
      <c r="S205" s="3398"/>
      <c r="T205" s="3512"/>
      <c r="U205" s="2944"/>
      <c r="V205" s="2944"/>
      <c r="W205" s="3407"/>
      <c r="X205" s="3407"/>
      <c r="Y205" s="3407"/>
      <c r="Z205" s="3407"/>
      <c r="AA205" s="3407"/>
      <c r="AB205" s="2944"/>
      <c r="AE205" s="84"/>
      <c r="AF205" s="84"/>
    </row>
    <row r="206" spans="1:32" ht="42" customHeight="1">
      <c r="A206" s="2942" t="s">
        <v>4071</v>
      </c>
      <c r="B206" s="3470" t="s">
        <v>3892</v>
      </c>
      <c r="C206" s="3473">
        <v>188711925</v>
      </c>
      <c r="D206" s="706" t="s">
        <v>470</v>
      </c>
      <c r="E206" s="1076"/>
      <c r="F206" s="1439"/>
      <c r="G206" s="1443">
        <v>10</v>
      </c>
      <c r="H206" s="1076">
        <v>10</v>
      </c>
      <c r="I206" s="1439">
        <f t="shared" si="87"/>
        <v>1</v>
      </c>
      <c r="J206" s="1076">
        <f>SUM(J215,J216,J217,)</f>
        <v>20</v>
      </c>
      <c r="K206" s="1076"/>
      <c r="L206" s="722"/>
      <c r="M206" s="1496">
        <v>350</v>
      </c>
      <c r="N206" s="2055"/>
      <c r="O206" s="722">
        <v>800</v>
      </c>
      <c r="P206" s="1496">
        <v>800</v>
      </c>
      <c r="Q206" s="1076"/>
      <c r="R206" s="1496"/>
      <c r="S206" s="3386" t="s">
        <v>2265</v>
      </c>
      <c r="T206" s="3427" t="s">
        <v>4236</v>
      </c>
      <c r="U206" s="2942" t="s">
        <v>4073</v>
      </c>
      <c r="V206" s="2942" t="s">
        <v>3891</v>
      </c>
      <c r="W206" s="3406">
        <v>1</v>
      </c>
      <c r="X206" s="3406" t="s">
        <v>585</v>
      </c>
      <c r="Y206" s="3406">
        <v>0</v>
      </c>
      <c r="Z206" s="3570">
        <v>1406.82</v>
      </c>
      <c r="AA206" s="3406">
        <v>0</v>
      </c>
      <c r="AB206" s="2942"/>
      <c r="AE206" s="84"/>
      <c r="AF206" s="84"/>
    </row>
    <row r="207" spans="1:32" ht="42" customHeight="1">
      <c r="A207" s="2943"/>
      <c r="B207" s="3471"/>
      <c r="C207" s="3474"/>
      <c r="D207" s="706" t="s">
        <v>2747</v>
      </c>
      <c r="E207" s="1076"/>
      <c r="F207" s="1439"/>
      <c r="G207" s="1443"/>
      <c r="H207" s="1076"/>
      <c r="I207" s="1439"/>
      <c r="J207" s="1076"/>
      <c r="K207" s="1076"/>
      <c r="L207" s="722">
        <v>350</v>
      </c>
      <c r="M207" s="1496"/>
      <c r="N207" s="2055"/>
      <c r="O207" s="722"/>
      <c r="P207" s="1496"/>
      <c r="Q207" s="1076"/>
      <c r="R207" s="1496"/>
      <c r="S207" s="3387"/>
      <c r="T207" s="3376"/>
      <c r="U207" s="2943"/>
      <c r="V207" s="2943"/>
      <c r="W207" s="3521"/>
      <c r="X207" s="3521"/>
      <c r="Y207" s="3521"/>
      <c r="Z207" s="3571"/>
      <c r="AA207" s="3521"/>
      <c r="AB207" s="2943"/>
      <c r="AE207" s="84"/>
      <c r="AF207" s="84"/>
    </row>
    <row r="208" spans="1:32" ht="61.2" customHeight="1">
      <c r="A208" s="3469"/>
      <c r="B208" s="3472"/>
      <c r="C208" s="3475"/>
      <c r="D208" s="725" t="s">
        <v>1067</v>
      </c>
      <c r="E208" s="726">
        <f>SUM(E197:E206)</f>
        <v>0</v>
      </c>
      <c r="F208" s="911"/>
      <c r="G208" s="1198">
        <f>G206</f>
        <v>10</v>
      </c>
      <c r="H208" s="728">
        <f>H206</f>
        <v>10</v>
      </c>
      <c r="I208" s="729">
        <f t="shared" si="87"/>
        <v>1</v>
      </c>
      <c r="J208" s="728">
        <f t="shared" ref="J208:M208" si="93">J206</f>
        <v>20</v>
      </c>
      <c r="K208" s="728">
        <f t="shared" si="93"/>
        <v>0</v>
      </c>
      <c r="L208" s="728">
        <f>SUM(L206,L207)</f>
        <v>350</v>
      </c>
      <c r="M208" s="1464">
        <f t="shared" si="93"/>
        <v>350</v>
      </c>
      <c r="N208" s="2056"/>
      <c r="O208" s="728">
        <f t="shared" ref="O208:R208" si="94">O206</f>
        <v>800</v>
      </c>
      <c r="P208" s="1464">
        <f t="shared" si="94"/>
        <v>800</v>
      </c>
      <c r="Q208" s="728">
        <f t="shared" si="94"/>
        <v>0</v>
      </c>
      <c r="R208" s="1464">
        <f t="shared" si="94"/>
        <v>0</v>
      </c>
      <c r="S208" s="3398"/>
      <c r="T208" s="3512"/>
      <c r="U208" s="2944"/>
      <c r="V208" s="2944"/>
      <c r="W208" s="3407"/>
      <c r="X208" s="3407"/>
      <c r="Y208" s="3407"/>
      <c r="Z208" s="3572"/>
      <c r="AA208" s="3407"/>
      <c r="AB208" s="2944"/>
      <c r="AE208" s="84"/>
      <c r="AF208" s="84"/>
    </row>
    <row r="209" spans="1:90" s="91" customFormat="1" ht="42" customHeight="1">
      <c r="A209" s="3505" t="s">
        <v>4098</v>
      </c>
      <c r="B209" s="3507" t="s">
        <v>4100</v>
      </c>
      <c r="C209" s="3420">
        <v>188711925</v>
      </c>
      <c r="D209" s="1817" t="s">
        <v>470</v>
      </c>
      <c r="E209" s="1818"/>
      <c r="F209" s="1863"/>
      <c r="G209" s="1864">
        <v>10</v>
      </c>
      <c r="H209" s="1818">
        <v>10</v>
      </c>
      <c r="I209" s="1863">
        <f t="shared" si="87"/>
        <v>1</v>
      </c>
      <c r="J209" s="1818">
        <f>SUM(J217,J218,J219,)</f>
        <v>20</v>
      </c>
      <c r="K209" s="1818"/>
      <c r="L209" s="1818">
        <f>M209</f>
        <v>25</v>
      </c>
      <c r="M209" s="1496">
        <v>25</v>
      </c>
      <c r="N209" s="2055"/>
      <c r="O209" s="722">
        <v>100</v>
      </c>
      <c r="P209" s="1496">
        <v>100</v>
      </c>
      <c r="Q209" s="1496"/>
      <c r="R209" s="1496"/>
      <c r="S209" s="3386" t="s">
        <v>2265</v>
      </c>
      <c r="T209" s="3427" t="s">
        <v>4237</v>
      </c>
      <c r="U209" s="3505" t="s">
        <v>4099</v>
      </c>
      <c r="V209" s="3505" t="s">
        <v>4116</v>
      </c>
      <c r="W209" s="3382">
        <v>1</v>
      </c>
      <c r="X209" s="3382" t="s">
        <v>585</v>
      </c>
      <c r="Y209" s="3382">
        <v>1</v>
      </c>
      <c r="Z209" s="3382">
        <v>0</v>
      </c>
      <c r="AA209" s="3382">
        <v>0</v>
      </c>
      <c r="AB209" s="3384"/>
    </row>
    <row r="210" spans="1:90" s="91" customFormat="1" ht="42" customHeight="1">
      <c r="A210" s="3506"/>
      <c r="B210" s="3508"/>
      <c r="C210" s="3421"/>
      <c r="D210" s="1865" t="s">
        <v>1067</v>
      </c>
      <c r="E210" s="1866">
        <f>SUM(E199:E209)</f>
        <v>0</v>
      </c>
      <c r="F210" s="1867"/>
      <c r="G210" s="1868">
        <f>G209</f>
        <v>10</v>
      </c>
      <c r="H210" s="1866">
        <f t="shared" ref="H210" si="95">H209</f>
        <v>10</v>
      </c>
      <c r="I210" s="1867">
        <f t="shared" si="87"/>
        <v>1</v>
      </c>
      <c r="J210" s="1866">
        <f t="shared" ref="J210:M210" si="96">J209</f>
        <v>20</v>
      </c>
      <c r="K210" s="1866">
        <f t="shared" si="96"/>
        <v>0</v>
      </c>
      <c r="L210" s="1866">
        <f t="shared" si="96"/>
        <v>25</v>
      </c>
      <c r="M210" s="1464">
        <f t="shared" si="96"/>
        <v>25</v>
      </c>
      <c r="N210" s="2056"/>
      <c r="O210" s="728">
        <f t="shared" ref="O210:R210" si="97">O209</f>
        <v>100</v>
      </c>
      <c r="P210" s="1464">
        <f t="shared" si="97"/>
        <v>100</v>
      </c>
      <c r="Q210" s="1464">
        <f t="shared" si="97"/>
        <v>0</v>
      </c>
      <c r="R210" s="1464">
        <f t="shared" si="97"/>
        <v>0</v>
      </c>
      <c r="S210" s="3398"/>
      <c r="T210" s="3512"/>
      <c r="U210" s="3569"/>
      <c r="V210" s="3569"/>
      <c r="W210" s="3383"/>
      <c r="X210" s="3383"/>
      <c r="Y210" s="3383"/>
      <c r="Z210" s="3383"/>
      <c r="AA210" s="3383"/>
      <c r="AB210" s="3385"/>
    </row>
    <row r="211" spans="1:90" ht="63.6" customHeight="1">
      <c r="A211" s="663" t="s">
        <v>2130</v>
      </c>
      <c r="B211" s="663" t="s">
        <v>1290</v>
      </c>
      <c r="C211" s="663"/>
      <c r="D211" s="663"/>
      <c r="E211" s="718">
        <f>E213</f>
        <v>19</v>
      </c>
      <c r="F211" s="897">
        <f t="shared" si="78"/>
        <v>-0.47368421052631576</v>
      </c>
      <c r="G211" s="1222">
        <f t="shared" ref="G211:R211" si="98">G213</f>
        <v>21</v>
      </c>
      <c r="H211" s="690">
        <f t="shared" si="98"/>
        <v>10</v>
      </c>
      <c r="I211" s="747">
        <f t="shared" si="84"/>
        <v>1</v>
      </c>
      <c r="J211" s="718">
        <f t="shared" si="98"/>
        <v>20</v>
      </c>
      <c r="K211" s="690">
        <f t="shared" si="98"/>
        <v>10</v>
      </c>
      <c r="L211" s="690">
        <f t="shared" si="98"/>
        <v>24</v>
      </c>
      <c r="M211" s="1495">
        <f t="shared" si="98"/>
        <v>24</v>
      </c>
      <c r="N211" s="2057">
        <f t="shared" si="77"/>
        <v>1.4</v>
      </c>
      <c r="O211" s="690">
        <f t="shared" si="98"/>
        <v>20</v>
      </c>
      <c r="P211" s="1495">
        <f t="shared" si="98"/>
        <v>20</v>
      </c>
      <c r="Q211" s="690">
        <f t="shared" si="98"/>
        <v>20</v>
      </c>
      <c r="R211" s="1495">
        <f t="shared" si="98"/>
        <v>20</v>
      </c>
      <c r="S211" s="1223" t="s">
        <v>2306</v>
      </c>
      <c r="T211" s="663"/>
      <c r="U211" s="663" t="s">
        <v>1654</v>
      </c>
      <c r="V211" s="663" t="s">
        <v>1014</v>
      </c>
      <c r="W211" s="663">
        <v>1.56</v>
      </c>
      <c r="X211" s="663">
        <v>2</v>
      </c>
      <c r="Y211" s="663">
        <v>2.1</v>
      </c>
      <c r="Z211" s="663">
        <v>2.1</v>
      </c>
      <c r="AA211" s="663">
        <v>2.1</v>
      </c>
      <c r="AB211" s="663" t="s">
        <v>1014</v>
      </c>
      <c r="AE211" s="84"/>
      <c r="AF211" s="84"/>
    </row>
    <row r="212" spans="1:90" ht="42" customHeight="1">
      <c r="A212" s="3388" t="s">
        <v>2108</v>
      </c>
      <c r="B212" s="2733" t="s">
        <v>3776</v>
      </c>
      <c r="C212" s="2719">
        <v>188711925</v>
      </c>
      <c r="D212" s="706" t="s">
        <v>470</v>
      </c>
      <c r="E212" s="720">
        <v>19</v>
      </c>
      <c r="F212" s="914">
        <f t="shared" si="78"/>
        <v>-0.47368421052631576</v>
      </c>
      <c r="G212" s="875">
        <v>21</v>
      </c>
      <c r="H212" s="722">
        <v>10</v>
      </c>
      <c r="I212" s="1014">
        <f t="shared" si="84"/>
        <v>1</v>
      </c>
      <c r="J212" s="720">
        <v>20</v>
      </c>
      <c r="K212" s="722">
        <v>10</v>
      </c>
      <c r="L212" s="722">
        <v>24</v>
      </c>
      <c r="M212" s="1496">
        <v>24</v>
      </c>
      <c r="N212" s="2055">
        <f t="shared" si="77"/>
        <v>1.4</v>
      </c>
      <c r="O212" s="722">
        <v>20</v>
      </c>
      <c r="P212" s="1496">
        <v>20</v>
      </c>
      <c r="Q212" s="722">
        <v>20</v>
      </c>
      <c r="R212" s="1496">
        <v>20</v>
      </c>
      <c r="S212" s="3386" t="s">
        <v>2307</v>
      </c>
      <c r="T212" s="3551" t="s">
        <v>4238</v>
      </c>
      <c r="U212" s="2942" t="s">
        <v>1653</v>
      </c>
      <c r="V212" s="2942" t="s">
        <v>1583</v>
      </c>
      <c r="W212" s="3406">
        <v>1</v>
      </c>
      <c r="X212" s="3406">
        <v>2</v>
      </c>
      <c r="Y212" s="3406">
        <v>0</v>
      </c>
      <c r="Z212" s="3406">
        <v>3</v>
      </c>
      <c r="AA212" s="3406">
        <v>3</v>
      </c>
      <c r="AB212" s="2942" t="s">
        <v>2448</v>
      </c>
      <c r="AE212" s="84"/>
      <c r="AF212" s="84"/>
    </row>
    <row r="213" spans="1:90" ht="89.4" customHeight="1">
      <c r="A213" s="3388"/>
      <c r="B213" s="2733"/>
      <c r="C213" s="2719"/>
      <c r="D213" s="725" t="s">
        <v>1067</v>
      </c>
      <c r="E213" s="726">
        <f>SUM(E212)</f>
        <v>19</v>
      </c>
      <c r="F213" s="911">
        <f t="shared" si="78"/>
        <v>-0.47368421052631576</v>
      </c>
      <c r="G213" s="1198">
        <f t="shared" ref="G213:R213" si="99">SUM(G212)</f>
        <v>21</v>
      </c>
      <c r="H213" s="728">
        <f t="shared" si="99"/>
        <v>10</v>
      </c>
      <c r="I213" s="729">
        <f t="shared" si="84"/>
        <v>1</v>
      </c>
      <c r="J213" s="726">
        <f t="shared" si="99"/>
        <v>20</v>
      </c>
      <c r="K213" s="728">
        <f t="shared" si="99"/>
        <v>10</v>
      </c>
      <c r="L213" s="728">
        <f t="shared" si="99"/>
        <v>24</v>
      </c>
      <c r="M213" s="1464">
        <f t="shared" si="99"/>
        <v>24</v>
      </c>
      <c r="N213" s="2056">
        <f t="shared" si="77"/>
        <v>1.4</v>
      </c>
      <c r="O213" s="728">
        <f t="shared" si="99"/>
        <v>20</v>
      </c>
      <c r="P213" s="1464">
        <f t="shared" si="99"/>
        <v>20</v>
      </c>
      <c r="Q213" s="728">
        <f t="shared" si="99"/>
        <v>20</v>
      </c>
      <c r="R213" s="1464">
        <f t="shared" si="99"/>
        <v>20</v>
      </c>
      <c r="S213" s="3398"/>
      <c r="T213" s="3552"/>
      <c r="U213" s="2944"/>
      <c r="V213" s="2944"/>
      <c r="W213" s="3407"/>
      <c r="X213" s="3407"/>
      <c r="Y213" s="3407"/>
      <c r="Z213" s="3407"/>
      <c r="AA213" s="3407"/>
      <c r="AB213" s="2944"/>
      <c r="AE213" s="84"/>
      <c r="AF213" s="84"/>
    </row>
    <row r="214" spans="1:90" ht="42" hidden="1" customHeight="1">
      <c r="A214" s="1261" t="s">
        <v>2131</v>
      </c>
      <c r="B214" s="1261" t="s">
        <v>1291</v>
      </c>
      <c r="C214" s="1261"/>
      <c r="D214" s="1261"/>
      <c r="E214" s="1262">
        <f>E216</f>
        <v>0</v>
      </c>
      <c r="F214" s="1263" t="e">
        <f t="shared" si="78"/>
        <v>#DIV/0!</v>
      </c>
      <c r="G214" s="1264"/>
      <c r="H214" s="1261"/>
      <c r="I214" s="747" t="e">
        <f t="shared" si="84"/>
        <v>#DIV/0!</v>
      </c>
      <c r="J214" s="1265"/>
      <c r="K214" s="1261"/>
      <c r="L214" s="1261"/>
      <c r="M214" s="1639"/>
      <c r="N214" s="2042" t="e">
        <f t="shared" si="77"/>
        <v>#DIV/0!</v>
      </c>
      <c r="O214" s="1261"/>
      <c r="P214" s="1639"/>
      <c r="Q214" s="1261"/>
      <c r="R214" s="1639"/>
      <c r="S214" s="1266"/>
      <c r="T214" s="1261"/>
      <c r="U214" s="1261" t="s">
        <v>1655</v>
      </c>
      <c r="V214" s="1261" t="s">
        <v>2449</v>
      </c>
      <c r="W214" s="1261">
        <v>0</v>
      </c>
      <c r="X214" s="1261">
        <v>0</v>
      </c>
      <c r="Y214" s="1261">
        <v>0</v>
      </c>
      <c r="Z214" s="1261"/>
      <c r="AA214" s="1261"/>
      <c r="AB214" s="1261"/>
      <c r="AE214" s="84"/>
      <c r="AF214" s="84"/>
    </row>
    <row r="215" spans="1:90" ht="42" hidden="1" customHeight="1">
      <c r="A215" s="3548" t="s">
        <v>2109</v>
      </c>
      <c r="B215" s="3501" t="s">
        <v>1292</v>
      </c>
      <c r="C215" s="3541"/>
      <c r="D215" s="1267" t="s">
        <v>470</v>
      </c>
      <c r="E215" s="1268">
        <v>0</v>
      </c>
      <c r="F215" s="1263" t="e">
        <f t="shared" si="78"/>
        <v>#DIV/0!</v>
      </c>
      <c r="G215" s="1269"/>
      <c r="H215" s="1270"/>
      <c r="I215" s="747" t="e">
        <f t="shared" si="84"/>
        <v>#DIV/0!</v>
      </c>
      <c r="J215" s="1268"/>
      <c r="K215" s="1270"/>
      <c r="L215" s="1270"/>
      <c r="M215" s="1640"/>
      <c r="N215" s="2042" t="e">
        <f t="shared" si="77"/>
        <v>#DIV/0!</v>
      </c>
      <c r="O215" s="1270"/>
      <c r="P215" s="1640"/>
      <c r="Q215" s="1270"/>
      <c r="R215" s="1640"/>
      <c r="S215" s="3415"/>
      <c r="T215" s="3513" t="s">
        <v>2450</v>
      </c>
      <c r="U215" s="3539" t="s">
        <v>1656</v>
      </c>
      <c r="V215" s="3539" t="s">
        <v>2451</v>
      </c>
      <c r="W215" s="3404">
        <v>1</v>
      </c>
      <c r="X215" s="3404">
        <v>1</v>
      </c>
      <c r="Y215" s="3404">
        <v>1</v>
      </c>
      <c r="Z215" s="1271"/>
      <c r="AA215" s="1271"/>
      <c r="AB215" s="3539"/>
      <c r="AE215" s="84"/>
      <c r="AF215" s="84"/>
    </row>
    <row r="216" spans="1:90" ht="42" hidden="1" customHeight="1">
      <c r="A216" s="3549"/>
      <c r="B216" s="3502"/>
      <c r="C216" s="3542"/>
      <c r="D216" s="1272" t="s">
        <v>1067</v>
      </c>
      <c r="E216" s="1273"/>
      <c r="F216" s="1274" t="e">
        <f t="shared" si="78"/>
        <v>#DIV/0!</v>
      </c>
      <c r="G216" s="1275"/>
      <c r="H216" s="1276"/>
      <c r="I216" s="1237" t="e">
        <f t="shared" si="84"/>
        <v>#DIV/0!</v>
      </c>
      <c r="J216" s="1273"/>
      <c r="K216" s="1276"/>
      <c r="L216" s="1276"/>
      <c r="M216" s="1641"/>
      <c r="N216" s="2042" t="e">
        <f t="shared" si="77"/>
        <v>#DIV/0!</v>
      </c>
      <c r="O216" s="1276"/>
      <c r="P216" s="1641"/>
      <c r="Q216" s="1276"/>
      <c r="R216" s="1641"/>
      <c r="S216" s="3416"/>
      <c r="T216" s="3514"/>
      <c r="U216" s="3540"/>
      <c r="V216" s="3540"/>
      <c r="W216" s="3405"/>
      <c r="X216" s="3405"/>
      <c r="Y216" s="3405"/>
      <c r="Z216" s="1277"/>
      <c r="AA216" s="1277"/>
      <c r="AB216" s="3540"/>
      <c r="AE216" s="84"/>
      <c r="AF216" s="84"/>
    </row>
    <row r="217" spans="1:90" ht="42" hidden="1" customHeight="1">
      <c r="A217" s="1278"/>
      <c r="B217" s="1279" t="s">
        <v>3501</v>
      </c>
      <c r="C217" s="919"/>
      <c r="D217" s="701"/>
      <c r="E217" s="759"/>
      <c r="F217" s="1280"/>
      <c r="G217" s="1281"/>
      <c r="H217" s="740"/>
      <c r="I217" s="760"/>
      <c r="J217" s="909">
        <v>20</v>
      </c>
      <c r="K217" s="684">
        <v>10</v>
      </c>
      <c r="L217" s="684">
        <v>10</v>
      </c>
      <c r="M217" s="1642">
        <v>10</v>
      </c>
      <c r="N217" s="2042">
        <f t="shared" si="77"/>
        <v>0</v>
      </c>
      <c r="O217" s="684">
        <v>10</v>
      </c>
      <c r="P217" s="1642">
        <v>10</v>
      </c>
      <c r="Q217" s="684">
        <v>10</v>
      </c>
      <c r="R217" s="1642">
        <v>10</v>
      </c>
      <c r="S217" s="1063"/>
      <c r="T217" s="1282"/>
      <c r="U217" s="920"/>
      <c r="V217" s="920"/>
      <c r="W217" s="1283"/>
      <c r="X217" s="1283"/>
      <c r="Y217" s="1283"/>
      <c r="Z217" s="1283"/>
      <c r="AA217" s="1283"/>
      <c r="AB217" s="921"/>
      <c r="AE217" s="84"/>
      <c r="AF217" s="84"/>
    </row>
    <row r="218" spans="1:90" ht="42" hidden="1" customHeight="1">
      <c r="A218" s="893"/>
      <c r="B218" s="1284" t="s">
        <v>3191</v>
      </c>
      <c r="C218" s="739"/>
      <c r="D218" s="700"/>
      <c r="E218" s="755"/>
      <c r="F218" s="1180"/>
      <c r="G218" s="755"/>
      <c r="H218" s="737"/>
      <c r="I218" s="733"/>
      <c r="J218" s="755"/>
      <c r="K218" s="737"/>
      <c r="L218" s="681">
        <v>1260.442</v>
      </c>
      <c r="M218" s="1470">
        <v>1260.442</v>
      </c>
      <c r="N218" s="2042" t="e">
        <f t="shared" si="77"/>
        <v>#DIV/0!</v>
      </c>
      <c r="O218" s="681">
        <v>1260.443</v>
      </c>
      <c r="P218" s="1470">
        <v>1260.443</v>
      </c>
      <c r="Q218" s="681">
        <v>1260.443</v>
      </c>
      <c r="R218" s="1470">
        <v>1260.443</v>
      </c>
      <c r="S218" s="737"/>
      <c r="T218" s="691" t="s">
        <v>3194</v>
      </c>
      <c r="U218" s="683"/>
      <c r="V218" s="683"/>
      <c r="W218" s="1285"/>
      <c r="X218" s="1285"/>
      <c r="Y218" s="1285"/>
      <c r="Z218" s="1285"/>
      <c r="AA218" s="1285"/>
      <c r="AB218" s="925"/>
      <c r="AE218" s="84"/>
      <c r="AF218" s="84"/>
    </row>
    <row r="219" spans="1:90" ht="42" hidden="1" customHeight="1">
      <c r="A219" s="893"/>
      <c r="B219" s="1284" t="s">
        <v>3192</v>
      </c>
      <c r="C219" s="739"/>
      <c r="D219" s="700"/>
      <c r="E219" s="755"/>
      <c r="F219" s="1180"/>
      <c r="G219" s="755"/>
      <c r="H219" s="737"/>
      <c r="I219" s="733"/>
      <c r="J219" s="755"/>
      <c r="K219" s="737"/>
      <c r="L219" s="681">
        <v>565.63800000000003</v>
      </c>
      <c r="M219" s="1470">
        <v>565.63800000000003</v>
      </c>
      <c r="N219" s="2042" t="e">
        <f t="shared" si="77"/>
        <v>#DIV/0!</v>
      </c>
      <c r="O219" s="681">
        <v>565.63800000000003</v>
      </c>
      <c r="P219" s="1470">
        <v>565.63800000000003</v>
      </c>
      <c r="Q219" s="681">
        <v>565.63800000000003</v>
      </c>
      <c r="R219" s="1470">
        <v>565.63800000000003</v>
      </c>
      <c r="S219" s="737"/>
      <c r="T219" s="691" t="s">
        <v>3195</v>
      </c>
      <c r="U219" s="683"/>
      <c r="V219" s="683"/>
      <c r="W219" s="1285"/>
      <c r="X219" s="1285"/>
      <c r="Y219" s="1285"/>
      <c r="Z219" s="1285"/>
      <c r="AA219" s="1285"/>
      <c r="AB219" s="925"/>
      <c r="AE219" s="84"/>
      <c r="AF219" s="84"/>
    </row>
    <row r="220" spans="1:90" ht="42" hidden="1" customHeight="1">
      <c r="A220" s="893"/>
      <c r="B220" s="1284" t="s">
        <v>3193</v>
      </c>
      <c r="C220" s="739"/>
      <c r="D220" s="700"/>
      <c r="E220" s="755"/>
      <c r="F220" s="1180"/>
      <c r="G220" s="1216"/>
      <c r="H220" s="737"/>
      <c r="I220" s="733"/>
      <c r="J220" s="755"/>
      <c r="K220" s="737"/>
      <c r="L220" s="681">
        <v>450.42</v>
      </c>
      <c r="M220" s="1470">
        <v>450.42</v>
      </c>
      <c r="N220" s="2042" t="e">
        <f t="shared" si="77"/>
        <v>#DIV/0!</v>
      </c>
      <c r="O220" s="681">
        <v>450.42</v>
      </c>
      <c r="P220" s="1470">
        <v>450.42</v>
      </c>
      <c r="Q220" s="681">
        <v>450.42</v>
      </c>
      <c r="R220" s="1470">
        <v>450.42</v>
      </c>
      <c r="S220" s="1183"/>
      <c r="T220" s="691" t="s">
        <v>3196</v>
      </c>
      <c r="U220" s="683"/>
      <c r="V220" s="683"/>
      <c r="W220" s="1285"/>
      <c r="X220" s="1285"/>
      <c r="Y220" s="1285"/>
      <c r="Z220" s="1285"/>
      <c r="AA220" s="1285"/>
      <c r="AB220" s="925"/>
      <c r="AE220" s="84"/>
      <c r="AF220" s="84"/>
    </row>
    <row r="221" spans="1:90" ht="57.6" customHeight="1">
      <c r="A221" s="663" t="s">
        <v>2129</v>
      </c>
      <c r="B221" s="663" t="s">
        <v>1293</v>
      </c>
      <c r="C221" s="663"/>
      <c r="D221" s="663"/>
      <c r="E221" s="715">
        <f>SUM(E223,E225,E229,E231,E234,E249,E251,E253,E255)</f>
        <v>4341.0519999999997</v>
      </c>
      <c r="F221" s="897">
        <f t="shared" si="78"/>
        <v>-0.93973810956422543</v>
      </c>
      <c r="G221" s="1222">
        <f>SUM(G223,G225,G229,G231,G234,G249,G251,G253,G255)</f>
        <v>297.3</v>
      </c>
      <c r="H221" s="690">
        <f>SUM(H223,H225,H229,H231,H234,H249,H251,H253,H255)</f>
        <v>261.60000000000002</v>
      </c>
      <c r="I221" s="747">
        <f t="shared" si="84"/>
        <v>0.90057721712538208</v>
      </c>
      <c r="J221" s="690">
        <f>SUM(J223,J225,J229,J231,J234,J249,J251,J253,J255)</f>
        <v>497.19099999999997</v>
      </c>
      <c r="K221" s="690">
        <f>SUM(K223,K225,K229,K231,K234,K249,K251,K253,K255)</f>
        <v>481.26</v>
      </c>
      <c r="L221" s="690">
        <f>SUM(L223,L225,L229,L231,L234,L249,L251,L253,L255)</f>
        <v>246.70000000000002</v>
      </c>
      <c r="M221" s="690">
        <f t="shared" ref="M221:Q221" si="100">SUM(M223,M225,M229,M231,M234,M249,M251,M253,M255)</f>
        <v>263.03700000000003</v>
      </c>
      <c r="N221" s="690" t="e">
        <f t="shared" si="100"/>
        <v>#DIV/0!</v>
      </c>
      <c r="O221" s="690">
        <f t="shared" si="100"/>
        <v>190.13200000000001</v>
      </c>
      <c r="P221" s="690">
        <f t="shared" si="100"/>
        <v>190.13200000000001</v>
      </c>
      <c r="Q221" s="690">
        <f t="shared" si="100"/>
        <v>175.97</v>
      </c>
      <c r="R221" s="1495">
        <f>SUM(R223,R225,R229,R231,R234,R249,R251,R253,R255)</f>
        <v>175.97</v>
      </c>
      <c r="S221" s="1223"/>
      <c r="T221" s="663"/>
      <c r="U221" s="663" t="s">
        <v>1657</v>
      </c>
      <c r="V221" s="663" t="s">
        <v>2453</v>
      </c>
      <c r="W221" s="663" t="s">
        <v>585</v>
      </c>
      <c r="X221" s="663" t="s">
        <v>585</v>
      </c>
      <c r="Y221" s="663" t="s">
        <v>585</v>
      </c>
      <c r="Z221" s="663" t="s">
        <v>585</v>
      </c>
      <c r="AA221" s="663" t="s">
        <v>585</v>
      </c>
      <c r="AB221" s="663" t="s">
        <v>357</v>
      </c>
      <c r="AE221" s="84"/>
      <c r="AF221" s="84"/>
      <c r="AG221" s="84" t="s">
        <v>2522</v>
      </c>
    </row>
    <row r="222" spans="1:90" ht="42" customHeight="1">
      <c r="A222" s="3379" t="s">
        <v>2110</v>
      </c>
      <c r="B222" s="3380" t="s">
        <v>1294</v>
      </c>
      <c r="C222" s="3391">
        <v>188711925</v>
      </c>
      <c r="D222" s="748" t="s">
        <v>48</v>
      </c>
      <c r="E222" s="749">
        <v>5</v>
      </c>
      <c r="F222" s="914">
        <f t="shared" si="78"/>
        <v>5.9999999999999963E-2</v>
      </c>
      <c r="G222" s="1202">
        <v>0.3</v>
      </c>
      <c r="H222" s="722">
        <v>5.3</v>
      </c>
      <c r="I222" s="1014">
        <f t="shared" si="84"/>
        <v>-0.81132075471698117</v>
      </c>
      <c r="J222" s="720">
        <v>1</v>
      </c>
      <c r="K222" s="722">
        <v>1</v>
      </c>
      <c r="L222" s="722">
        <v>1.2</v>
      </c>
      <c r="M222" s="1496">
        <v>1.2</v>
      </c>
      <c r="N222" s="2055">
        <f t="shared" si="77"/>
        <v>0.19999999999999996</v>
      </c>
      <c r="O222" s="722">
        <v>1</v>
      </c>
      <c r="P222" s="1496">
        <v>1</v>
      </c>
      <c r="Q222" s="722">
        <v>1</v>
      </c>
      <c r="R222" s="1496">
        <v>1</v>
      </c>
      <c r="S222" s="3399" t="s">
        <v>2346</v>
      </c>
      <c r="T222" s="2704" t="s">
        <v>4239</v>
      </c>
      <c r="U222" s="2942" t="s">
        <v>1658</v>
      </c>
      <c r="V222" s="2942" t="s">
        <v>1584</v>
      </c>
      <c r="W222" s="2942" t="s">
        <v>4</v>
      </c>
      <c r="X222" s="2942" t="s">
        <v>433</v>
      </c>
      <c r="Y222" s="2942" t="s">
        <v>1421</v>
      </c>
      <c r="Z222" s="2942" t="s">
        <v>142</v>
      </c>
      <c r="AA222" s="2942" t="s">
        <v>142</v>
      </c>
      <c r="AB222" s="2942" t="s">
        <v>2347</v>
      </c>
      <c r="AE222" s="84"/>
      <c r="AF222" s="84"/>
    </row>
    <row r="223" spans="1:90" ht="42" customHeight="1">
      <c r="A223" s="3379"/>
      <c r="B223" s="3381"/>
      <c r="C223" s="3392"/>
      <c r="D223" s="742" t="s">
        <v>1067</v>
      </c>
      <c r="E223" s="726">
        <f>SUM(E222:E222)</f>
        <v>5</v>
      </c>
      <c r="F223" s="911">
        <f t="shared" si="78"/>
        <v>5.9999999999999963E-2</v>
      </c>
      <c r="G223" s="1198">
        <f t="shared" ref="G223:R223" si="101">SUM(G222:G222)</f>
        <v>0.3</v>
      </c>
      <c r="H223" s="728">
        <f t="shared" si="101"/>
        <v>5.3</v>
      </c>
      <c r="I223" s="729">
        <f t="shared" si="84"/>
        <v>-0.81132075471698117</v>
      </c>
      <c r="J223" s="726">
        <f t="shared" si="101"/>
        <v>1</v>
      </c>
      <c r="K223" s="728">
        <f t="shared" si="101"/>
        <v>1</v>
      </c>
      <c r="L223" s="728">
        <f t="shared" si="101"/>
        <v>1.2</v>
      </c>
      <c r="M223" s="1464">
        <f t="shared" si="101"/>
        <v>1.2</v>
      </c>
      <c r="N223" s="2056">
        <f t="shared" si="77"/>
        <v>0.19999999999999996</v>
      </c>
      <c r="O223" s="728">
        <f t="shared" si="101"/>
        <v>1</v>
      </c>
      <c r="P223" s="1464">
        <f t="shared" si="101"/>
        <v>1</v>
      </c>
      <c r="Q223" s="728">
        <f t="shared" si="101"/>
        <v>1</v>
      </c>
      <c r="R223" s="1464">
        <f t="shared" si="101"/>
        <v>1</v>
      </c>
      <c r="S223" s="3399"/>
      <c r="T223" s="2734"/>
      <c r="U223" s="2944"/>
      <c r="V223" s="2944"/>
      <c r="W223" s="2944"/>
      <c r="X223" s="2944"/>
      <c r="Y223" s="2944"/>
      <c r="Z223" s="2944"/>
      <c r="AA223" s="2944"/>
      <c r="AB223" s="2944"/>
      <c r="AE223" s="84"/>
      <c r="AF223" s="84"/>
    </row>
    <row r="224" spans="1:90" s="146" customFormat="1" ht="42" hidden="1" customHeight="1">
      <c r="A224" s="3547" t="s">
        <v>2111</v>
      </c>
      <c r="B224" s="3500" t="s">
        <v>1295</v>
      </c>
      <c r="C224" s="3390">
        <v>188711925</v>
      </c>
      <c r="D224" s="1286" t="s">
        <v>48</v>
      </c>
      <c r="E224" s="1268">
        <v>0</v>
      </c>
      <c r="F224" s="1263" t="e">
        <f t="shared" si="78"/>
        <v>#DIV/0!</v>
      </c>
      <c r="G224" s="1269">
        <v>0</v>
      </c>
      <c r="H224" s="1270"/>
      <c r="I224" s="747" t="e">
        <f t="shared" si="84"/>
        <v>#DIV/0!</v>
      </c>
      <c r="J224" s="1268"/>
      <c r="K224" s="1270">
        <v>0</v>
      </c>
      <c r="L224" s="1270">
        <v>0</v>
      </c>
      <c r="M224" s="1640">
        <v>0</v>
      </c>
      <c r="N224" s="2042" t="e">
        <f t="shared" si="77"/>
        <v>#DIV/0!</v>
      </c>
      <c r="O224" s="1270"/>
      <c r="P224" s="1640"/>
      <c r="Q224" s="1270"/>
      <c r="R224" s="1640"/>
      <c r="S224" s="3399" t="s">
        <v>2452</v>
      </c>
      <c r="T224" s="3553" t="s">
        <v>2312</v>
      </c>
      <c r="U224" s="3410"/>
      <c r="V224" s="3410"/>
      <c r="W224" s="3410"/>
      <c r="X224" s="3410"/>
      <c r="Y224" s="3410"/>
      <c r="Z224" s="1287"/>
      <c r="AA224" s="1287"/>
      <c r="AB224" s="2942" t="s">
        <v>357</v>
      </c>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c r="BF224" s="84"/>
      <c r="BG224" s="84"/>
      <c r="BH224" s="84"/>
      <c r="BI224" s="84"/>
      <c r="BJ224" s="84"/>
      <c r="BK224" s="84"/>
      <c r="BL224" s="84"/>
      <c r="BM224" s="84"/>
      <c r="BN224" s="84"/>
      <c r="BO224" s="84"/>
      <c r="BP224" s="84"/>
      <c r="BQ224" s="84"/>
      <c r="BR224" s="84"/>
      <c r="BS224" s="84"/>
      <c r="BT224" s="84"/>
      <c r="BU224" s="84"/>
      <c r="BV224" s="84"/>
      <c r="BW224" s="84"/>
      <c r="BX224" s="84"/>
      <c r="BY224" s="84"/>
      <c r="BZ224" s="84"/>
      <c r="CA224" s="84"/>
      <c r="CB224" s="84"/>
      <c r="CC224" s="84"/>
      <c r="CD224" s="84"/>
      <c r="CE224" s="84"/>
      <c r="CF224" s="84"/>
      <c r="CG224" s="84"/>
      <c r="CH224" s="84"/>
      <c r="CI224" s="84"/>
      <c r="CJ224" s="84"/>
      <c r="CK224" s="84"/>
      <c r="CL224" s="84"/>
    </row>
    <row r="225" spans="1:90" s="146" customFormat="1" ht="42" hidden="1" customHeight="1">
      <c r="A225" s="3547"/>
      <c r="B225" s="3500"/>
      <c r="C225" s="3390"/>
      <c r="D225" s="1288" t="s">
        <v>1067</v>
      </c>
      <c r="E225" s="1268">
        <f>SUM(E224:E224)</f>
        <v>0</v>
      </c>
      <c r="F225" s="1263" t="e">
        <f t="shared" si="78"/>
        <v>#DIV/0!</v>
      </c>
      <c r="G225" s="1269">
        <f t="shared" ref="G225:M225" si="102">SUM(G224:G224)</f>
        <v>0</v>
      </c>
      <c r="H225" s="1270">
        <f t="shared" si="102"/>
        <v>0</v>
      </c>
      <c r="I225" s="747" t="e">
        <f t="shared" si="84"/>
        <v>#DIV/0!</v>
      </c>
      <c r="J225" s="1268"/>
      <c r="K225" s="1270">
        <f t="shared" si="102"/>
        <v>0</v>
      </c>
      <c r="L225" s="1270">
        <f t="shared" si="102"/>
        <v>0</v>
      </c>
      <c r="M225" s="1640">
        <f t="shared" si="102"/>
        <v>0</v>
      </c>
      <c r="N225" s="2042" t="e">
        <f t="shared" ref="N225:N283" si="103">(L225-K225)/K225</f>
        <v>#DIV/0!</v>
      </c>
      <c r="O225" s="1270"/>
      <c r="P225" s="1640"/>
      <c r="Q225" s="1270"/>
      <c r="R225" s="1640"/>
      <c r="S225" s="3399"/>
      <c r="T225" s="3554"/>
      <c r="U225" s="3550"/>
      <c r="V225" s="3411"/>
      <c r="W225" s="3411"/>
      <c r="X225" s="3411"/>
      <c r="Y225" s="3411"/>
      <c r="Z225" s="1289"/>
      <c r="AA225" s="1289"/>
      <c r="AB225" s="2943"/>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c r="BF225" s="84"/>
      <c r="BG225" s="84"/>
      <c r="BH225" s="84"/>
      <c r="BI225" s="84"/>
      <c r="BJ225" s="84"/>
      <c r="BK225" s="84"/>
      <c r="BL225" s="84"/>
      <c r="BM225" s="84"/>
      <c r="BN225" s="84"/>
      <c r="BO225" s="84"/>
      <c r="BP225" s="84"/>
      <c r="BQ225" s="84"/>
      <c r="BR225" s="84"/>
      <c r="BS225" s="84"/>
      <c r="BT225" s="84"/>
      <c r="BU225" s="84"/>
      <c r="BV225" s="84"/>
      <c r="BW225" s="84"/>
      <c r="BX225" s="84"/>
      <c r="BY225" s="84"/>
      <c r="BZ225" s="84"/>
      <c r="CA225" s="84"/>
      <c r="CB225" s="84"/>
      <c r="CC225" s="84"/>
      <c r="CD225" s="84"/>
      <c r="CE225" s="84"/>
      <c r="CF225" s="84"/>
      <c r="CG225" s="84"/>
      <c r="CH225" s="84"/>
      <c r="CI225" s="84"/>
      <c r="CJ225" s="84"/>
      <c r="CK225" s="84"/>
      <c r="CL225" s="84"/>
    </row>
    <row r="226" spans="1:90" ht="28.2" hidden="1" customHeight="1">
      <c r="A226" s="3440" t="s">
        <v>2112</v>
      </c>
      <c r="B226" s="3423" t="s">
        <v>1296</v>
      </c>
      <c r="C226" s="3458">
        <v>188711925</v>
      </c>
      <c r="D226" s="1084" t="s">
        <v>48</v>
      </c>
      <c r="E226" s="949">
        <v>2375.85</v>
      </c>
      <c r="F226" s="950">
        <f t="shared" si="78"/>
        <v>-1</v>
      </c>
      <c r="G226" s="1204"/>
      <c r="H226" s="951"/>
      <c r="I226" s="1205"/>
      <c r="J226" s="949"/>
      <c r="K226" s="951"/>
      <c r="L226" s="951"/>
      <c r="M226" s="1623"/>
      <c r="N226" s="2042" t="e">
        <f t="shared" si="103"/>
        <v>#DIV/0!</v>
      </c>
      <c r="O226" s="951"/>
      <c r="P226" s="1623"/>
      <c r="Q226" s="951"/>
      <c r="R226" s="1623"/>
      <c r="S226" s="3399"/>
      <c r="T226" s="2969" t="s">
        <v>2438</v>
      </c>
      <c r="U226" s="3408" t="s">
        <v>1659</v>
      </c>
      <c r="V226" s="3408" t="s">
        <v>1585</v>
      </c>
      <c r="W226" s="3408" t="s">
        <v>433</v>
      </c>
      <c r="X226" s="3408" t="s">
        <v>433</v>
      </c>
      <c r="Y226" s="3408" t="s">
        <v>433</v>
      </c>
      <c r="Z226" s="1037"/>
      <c r="AA226" s="1037"/>
      <c r="AB226" s="2943"/>
      <c r="AE226" s="84"/>
      <c r="AF226" s="84"/>
    </row>
    <row r="227" spans="1:90" ht="26.4" hidden="1" customHeight="1">
      <c r="A227" s="3440"/>
      <c r="B227" s="3423"/>
      <c r="C227" s="3458"/>
      <c r="D227" s="1084" t="s">
        <v>246</v>
      </c>
      <c r="E227" s="949">
        <v>1204.2070000000001</v>
      </c>
      <c r="F227" s="950">
        <f t="shared" si="78"/>
        <v>-1</v>
      </c>
      <c r="G227" s="1204"/>
      <c r="H227" s="951"/>
      <c r="I227" s="1205"/>
      <c r="J227" s="949"/>
      <c r="K227" s="951"/>
      <c r="L227" s="951"/>
      <c r="M227" s="1623"/>
      <c r="N227" s="2042" t="e">
        <f t="shared" si="103"/>
        <v>#DIV/0!</v>
      </c>
      <c r="O227" s="951"/>
      <c r="P227" s="1623"/>
      <c r="Q227" s="951"/>
      <c r="R227" s="1623"/>
      <c r="S227" s="3399"/>
      <c r="T227" s="3161"/>
      <c r="U227" s="3409"/>
      <c r="V227" s="3409"/>
      <c r="W227" s="3409"/>
      <c r="X227" s="3409"/>
      <c r="Y227" s="3409"/>
      <c r="Z227" s="1037"/>
      <c r="AA227" s="1037"/>
      <c r="AB227" s="2943"/>
      <c r="AE227" s="84"/>
      <c r="AF227" s="84"/>
    </row>
    <row r="228" spans="1:90" ht="26.4" hidden="1" customHeight="1">
      <c r="A228" s="3440"/>
      <c r="B228" s="3423"/>
      <c r="C228" s="3458"/>
      <c r="D228" s="1084" t="s">
        <v>1358</v>
      </c>
      <c r="E228" s="949">
        <v>411.995</v>
      </c>
      <c r="F228" s="950">
        <f t="shared" si="78"/>
        <v>-1</v>
      </c>
      <c r="G228" s="1204"/>
      <c r="H228" s="951"/>
      <c r="I228" s="1205"/>
      <c r="J228" s="949"/>
      <c r="K228" s="951"/>
      <c r="L228" s="951"/>
      <c r="M228" s="1623"/>
      <c r="N228" s="2042" t="e">
        <f t="shared" si="103"/>
        <v>#DIV/0!</v>
      </c>
      <c r="O228" s="951"/>
      <c r="P228" s="1623"/>
      <c r="Q228" s="951"/>
      <c r="R228" s="1623"/>
      <c r="S228" s="3399"/>
      <c r="T228" s="3161"/>
      <c r="U228" s="3409"/>
      <c r="V228" s="3409"/>
      <c r="W228" s="3409"/>
      <c r="X228" s="3409"/>
      <c r="Y228" s="3409"/>
      <c r="Z228" s="1037"/>
      <c r="AA228" s="1037"/>
      <c r="AB228" s="2943"/>
      <c r="AE228" s="84"/>
      <c r="AF228" s="84"/>
    </row>
    <row r="229" spans="1:90" ht="34.200000000000003" hidden="1" customHeight="1">
      <c r="A229" s="3440"/>
      <c r="B229" s="3423"/>
      <c r="C229" s="3458"/>
      <c r="D229" s="1088" t="s">
        <v>1067</v>
      </c>
      <c r="E229" s="949">
        <f>SUM(E226:E228)</f>
        <v>3992.0519999999997</v>
      </c>
      <c r="F229" s="950">
        <f t="shared" si="78"/>
        <v>-1</v>
      </c>
      <c r="G229" s="1204">
        <f t="shared" ref="G229:M229" si="104">SUM(G226:G228)</f>
        <v>0</v>
      </c>
      <c r="H229" s="951">
        <f t="shared" si="104"/>
        <v>0</v>
      </c>
      <c r="I229" s="1205"/>
      <c r="J229" s="949"/>
      <c r="K229" s="951">
        <f t="shared" si="104"/>
        <v>0</v>
      </c>
      <c r="L229" s="951">
        <f t="shared" si="104"/>
        <v>0</v>
      </c>
      <c r="M229" s="1623">
        <f t="shared" si="104"/>
        <v>0</v>
      </c>
      <c r="N229" s="2042" t="e">
        <f t="shared" si="103"/>
        <v>#DIV/0!</v>
      </c>
      <c r="O229" s="951"/>
      <c r="P229" s="1623"/>
      <c r="Q229" s="951"/>
      <c r="R229" s="1623"/>
      <c r="S229" s="3399"/>
      <c r="T229" s="3161"/>
      <c r="U229" s="3409"/>
      <c r="V229" s="3409"/>
      <c r="W229" s="3409"/>
      <c r="X229" s="3409"/>
      <c r="Y229" s="3409"/>
      <c r="Z229" s="1037"/>
      <c r="AA229" s="1037"/>
      <c r="AB229" s="2943"/>
      <c r="AE229" s="84"/>
      <c r="AF229" s="84"/>
    </row>
    <row r="230" spans="1:90" ht="42" customHeight="1">
      <c r="A230" s="3379" t="s">
        <v>2113</v>
      </c>
      <c r="B230" s="3381" t="s">
        <v>4240</v>
      </c>
      <c r="C230" s="3392">
        <v>188711925</v>
      </c>
      <c r="D230" s="741" t="s">
        <v>48</v>
      </c>
      <c r="E230" s="720">
        <v>280</v>
      </c>
      <c r="F230" s="914">
        <f t="shared" si="78"/>
        <v>-0.33464285714285708</v>
      </c>
      <c r="G230" s="875">
        <v>200</v>
      </c>
      <c r="H230" s="722">
        <v>186.3</v>
      </c>
      <c r="I230" s="1014">
        <f t="shared" si="84"/>
        <v>-0.44472356414385406</v>
      </c>
      <c r="J230" s="720">
        <v>103.44799999999999</v>
      </c>
      <c r="K230" s="722">
        <v>92.36</v>
      </c>
      <c r="L230" s="722">
        <v>92.36</v>
      </c>
      <c r="M230" s="1496">
        <v>108.7</v>
      </c>
      <c r="N230" s="2055">
        <f t="shared" si="103"/>
        <v>0</v>
      </c>
      <c r="O230" s="722">
        <v>108.70699999999999</v>
      </c>
      <c r="P230" s="1496">
        <v>108.70699999999999</v>
      </c>
      <c r="Q230" s="722">
        <v>108.70699999999999</v>
      </c>
      <c r="R230" s="1496">
        <v>108.70699999999999</v>
      </c>
      <c r="S230" s="3399"/>
      <c r="T230" s="2704" t="s">
        <v>2730</v>
      </c>
      <c r="U230" s="2942" t="s">
        <v>1660</v>
      </c>
      <c r="V230" s="3505" t="s">
        <v>3777</v>
      </c>
      <c r="W230" s="3505" t="s">
        <v>433</v>
      </c>
      <c r="X230" s="2951" t="s">
        <v>1427</v>
      </c>
      <c r="Y230" s="2951" t="s">
        <v>433</v>
      </c>
      <c r="Z230" s="2951" t="s">
        <v>433</v>
      </c>
      <c r="AA230" s="2951" t="s">
        <v>433</v>
      </c>
      <c r="AB230" s="2943"/>
      <c r="AE230" s="84"/>
      <c r="AF230" s="84"/>
    </row>
    <row r="231" spans="1:90" ht="42" customHeight="1">
      <c r="A231" s="3379"/>
      <c r="B231" s="3381"/>
      <c r="C231" s="3392"/>
      <c r="D231" s="742" t="s">
        <v>1067</v>
      </c>
      <c r="E231" s="726">
        <f>E230</f>
        <v>280</v>
      </c>
      <c r="F231" s="911">
        <f t="shared" si="78"/>
        <v>-0.33464285714285708</v>
      </c>
      <c r="G231" s="1198">
        <f t="shared" ref="G231:R231" si="105">G230</f>
        <v>200</v>
      </c>
      <c r="H231" s="728">
        <f t="shared" si="105"/>
        <v>186.3</v>
      </c>
      <c r="I231" s="729">
        <f t="shared" si="84"/>
        <v>-0.44472356414385406</v>
      </c>
      <c r="J231" s="726">
        <f t="shared" si="105"/>
        <v>103.44799999999999</v>
      </c>
      <c r="K231" s="728">
        <f t="shared" si="105"/>
        <v>92.36</v>
      </c>
      <c r="L231" s="728">
        <f t="shared" si="105"/>
        <v>92.36</v>
      </c>
      <c r="M231" s="1464">
        <f t="shared" si="105"/>
        <v>108.7</v>
      </c>
      <c r="N231" s="2056">
        <f t="shared" si="103"/>
        <v>0</v>
      </c>
      <c r="O231" s="728">
        <f t="shared" si="105"/>
        <v>108.70699999999999</v>
      </c>
      <c r="P231" s="1464">
        <f t="shared" si="105"/>
        <v>108.70699999999999</v>
      </c>
      <c r="Q231" s="728">
        <f t="shared" si="105"/>
        <v>108.70699999999999</v>
      </c>
      <c r="R231" s="1464">
        <f t="shared" si="105"/>
        <v>108.70699999999999</v>
      </c>
      <c r="S231" s="3399"/>
      <c r="T231" s="2734"/>
      <c r="U231" s="2944"/>
      <c r="V231" s="3412"/>
      <c r="W231" s="3412"/>
      <c r="X231" s="2951"/>
      <c r="Y231" s="2951"/>
      <c r="Z231" s="2951"/>
      <c r="AA231" s="2951"/>
      <c r="AB231" s="2943"/>
      <c r="AE231" s="84"/>
      <c r="AF231" s="84"/>
    </row>
    <row r="232" spans="1:90" ht="69" customHeight="1">
      <c r="A232" s="3379" t="s">
        <v>2114</v>
      </c>
      <c r="B232" s="3381" t="s">
        <v>2696</v>
      </c>
      <c r="C232" s="3392">
        <v>188711925</v>
      </c>
      <c r="D232" s="741" t="s">
        <v>470</v>
      </c>
      <c r="E232" s="720">
        <v>50</v>
      </c>
      <c r="F232" s="914">
        <f t="shared" si="78"/>
        <v>0.3</v>
      </c>
      <c r="G232" s="875">
        <f>50+25</f>
        <v>75</v>
      </c>
      <c r="H232" s="722">
        <v>65</v>
      </c>
      <c r="I232" s="1014">
        <f t="shared" si="84"/>
        <v>4.9960461538461534</v>
      </c>
      <c r="J232" s="720">
        <f>SUM(J235,J236,J237,J238)</f>
        <v>389.74299999999999</v>
      </c>
      <c r="K232" s="722">
        <v>21.9</v>
      </c>
      <c r="L232" s="722">
        <f>SUM(L235,L236,L237,L238,L239,L240,L241,L242,L243,L244,L245,L246,L247,)</f>
        <v>153.14000000000001</v>
      </c>
      <c r="M232" s="722">
        <f>SUM(M235,M236,M237,M238,M239,M240,M241,M242,M243,M244,M245,M246,M247,)</f>
        <v>153.13700000000003</v>
      </c>
      <c r="N232" s="2055">
        <f t="shared" si="103"/>
        <v>5.9926940639269413</v>
      </c>
      <c r="O232" s="722">
        <f>SUM(O235,O236,O237,O238,O239,O240,O241,O242,O243,O244,O245,O246,O247,)</f>
        <v>80.425000000000011</v>
      </c>
      <c r="P232" s="1496">
        <f t="shared" ref="P232:R232" si="106">SUM(P235,P236,P237,P238,P239,P240,P241,P242,P243,P244,P245,P246,P247,)</f>
        <v>80.425000000000011</v>
      </c>
      <c r="Q232" s="722">
        <f>SUM(Q235,Q236,Q237,Q238,Q239,Q240,Q241,Q242,Q243,Q244,Q245,Q246,Q247,)</f>
        <v>66.263000000000005</v>
      </c>
      <c r="R232" s="1496">
        <f t="shared" si="106"/>
        <v>66.263000000000005</v>
      </c>
      <c r="S232" s="3399"/>
      <c r="T232" s="2704" t="s">
        <v>4241</v>
      </c>
      <c r="U232" s="2942" t="s">
        <v>1661</v>
      </c>
      <c r="V232" s="3505" t="s">
        <v>2313</v>
      </c>
      <c r="W232" s="3505" t="s">
        <v>2314</v>
      </c>
      <c r="X232" s="2951" t="s">
        <v>2314</v>
      </c>
      <c r="Y232" s="2951" t="s">
        <v>4386</v>
      </c>
      <c r="Z232" s="2951" t="s">
        <v>2314</v>
      </c>
      <c r="AA232" s="2951" t="s">
        <v>2314</v>
      </c>
      <c r="AB232" s="2943"/>
      <c r="AC232" s="84" t="s">
        <v>2695</v>
      </c>
      <c r="AE232" s="84"/>
      <c r="AF232" s="84"/>
    </row>
    <row r="233" spans="1:90" ht="42.6" customHeight="1">
      <c r="A233" s="3477"/>
      <c r="B233" s="3403"/>
      <c r="C233" s="3401"/>
      <c r="D233" s="741" t="s">
        <v>2747</v>
      </c>
      <c r="E233" s="720"/>
      <c r="F233" s="914"/>
      <c r="G233" s="875"/>
      <c r="H233" s="722"/>
      <c r="I233" s="1014"/>
      <c r="J233" s="720"/>
      <c r="K233" s="722">
        <v>363</v>
      </c>
      <c r="L233" s="722"/>
      <c r="M233" s="722"/>
      <c r="N233" s="2055">
        <f t="shared" si="103"/>
        <v>-1</v>
      </c>
      <c r="O233" s="722"/>
      <c r="P233" s="1496"/>
      <c r="Q233" s="722"/>
      <c r="R233" s="1496"/>
      <c r="S233" s="3399"/>
      <c r="T233" s="2704"/>
      <c r="U233" s="2943"/>
      <c r="V233" s="3412"/>
      <c r="W233" s="3412"/>
      <c r="X233" s="2951"/>
      <c r="Y233" s="2951"/>
      <c r="Z233" s="2951"/>
      <c r="AA233" s="2951"/>
      <c r="AB233" s="2943"/>
      <c r="AE233" s="84"/>
      <c r="AF233" s="84"/>
    </row>
    <row r="234" spans="1:90" ht="42" customHeight="1">
      <c r="A234" s="3477"/>
      <c r="B234" s="3403"/>
      <c r="C234" s="3401"/>
      <c r="D234" s="742" t="s">
        <v>1067</v>
      </c>
      <c r="E234" s="726">
        <f>E232</f>
        <v>50</v>
      </c>
      <c r="F234" s="911">
        <f t="shared" si="78"/>
        <v>0.3</v>
      </c>
      <c r="G234" s="1198">
        <f t="shared" ref="G234:R234" si="107">G232</f>
        <v>75</v>
      </c>
      <c r="H234" s="728">
        <f t="shared" si="107"/>
        <v>65</v>
      </c>
      <c r="I234" s="729">
        <f t="shared" si="84"/>
        <v>4.9960461538461534</v>
      </c>
      <c r="J234" s="726">
        <f t="shared" si="107"/>
        <v>389.74299999999999</v>
      </c>
      <c r="K234" s="728">
        <f>K232+K233</f>
        <v>384.9</v>
      </c>
      <c r="L234" s="728">
        <f>L232+L233</f>
        <v>153.14000000000001</v>
      </c>
      <c r="M234" s="1464">
        <f>M232+M233</f>
        <v>153.13700000000003</v>
      </c>
      <c r="N234" s="2056">
        <f t="shared" si="103"/>
        <v>-0.60213042348661983</v>
      </c>
      <c r="O234" s="728">
        <f t="shared" si="107"/>
        <v>80.425000000000011</v>
      </c>
      <c r="P234" s="1464">
        <f t="shared" si="107"/>
        <v>80.425000000000011</v>
      </c>
      <c r="Q234" s="728">
        <f t="shared" si="107"/>
        <v>66.263000000000005</v>
      </c>
      <c r="R234" s="1464">
        <f t="shared" si="107"/>
        <v>66.263000000000005</v>
      </c>
      <c r="S234" s="3399"/>
      <c r="T234" s="2734"/>
      <c r="U234" s="2943"/>
      <c r="V234" s="3412"/>
      <c r="W234" s="3412"/>
      <c r="X234" s="2951"/>
      <c r="Y234" s="2951"/>
      <c r="Z234" s="2951"/>
      <c r="AA234" s="2951"/>
      <c r="AB234" s="2943"/>
      <c r="AE234" s="84"/>
      <c r="AF234" s="84"/>
    </row>
    <row r="235" spans="1:90" ht="42" hidden="1" customHeight="1">
      <c r="A235" s="913"/>
      <c r="B235" s="1279" t="s">
        <v>3159</v>
      </c>
      <c r="C235" s="976"/>
      <c r="D235" s="1290"/>
      <c r="E235" s="755"/>
      <c r="F235" s="1180"/>
      <c r="G235" s="1216"/>
      <c r="H235" s="737"/>
      <c r="I235" s="733"/>
      <c r="J235" s="734">
        <v>48.4</v>
      </c>
      <c r="K235" s="681">
        <v>48.4</v>
      </c>
      <c r="L235" s="681">
        <v>50.003</v>
      </c>
      <c r="M235" s="1470">
        <v>50</v>
      </c>
      <c r="N235" s="2044">
        <f t="shared" si="103"/>
        <v>3.3119834710743833E-2</v>
      </c>
      <c r="O235" s="681">
        <v>50</v>
      </c>
      <c r="P235" s="1470">
        <v>50</v>
      </c>
      <c r="Q235" s="681">
        <v>50</v>
      </c>
      <c r="R235" s="1470">
        <v>50</v>
      </c>
      <c r="S235" s="3399"/>
      <c r="T235" s="681" t="s">
        <v>3161</v>
      </c>
      <c r="U235" s="688"/>
      <c r="V235" s="688"/>
      <c r="W235" s="688"/>
      <c r="X235" s="688"/>
      <c r="Y235" s="688"/>
      <c r="Z235" s="688"/>
      <c r="AA235" s="688"/>
      <c r="AB235" s="2943"/>
      <c r="AE235" s="84"/>
      <c r="AF235" s="84"/>
    </row>
    <row r="236" spans="1:90" ht="87" hidden="1" customHeight="1">
      <c r="A236" s="913"/>
      <c r="B236" s="1279" t="s">
        <v>3160</v>
      </c>
      <c r="C236" s="976"/>
      <c r="D236" s="1290"/>
      <c r="E236" s="755"/>
      <c r="F236" s="1180"/>
      <c r="G236" s="1216"/>
      <c r="H236" s="737"/>
      <c r="I236" s="733"/>
      <c r="J236" s="734">
        <v>309</v>
      </c>
      <c r="K236" s="681">
        <v>309</v>
      </c>
      <c r="L236" s="681"/>
      <c r="M236" s="1470">
        <v>0</v>
      </c>
      <c r="N236" s="2044">
        <f t="shared" si="103"/>
        <v>-1</v>
      </c>
      <c r="O236" s="681"/>
      <c r="P236" s="1470"/>
      <c r="Q236" s="681"/>
      <c r="R236" s="1470"/>
      <c r="S236" s="3399"/>
      <c r="T236" s="1181" t="s">
        <v>4080</v>
      </c>
      <c r="U236" s="688"/>
      <c r="V236" s="688"/>
      <c r="W236" s="688"/>
      <c r="X236" s="688"/>
      <c r="Y236" s="688"/>
      <c r="Z236" s="688"/>
      <c r="AA236" s="688"/>
      <c r="AB236" s="2943"/>
      <c r="AE236" s="84"/>
      <c r="AF236" s="84"/>
    </row>
    <row r="237" spans="1:90" ht="62.25" hidden="1" customHeight="1">
      <c r="A237" s="903"/>
      <c r="B237" s="1279" t="s">
        <v>3158</v>
      </c>
      <c r="C237" s="1291"/>
      <c r="D237" s="1292"/>
      <c r="E237" s="759"/>
      <c r="F237" s="1280"/>
      <c r="G237" s="1281"/>
      <c r="H237" s="740"/>
      <c r="I237" s="733"/>
      <c r="J237" s="734">
        <v>0</v>
      </c>
      <c r="K237" s="681"/>
      <c r="L237" s="681">
        <f>M237</f>
        <v>84</v>
      </c>
      <c r="M237" s="1470">
        <v>84</v>
      </c>
      <c r="N237" s="2044" t="e">
        <f t="shared" si="103"/>
        <v>#DIV/0!</v>
      </c>
      <c r="O237" s="1482"/>
      <c r="P237" s="1652"/>
      <c r="Q237" s="1482"/>
      <c r="R237" s="1652"/>
      <c r="S237" s="3399"/>
      <c r="T237" s="681" t="s">
        <v>3893</v>
      </c>
      <c r="U237" s="688"/>
      <c r="V237" s="688"/>
      <c r="W237" s="688"/>
      <c r="X237" s="688"/>
      <c r="Y237" s="688"/>
      <c r="Z237" s="688"/>
      <c r="AA237" s="688"/>
      <c r="AB237" s="2943"/>
      <c r="AE237" s="84"/>
      <c r="AF237" s="84"/>
    </row>
    <row r="238" spans="1:90" ht="27.6" hidden="1" customHeight="1">
      <c r="A238" s="1482"/>
      <c r="B238" s="1279" t="s">
        <v>3537</v>
      </c>
      <c r="C238" s="1291"/>
      <c r="D238" s="701"/>
      <c r="E238" s="740"/>
      <c r="F238" s="760"/>
      <c r="G238" s="740"/>
      <c r="H238" s="740"/>
      <c r="I238" s="760"/>
      <c r="J238" s="684">
        <v>32.343000000000004</v>
      </c>
      <c r="K238" s="684">
        <v>21.9</v>
      </c>
      <c r="L238" s="681"/>
      <c r="M238" s="1470"/>
      <c r="N238" s="2044">
        <f t="shared" si="103"/>
        <v>-1</v>
      </c>
      <c r="O238" s="681"/>
      <c r="P238" s="1470"/>
      <c r="Q238" s="681"/>
      <c r="R238" s="1470"/>
      <c r="S238" s="3399"/>
      <c r="T238" s="1470" t="s">
        <v>3538</v>
      </c>
      <c r="U238" s="902"/>
      <c r="V238" s="902"/>
      <c r="W238" s="902"/>
      <c r="X238" s="902"/>
      <c r="Y238" s="902"/>
      <c r="Z238" s="902"/>
      <c r="AA238" s="902"/>
      <c r="AB238" s="2943"/>
      <c r="AE238" s="84"/>
      <c r="AF238" s="84"/>
    </row>
    <row r="239" spans="1:90" ht="40.200000000000003" hidden="1" customHeight="1">
      <c r="A239" s="1482"/>
      <c r="B239" s="1279" t="s">
        <v>3894</v>
      </c>
      <c r="C239" s="1291"/>
      <c r="D239" s="701"/>
      <c r="E239" s="759"/>
      <c r="F239" s="1280"/>
      <c r="G239" s="759"/>
      <c r="H239" s="740"/>
      <c r="I239" s="760"/>
      <c r="J239" s="909"/>
      <c r="K239" s="909"/>
      <c r="L239" s="681">
        <v>2.7160000000000002</v>
      </c>
      <c r="M239" s="1470">
        <v>2.7160000000000002</v>
      </c>
      <c r="N239" s="2044" t="e">
        <f t="shared" si="103"/>
        <v>#DIV/0!</v>
      </c>
      <c r="O239" s="681"/>
      <c r="P239" s="1470"/>
      <c r="Q239" s="681"/>
      <c r="R239" s="1470"/>
      <c r="S239" s="3399"/>
      <c r="T239" s="1470" t="s">
        <v>3896</v>
      </c>
      <c r="U239" s="902"/>
      <c r="V239" s="902"/>
      <c r="W239" s="902"/>
      <c r="X239" s="902"/>
      <c r="Y239" s="902"/>
      <c r="Z239" s="902"/>
      <c r="AA239" s="902"/>
      <c r="AB239" s="2943"/>
      <c r="AE239" s="84"/>
      <c r="AF239" s="84"/>
    </row>
    <row r="240" spans="1:90" ht="42" hidden="1" customHeight="1">
      <c r="A240" s="1482"/>
      <c r="B240" s="1279" t="s">
        <v>3895</v>
      </c>
      <c r="C240" s="1291"/>
      <c r="D240" s="701"/>
      <c r="E240" s="759"/>
      <c r="F240" s="1280"/>
      <c r="G240" s="759"/>
      <c r="H240" s="740"/>
      <c r="I240" s="760"/>
      <c r="J240" s="909"/>
      <c r="K240" s="909"/>
      <c r="L240" s="681">
        <v>4.99</v>
      </c>
      <c r="M240" s="1470">
        <v>4.99</v>
      </c>
      <c r="N240" s="2044" t="e">
        <f t="shared" si="103"/>
        <v>#DIV/0!</v>
      </c>
      <c r="O240" s="681"/>
      <c r="P240" s="1470"/>
      <c r="Q240" s="681"/>
      <c r="R240" s="1470"/>
      <c r="S240" s="3399"/>
      <c r="T240" s="1470" t="s">
        <v>3897</v>
      </c>
      <c r="U240" s="902"/>
      <c r="V240" s="902"/>
      <c r="W240" s="902"/>
      <c r="X240" s="902"/>
      <c r="Y240" s="902"/>
      <c r="Z240" s="902"/>
      <c r="AA240" s="902"/>
      <c r="AB240" s="2943"/>
      <c r="AE240" s="84"/>
      <c r="AF240" s="84"/>
    </row>
    <row r="241" spans="1:32" ht="47.4" hidden="1" customHeight="1">
      <c r="A241" s="1482"/>
      <c r="B241" s="1279" t="s">
        <v>3898</v>
      </c>
      <c r="C241" s="1291"/>
      <c r="D241" s="701"/>
      <c r="E241" s="759"/>
      <c r="F241" s="1280"/>
      <c r="G241" s="759"/>
      <c r="H241" s="740"/>
      <c r="I241" s="760"/>
      <c r="J241" s="909"/>
      <c r="K241" s="909"/>
      <c r="L241" s="681">
        <v>4.431</v>
      </c>
      <c r="M241" s="1470">
        <v>4.431</v>
      </c>
      <c r="N241" s="2044" t="e">
        <f t="shared" si="103"/>
        <v>#DIV/0!</v>
      </c>
      <c r="O241" s="681"/>
      <c r="P241" s="1470"/>
      <c r="Q241" s="681"/>
      <c r="R241" s="1470"/>
      <c r="S241" s="3399"/>
      <c r="T241" s="734"/>
      <c r="U241" s="902"/>
      <c r="V241" s="902"/>
      <c r="W241" s="902"/>
      <c r="X241" s="902"/>
      <c r="Y241" s="902"/>
      <c r="Z241" s="902"/>
      <c r="AA241" s="902"/>
      <c r="AB241" s="2943"/>
      <c r="AE241" s="84"/>
      <c r="AF241" s="84"/>
    </row>
    <row r="242" spans="1:32" ht="27.6" hidden="1" customHeight="1">
      <c r="A242" s="1482"/>
      <c r="B242" s="1279" t="s">
        <v>3899</v>
      </c>
      <c r="C242" s="1291"/>
      <c r="D242" s="701"/>
      <c r="E242" s="759"/>
      <c r="F242" s="1280"/>
      <c r="G242" s="759"/>
      <c r="H242" s="740"/>
      <c r="I242" s="760"/>
      <c r="J242" s="909"/>
      <c r="K242" s="909"/>
      <c r="L242" s="681">
        <v>7</v>
      </c>
      <c r="M242" s="1470">
        <v>7</v>
      </c>
      <c r="N242" s="2044" t="e">
        <f t="shared" si="103"/>
        <v>#DIV/0!</v>
      </c>
      <c r="O242" s="681"/>
      <c r="P242" s="1470"/>
      <c r="Q242" s="681"/>
      <c r="R242" s="1470"/>
      <c r="S242" s="3399"/>
      <c r="T242" s="734"/>
      <c r="U242" s="902"/>
      <c r="V242" s="902"/>
      <c r="W242" s="902"/>
      <c r="X242" s="902"/>
      <c r="Y242" s="902"/>
      <c r="Z242" s="902"/>
      <c r="AA242" s="902"/>
      <c r="AB242" s="2943"/>
      <c r="AE242" s="84"/>
      <c r="AF242" s="84"/>
    </row>
    <row r="243" spans="1:32" ht="49.2" hidden="1" customHeight="1">
      <c r="A243" s="1482"/>
      <c r="B243" s="1279" t="s">
        <v>3904</v>
      </c>
      <c r="C243" s="1291"/>
      <c r="D243" s="701"/>
      <c r="E243" s="759"/>
      <c r="F243" s="1280"/>
      <c r="G243" s="759"/>
      <c r="H243" s="740"/>
      <c r="I243" s="760"/>
      <c r="J243" s="909"/>
      <c r="K243" s="909"/>
      <c r="L243" s="681"/>
      <c r="M243" s="1470"/>
      <c r="N243" s="2044" t="e">
        <f t="shared" si="103"/>
        <v>#DIV/0!</v>
      </c>
      <c r="O243" s="681">
        <v>15</v>
      </c>
      <c r="P243" s="1470">
        <v>15</v>
      </c>
      <c r="Q243" s="681"/>
      <c r="R243" s="1470"/>
      <c r="S243" s="3399"/>
      <c r="T243" s="1470" t="s">
        <v>3905</v>
      </c>
      <c r="U243" s="902"/>
      <c r="V243" s="902"/>
      <c r="W243" s="902"/>
      <c r="X243" s="902"/>
      <c r="Y243" s="902"/>
      <c r="Z243" s="902"/>
      <c r="AA243" s="902"/>
      <c r="AB243" s="2943"/>
      <c r="AE243" s="84"/>
      <c r="AF243" s="84"/>
    </row>
    <row r="244" spans="1:32" ht="39" hidden="1" customHeight="1">
      <c r="A244" s="1482"/>
      <c r="B244" s="1279" t="s">
        <v>3903</v>
      </c>
      <c r="C244" s="1291"/>
      <c r="D244" s="701"/>
      <c r="E244" s="759"/>
      <c r="F244" s="1280"/>
      <c r="G244" s="759"/>
      <c r="H244" s="740"/>
      <c r="I244" s="760"/>
      <c r="J244" s="909"/>
      <c r="K244" s="909"/>
      <c r="L244" s="681"/>
      <c r="M244" s="1470"/>
      <c r="N244" s="2044" t="e">
        <f t="shared" si="103"/>
        <v>#DIV/0!</v>
      </c>
      <c r="O244" s="681">
        <v>8.4770000000000003</v>
      </c>
      <c r="P244" s="1470">
        <v>8.4770000000000003</v>
      </c>
      <c r="Q244" s="681"/>
      <c r="R244" s="1470"/>
      <c r="S244" s="3399"/>
      <c r="T244" s="1470" t="s">
        <v>3906</v>
      </c>
      <c r="U244" s="902"/>
      <c r="V244" s="902"/>
      <c r="W244" s="902"/>
      <c r="X244" s="902"/>
      <c r="Y244" s="902"/>
      <c r="Z244" s="902"/>
      <c r="AA244" s="902"/>
      <c r="AB244" s="2943"/>
      <c r="AE244" s="84"/>
      <c r="AF244" s="84"/>
    </row>
    <row r="245" spans="1:32" ht="50.4" hidden="1" customHeight="1">
      <c r="A245" s="1482"/>
      <c r="B245" s="1279" t="s">
        <v>3902</v>
      </c>
      <c r="C245" s="1291"/>
      <c r="D245" s="701"/>
      <c r="E245" s="759"/>
      <c r="F245" s="1280"/>
      <c r="G245" s="759"/>
      <c r="H245" s="740"/>
      <c r="I245" s="760"/>
      <c r="J245" s="909"/>
      <c r="K245" s="909"/>
      <c r="L245" s="681"/>
      <c r="M245" s="1470"/>
      <c r="N245" s="2044" t="e">
        <f t="shared" si="103"/>
        <v>#DIV/0!</v>
      </c>
      <c r="O245" s="681"/>
      <c r="P245" s="1470"/>
      <c r="Q245" s="681">
        <v>7.9580000000000002</v>
      </c>
      <c r="R245" s="1470">
        <v>7.9580000000000002</v>
      </c>
      <c r="S245" s="3399"/>
      <c r="T245" s="1470" t="s">
        <v>3906</v>
      </c>
      <c r="U245" s="902"/>
      <c r="V245" s="902"/>
      <c r="W245" s="902"/>
      <c r="X245" s="902"/>
      <c r="Y245" s="902"/>
      <c r="Z245" s="902"/>
      <c r="AA245" s="902"/>
      <c r="AB245" s="2943"/>
      <c r="AE245" s="84"/>
      <c r="AF245" s="84"/>
    </row>
    <row r="246" spans="1:32" ht="52.2" hidden="1" customHeight="1">
      <c r="A246" s="1482"/>
      <c r="B246" s="1279" t="s">
        <v>3901</v>
      </c>
      <c r="C246" s="1291"/>
      <c r="D246" s="701"/>
      <c r="E246" s="759"/>
      <c r="F246" s="1280"/>
      <c r="G246" s="759"/>
      <c r="H246" s="740"/>
      <c r="I246" s="760"/>
      <c r="J246" s="909"/>
      <c r="K246" s="909"/>
      <c r="L246" s="681"/>
      <c r="M246" s="1470"/>
      <c r="N246" s="2044" t="e">
        <f t="shared" si="103"/>
        <v>#DIV/0!</v>
      </c>
      <c r="O246" s="681">
        <v>6.9480000000000004</v>
      </c>
      <c r="P246" s="1470">
        <v>6.9480000000000004</v>
      </c>
      <c r="Q246" s="681"/>
      <c r="R246" s="1470"/>
      <c r="S246" s="3399"/>
      <c r="T246" s="1470" t="s">
        <v>3906</v>
      </c>
      <c r="U246" s="902"/>
      <c r="V246" s="902"/>
      <c r="W246" s="902"/>
      <c r="X246" s="902"/>
      <c r="Y246" s="902"/>
      <c r="Z246" s="902"/>
      <c r="AA246" s="902"/>
      <c r="AB246" s="2943"/>
      <c r="AE246" s="84"/>
      <c r="AF246" s="84"/>
    </row>
    <row r="247" spans="1:32" ht="54" hidden="1" customHeight="1">
      <c r="A247" s="1482"/>
      <c r="B247" s="1279" t="s">
        <v>3900</v>
      </c>
      <c r="C247" s="1291"/>
      <c r="D247" s="701"/>
      <c r="E247" s="759"/>
      <c r="F247" s="1280"/>
      <c r="G247" s="759"/>
      <c r="H247" s="740"/>
      <c r="I247" s="760"/>
      <c r="J247" s="909"/>
      <c r="K247" s="909"/>
      <c r="L247" s="681"/>
      <c r="M247" s="1470"/>
      <c r="N247" s="2044" t="e">
        <f t="shared" si="103"/>
        <v>#DIV/0!</v>
      </c>
      <c r="O247" s="681"/>
      <c r="P247" s="1470"/>
      <c r="Q247" s="681">
        <v>8.3049999999999997</v>
      </c>
      <c r="R247" s="1470">
        <v>8.3049999999999997</v>
      </c>
      <c r="S247" s="3399"/>
      <c r="T247" s="1470" t="s">
        <v>3907</v>
      </c>
      <c r="U247" s="902"/>
      <c r="V247" s="902"/>
      <c r="W247" s="902"/>
      <c r="X247" s="902"/>
      <c r="Y247" s="902"/>
      <c r="Z247" s="902"/>
      <c r="AA247" s="902"/>
      <c r="AB247" s="2943"/>
      <c r="AE247" s="84"/>
      <c r="AF247" s="84"/>
    </row>
    <row r="248" spans="1:32" ht="42" hidden="1" customHeight="1">
      <c r="A248" s="2879" t="s">
        <v>2115</v>
      </c>
      <c r="B248" s="2703" t="s">
        <v>1297</v>
      </c>
      <c r="C248" s="2700">
        <v>188711925</v>
      </c>
      <c r="D248" s="706" t="s">
        <v>48</v>
      </c>
      <c r="E248" s="720">
        <v>0</v>
      </c>
      <c r="F248" s="914" t="e">
        <f t="shared" si="78"/>
        <v>#DIV/0!</v>
      </c>
      <c r="G248" s="720">
        <v>5</v>
      </c>
      <c r="H248" s="722">
        <v>5</v>
      </c>
      <c r="I248" s="1014">
        <f t="shared" si="84"/>
        <v>-1</v>
      </c>
      <c r="J248" s="720"/>
      <c r="K248" s="722"/>
      <c r="L248" s="722"/>
      <c r="M248" s="1496"/>
      <c r="N248" s="2055" t="e">
        <f t="shared" si="103"/>
        <v>#DIV/0!</v>
      </c>
      <c r="O248" s="722"/>
      <c r="P248" s="1496"/>
      <c r="Q248" s="722"/>
      <c r="R248" s="1496"/>
      <c r="S248" s="3399"/>
      <c r="T248" s="3417" t="s">
        <v>3908</v>
      </c>
      <c r="U248" s="2694" t="s">
        <v>1662</v>
      </c>
      <c r="V248" s="2694" t="s">
        <v>1586</v>
      </c>
      <c r="W248" s="2694" t="s">
        <v>324</v>
      </c>
      <c r="X248" s="2694" t="s">
        <v>433</v>
      </c>
      <c r="Y248" s="2694" t="s">
        <v>324</v>
      </c>
      <c r="Z248" s="2942" t="s">
        <v>433</v>
      </c>
      <c r="AA248" s="2942" t="s">
        <v>433</v>
      </c>
      <c r="AB248" s="2943"/>
      <c r="AE248" s="84"/>
      <c r="AF248" s="84"/>
    </row>
    <row r="249" spans="1:32" ht="42" hidden="1" customHeight="1">
      <c r="A249" s="2879"/>
      <c r="B249" s="2703"/>
      <c r="C249" s="2700"/>
      <c r="D249" s="725" t="s">
        <v>1067</v>
      </c>
      <c r="E249" s="726">
        <f>E248</f>
        <v>0</v>
      </c>
      <c r="F249" s="911" t="e">
        <f t="shared" si="78"/>
        <v>#DIV/0!</v>
      </c>
      <c r="G249" s="726">
        <f t="shared" ref="G249:M249" si="108">G248</f>
        <v>5</v>
      </c>
      <c r="H249" s="728">
        <f t="shared" si="108"/>
        <v>5</v>
      </c>
      <c r="I249" s="729">
        <f t="shared" si="84"/>
        <v>-1</v>
      </c>
      <c r="J249" s="726"/>
      <c r="K249" s="728">
        <f t="shared" si="108"/>
        <v>0</v>
      </c>
      <c r="L249" s="728">
        <f t="shared" si="108"/>
        <v>0</v>
      </c>
      <c r="M249" s="1464">
        <f t="shared" si="108"/>
        <v>0</v>
      </c>
      <c r="N249" s="2056" t="e">
        <f t="shared" si="103"/>
        <v>#DIV/0!</v>
      </c>
      <c r="O249" s="728"/>
      <c r="P249" s="1464"/>
      <c r="Q249" s="728"/>
      <c r="R249" s="1464"/>
      <c r="S249" s="3399"/>
      <c r="T249" s="3418"/>
      <c r="U249" s="2694"/>
      <c r="V249" s="2694"/>
      <c r="W249" s="2694"/>
      <c r="X249" s="2694"/>
      <c r="Y249" s="2694"/>
      <c r="Z249" s="2944"/>
      <c r="AA249" s="2944"/>
      <c r="AB249" s="2943"/>
      <c r="AE249" s="84"/>
      <c r="AF249" s="84"/>
    </row>
    <row r="250" spans="1:32" ht="57" hidden="1" customHeight="1">
      <c r="A250" s="3378" t="s">
        <v>2116</v>
      </c>
      <c r="B250" s="3380" t="s">
        <v>1298</v>
      </c>
      <c r="C250" s="3391">
        <v>188711925</v>
      </c>
      <c r="D250" s="748" t="s">
        <v>48</v>
      </c>
      <c r="E250" s="749">
        <v>10</v>
      </c>
      <c r="F250" s="1057">
        <f t="shared" si="78"/>
        <v>-1</v>
      </c>
      <c r="G250" s="1202">
        <v>12</v>
      </c>
      <c r="H250" s="750">
        <v>0</v>
      </c>
      <c r="I250" s="1293" t="e">
        <f t="shared" si="84"/>
        <v>#DIV/0!</v>
      </c>
      <c r="J250" s="749"/>
      <c r="K250" s="750"/>
      <c r="L250" s="722"/>
      <c r="M250" s="1496"/>
      <c r="N250" s="2042" t="e">
        <f t="shared" si="103"/>
        <v>#DIV/0!</v>
      </c>
      <c r="O250" s="722"/>
      <c r="P250" s="1496"/>
      <c r="Q250" s="722"/>
      <c r="R250" s="1496"/>
      <c r="S250" s="3386"/>
      <c r="T250" s="3417" t="s">
        <v>1705</v>
      </c>
      <c r="U250" s="2943" t="s">
        <v>1663</v>
      </c>
      <c r="V250" s="2943" t="s">
        <v>1587</v>
      </c>
      <c r="W250" s="2943" t="s">
        <v>324</v>
      </c>
      <c r="X250" s="2943" t="s">
        <v>324</v>
      </c>
      <c r="Y250" s="2943" t="s">
        <v>324</v>
      </c>
      <c r="Z250" s="685"/>
      <c r="AA250" s="685"/>
      <c r="AB250" s="2943"/>
      <c r="AE250" s="84"/>
      <c r="AF250" s="84"/>
    </row>
    <row r="251" spans="1:32" ht="42" hidden="1" customHeight="1">
      <c r="A251" s="3379"/>
      <c r="B251" s="3381"/>
      <c r="C251" s="3392"/>
      <c r="D251" s="742" t="s">
        <v>1067</v>
      </c>
      <c r="E251" s="726">
        <f>E250</f>
        <v>10</v>
      </c>
      <c r="F251" s="911">
        <f t="shared" si="78"/>
        <v>-1</v>
      </c>
      <c r="G251" s="1198">
        <f t="shared" ref="G251:M251" si="109">G250</f>
        <v>12</v>
      </c>
      <c r="H251" s="728">
        <f t="shared" si="109"/>
        <v>0</v>
      </c>
      <c r="I251" s="747" t="e">
        <f t="shared" si="84"/>
        <v>#DIV/0!</v>
      </c>
      <c r="J251" s="726"/>
      <c r="K251" s="728">
        <f t="shared" si="109"/>
        <v>0</v>
      </c>
      <c r="L251" s="728">
        <f t="shared" si="109"/>
        <v>0</v>
      </c>
      <c r="M251" s="1464">
        <f t="shared" si="109"/>
        <v>0</v>
      </c>
      <c r="N251" s="2042" t="e">
        <f t="shared" si="103"/>
        <v>#DIV/0!</v>
      </c>
      <c r="O251" s="728"/>
      <c r="P251" s="1464"/>
      <c r="Q251" s="728"/>
      <c r="R251" s="1464"/>
      <c r="S251" s="3387"/>
      <c r="T251" s="3418"/>
      <c r="U251" s="2944"/>
      <c r="V251" s="2943"/>
      <c r="W251" s="2943"/>
      <c r="X251" s="2943"/>
      <c r="Y251" s="2943"/>
      <c r="Z251" s="685"/>
      <c r="AA251" s="685"/>
      <c r="AB251" s="2943"/>
      <c r="AE251" s="84"/>
      <c r="AF251" s="84"/>
    </row>
    <row r="252" spans="1:32" ht="42" hidden="1" customHeight="1">
      <c r="A252" s="3379" t="s">
        <v>2117</v>
      </c>
      <c r="B252" s="3381" t="s">
        <v>3778</v>
      </c>
      <c r="C252" s="3392">
        <v>188711925</v>
      </c>
      <c r="D252" s="741" t="s">
        <v>470</v>
      </c>
      <c r="E252" s="720">
        <v>3</v>
      </c>
      <c r="F252" s="914">
        <f t="shared" si="78"/>
        <v>-1</v>
      </c>
      <c r="G252" s="875">
        <v>3</v>
      </c>
      <c r="H252" s="722"/>
      <c r="I252" s="1014"/>
      <c r="J252" s="720">
        <v>3</v>
      </c>
      <c r="K252" s="722">
        <v>3</v>
      </c>
      <c r="L252" s="722"/>
      <c r="M252" s="1496"/>
      <c r="N252" s="2055">
        <f t="shared" si="103"/>
        <v>-1</v>
      </c>
      <c r="O252" s="722"/>
      <c r="P252" s="1496"/>
      <c r="Q252" s="722"/>
      <c r="R252" s="1496"/>
      <c r="S252" s="3387"/>
      <c r="T252" s="3417" t="s">
        <v>3908</v>
      </c>
      <c r="U252" s="2942" t="s">
        <v>1664</v>
      </c>
      <c r="V252" s="2942" t="s">
        <v>692</v>
      </c>
      <c r="W252" s="2942" t="s">
        <v>324</v>
      </c>
      <c r="X252" s="2942" t="s">
        <v>324</v>
      </c>
      <c r="Y252" s="2942" t="s">
        <v>433</v>
      </c>
      <c r="Z252" s="2943" t="s">
        <v>433</v>
      </c>
      <c r="AA252" s="2943" t="s">
        <v>433</v>
      </c>
      <c r="AB252" s="2943"/>
      <c r="AE252" s="84"/>
      <c r="AF252" s="84"/>
    </row>
    <row r="253" spans="1:32" ht="49.5" hidden="1" customHeight="1">
      <c r="A253" s="3379"/>
      <c r="B253" s="3381"/>
      <c r="C253" s="3392"/>
      <c r="D253" s="742" t="s">
        <v>1067</v>
      </c>
      <c r="E253" s="726">
        <f>E252</f>
        <v>3</v>
      </c>
      <c r="F253" s="911">
        <f t="shared" si="78"/>
        <v>-1</v>
      </c>
      <c r="G253" s="1198">
        <f t="shared" ref="G253" si="110">G252</f>
        <v>3</v>
      </c>
      <c r="H253" s="728"/>
      <c r="I253" s="729"/>
      <c r="J253" s="726">
        <f>J252</f>
        <v>3</v>
      </c>
      <c r="K253" s="728">
        <f t="shared" ref="K253:R253" si="111">K252</f>
        <v>3</v>
      </c>
      <c r="L253" s="728">
        <f t="shared" si="111"/>
        <v>0</v>
      </c>
      <c r="M253" s="1464">
        <f t="shared" si="111"/>
        <v>0</v>
      </c>
      <c r="N253" s="2056">
        <f t="shared" si="103"/>
        <v>-1</v>
      </c>
      <c r="O253" s="728">
        <f t="shared" si="111"/>
        <v>0</v>
      </c>
      <c r="P253" s="1464">
        <f t="shared" si="111"/>
        <v>0</v>
      </c>
      <c r="Q253" s="728">
        <f t="shared" si="111"/>
        <v>0</v>
      </c>
      <c r="R253" s="1464">
        <f t="shared" si="111"/>
        <v>0</v>
      </c>
      <c r="S253" s="3387"/>
      <c r="T253" s="3418"/>
      <c r="U253" s="2944"/>
      <c r="V253" s="2943"/>
      <c r="W253" s="2943"/>
      <c r="X253" s="2943"/>
      <c r="Y253" s="2943"/>
      <c r="Z253" s="2943"/>
      <c r="AA253" s="2943"/>
      <c r="AB253" s="2943"/>
      <c r="AE253" s="84"/>
      <c r="AF253" s="84"/>
    </row>
    <row r="254" spans="1:32" ht="42" hidden="1" customHeight="1">
      <c r="A254" s="3379" t="s">
        <v>2118</v>
      </c>
      <c r="B254" s="3381" t="s">
        <v>1299</v>
      </c>
      <c r="C254" s="3392">
        <v>188711925</v>
      </c>
      <c r="D254" s="741" t="s">
        <v>48</v>
      </c>
      <c r="E254" s="720">
        <v>1</v>
      </c>
      <c r="F254" s="914">
        <f t="shared" si="78"/>
        <v>-1</v>
      </c>
      <c r="G254" s="875">
        <v>2</v>
      </c>
      <c r="H254" s="722"/>
      <c r="I254" s="1014"/>
      <c r="J254" s="720"/>
      <c r="K254" s="722"/>
      <c r="L254" s="722"/>
      <c r="M254" s="1496"/>
      <c r="N254" s="2042" t="e">
        <f t="shared" si="103"/>
        <v>#DIV/0!</v>
      </c>
      <c r="O254" s="722"/>
      <c r="P254" s="1496"/>
      <c r="Q254" s="722"/>
      <c r="R254" s="1496"/>
      <c r="S254" s="3387"/>
      <c r="T254" s="2704" t="s">
        <v>2693</v>
      </c>
      <c r="U254" s="2942" t="s">
        <v>1665</v>
      </c>
      <c r="V254" s="2942" t="s">
        <v>1588</v>
      </c>
      <c r="W254" s="2942" t="s">
        <v>324</v>
      </c>
      <c r="X254" s="2942" t="s">
        <v>324</v>
      </c>
      <c r="Y254" s="2942" t="s">
        <v>324</v>
      </c>
      <c r="Z254" s="685"/>
      <c r="AA254" s="685"/>
      <c r="AB254" s="2943"/>
      <c r="AE254" s="84"/>
      <c r="AF254" s="84"/>
    </row>
    <row r="255" spans="1:32" ht="42" hidden="1" customHeight="1">
      <c r="A255" s="3393"/>
      <c r="B255" s="3422"/>
      <c r="C255" s="3424"/>
      <c r="D255" s="742" t="s">
        <v>1067</v>
      </c>
      <c r="E255" s="726">
        <f>E254</f>
        <v>1</v>
      </c>
      <c r="F255" s="911">
        <f t="shared" si="78"/>
        <v>-1</v>
      </c>
      <c r="G255" s="1198">
        <f t="shared" ref="G255" si="112">G254</f>
        <v>2</v>
      </c>
      <c r="H255" s="728"/>
      <c r="I255" s="729"/>
      <c r="J255" s="726"/>
      <c r="K255" s="728"/>
      <c r="L255" s="728"/>
      <c r="M255" s="1464"/>
      <c r="N255" s="2042" t="e">
        <f t="shared" si="103"/>
        <v>#DIV/0!</v>
      </c>
      <c r="O255" s="728"/>
      <c r="P255" s="1464"/>
      <c r="Q255" s="728"/>
      <c r="R255" s="1464"/>
      <c r="S255" s="3398"/>
      <c r="T255" s="2734"/>
      <c r="U255" s="2944"/>
      <c r="V255" s="2943"/>
      <c r="W255" s="2943"/>
      <c r="X255" s="2943"/>
      <c r="Y255" s="2943"/>
      <c r="Z255" s="685"/>
      <c r="AA255" s="685"/>
      <c r="AB255" s="2944"/>
      <c r="AE255" s="84"/>
      <c r="AF255" s="84"/>
    </row>
    <row r="256" spans="1:32" s="98" customFormat="1" ht="49.2" customHeight="1">
      <c r="A256" s="697" t="s">
        <v>2128</v>
      </c>
      <c r="B256" s="663" t="s">
        <v>1300</v>
      </c>
      <c r="C256" s="697"/>
      <c r="D256" s="697"/>
      <c r="E256" s="745">
        <f>SUM(E258,E265,)</f>
        <v>120</v>
      </c>
      <c r="F256" s="897">
        <f t="shared" si="78"/>
        <v>1.8255750000000002</v>
      </c>
      <c r="G256" s="1194">
        <f>SUM(G258,G265,)</f>
        <v>339.06900000000002</v>
      </c>
      <c r="H256" s="746">
        <f>SUM(H258,H265,)</f>
        <v>339.06900000000002</v>
      </c>
      <c r="I256" s="747">
        <f t="shared" si="84"/>
        <v>-0.3216719900669186</v>
      </c>
      <c r="J256" s="746">
        <f t="shared" ref="J256:R256" si="113">SUM(J258,J265,)</f>
        <v>230</v>
      </c>
      <c r="K256" s="746">
        <f t="shared" si="113"/>
        <v>230</v>
      </c>
      <c r="L256" s="746">
        <f>SUM(L258,L265,)</f>
        <v>160</v>
      </c>
      <c r="M256" s="746">
        <f t="shared" ref="M256:Q256" si="114">SUM(M258,M265,)</f>
        <v>195</v>
      </c>
      <c r="N256" s="746">
        <f t="shared" si="114"/>
        <v>0.18888888888888888</v>
      </c>
      <c r="O256" s="746">
        <f t="shared" si="114"/>
        <v>0</v>
      </c>
      <c r="P256" s="746">
        <f t="shared" si="114"/>
        <v>0</v>
      </c>
      <c r="Q256" s="746">
        <f t="shared" si="114"/>
        <v>0</v>
      </c>
      <c r="R256" s="1497">
        <f t="shared" si="113"/>
        <v>0</v>
      </c>
      <c r="S256" s="929" t="s">
        <v>991</v>
      </c>
      <c r="T256" s="697"/>
      <c r="U256" s="697" t="s">
        <v>1666</v>
      </c>
      <c r="V256" s="663" t="s">
        <v>1589</v>
      </c>
      <c r="W256" s="697"/>
      <c r="X256" s="697"/>
      <c r="Y256" s="697">
        <v>3</v>
      </c>
      <c r="Z256" s="697">
        <v>3</v>
      </c>
      <c r="AA256" s="697">
        <v>3</v>
      </c>
      <c r="AB256" s="663" t="s">
        <v>993</v>
      </c>
      <c r="AC256" s="272"/>
    </row>
    <row r="257" spans="1:32" ht="35.4" customHeight="1">
      <c r="A257" s="3388" t="s">
        <v>2119</v>
      </c>
      <c r="B257" s="2703" t="s">
        <v>1301</v>
      </c>
      <c r="C257" s="3419">
        <v>188711925</v>
      </c>
      <c r="D257" s="741" t="s">
        <v>470</v>
      </c>
      <c r="E257" s="720">
        <v>20</v>
      </c>
      <c r="F257" s="914">
        <f>(H257-E257)/E257</f>
        <v>0.25</v>
      </c>
      <c r="G257" s="875">
        <v>25</v>
      </c>
      <c r="H257" s="722">
        <v>25</v>
      </c>
      <c r="I257" s="1014">
        <f t="shared" si="84"/>
        <v>1</v>
      </c>
      <c r="J257" s="720">
        <f>SUM(J259,J260)</f>
        <v>50</v>
      </c>
      <c r="K257" s="722">
        <f t="shared" ref="K257" si="115">SUM(K259,K260)</f>
        <v>50</v>
      </c>
      <c r="L257" s="722">
        <f>SUM(L259,L260,L261,)</f>
        <v>90</v>
      </c>
      <c r="M257" s="722">
        <f>SUM(M259,M260,M261,)</f>
        <v>90</v>
      </c>
      <c r="N257" s="2055">
        <f t="shared" si="103"/>
        <v>0.8</v>
      </c>
      <c r="O257" s="722">
        <f t="shared" ref="O257:R257" si="116">SUM(O259,O260,O261,)</f>
        <v>0</v>
      </c>
      <c r="P257" s="1496">
        <f t="shared" si="116"/>
        <v>0</v>
      </c>
      <c r="Q257" s="722">
        <f t="shared" si="116"/>
        <v>0</v>
      </c>
      <c r="R257" s="1496">
        <f t="shared" si="116"/>
        <v>0</v>
      </c>
      <c r="S257" s="3386" t="s">
        <v>2267</v>
      </c>
      <c r="T257" s="2704" t="s">
        <v>3779</v>
      </c>
      <c r="U257" s="2694" t="s">
        <v>1667</v>
      </c>
      <c r="V257" s="2694" t="s">
        <v>1589</v>
      </c>
      <c r="W257" s="2694" t="s">
        <v>1372</v>
      </c>
      <c r="X257" s="2694" t="s">
        <v>1372</v>
      </c>
      <c r="Y257" s="2694" t="s">
        <v>1372</v>
      </c>
      <c r="Z257" s="2694" t="s">
        <v>1372</v>
      </c>
      <c r="AA257" s="2694" t="s">
        <v>1372</v>
      </c>
      <c r="AB257" s="2942" t="s">
        <v>2446</v>
      </c>
      <c r="AE257" s="84"/>
      <c r="AF257" s="84"/>
    </row>
    <row r="258" spans="1:32" ht="42" customHeight="1">
      <c r="A258" s="3388"/>
      <c r="B258" s="2703"/>
      <c r="C258" s="3419"/>
      <c r="D258" s="742" t="s">
        <v>1067</v>
      </c>
      <c r="E258" s="726">
        <f>E257</f>
        <v>20</v>
      </c>
      <c r="F258" s="911">
        <f t="shared" si="78"/>
        <v>0.25</v>
      </c>
      <c r="G258" s="1198">
        <f>G257</f>
        <v>25</v>
      </c>
      <c r="H258" s="728">
        <f t="shared" ref="H258:R258" si="117">H257</f>
        <v>25</v>
      </c>
      <c r="I258" s="729">
        <f t="shared" si="84"/>
        <v>1</v>
      </c>
      <c r="J258" s="726">
        <f t="shared" si="117"/>
        <v>50</v>
      </c>
      <c r="K258" s="728">
        <f t="shared" si="117"/>
        <v>50</v>
      </c>
      <c r="L258" s="728">
        <f t="shared" si="117"/>
        <v>90</v>
      </c>
      <c r="M258" s="1464">
        <f t="shared" si="117"/>
        <v>90</v>
      </c>
      <c r="N258" s="2056">
        <f t="shared" si="103"/>
        <v>0.8</v>
      </c>
      <c r="O258" s="728">
        <f t="shared" si="117"/>
        <v>0</v>
      </c>
      <c r="P258" s="1464">
        <f t="shared" si="117"/>
        <v>0</v>
      </c>
      <c r="Q258" s="728">
        <f t="shared" si="117"/>
        <v>0</v>
      </c>
      <c r="R258" s="1464">
        <f t="shared" si="117"/>
        <v>0</v>
      </c>
      <c r="S258" s="3387"/>
      <c r="T258" s="2734"/>
      <c r="U258" s="2694"/>
      <c r="V258" s="2694"/>
      <c r="W258" s="2694"/>
      <c r="X258" s="2694"/>
      <c r="Y258" s="2694"/>
      <c r="Z258" s="2694"/>
      <c r="AA258" s="2694"/>
      <c r="AB258" s="2943"/>
      <c r="AE258" s="84"/>
      <c r="AF258" s="84"/>
    </row>
    <row r="259" spans="1:32" ht="30" hidden="1" customHeight="1">
      <c r="A259" s="1294"/>
      <c r="B259" s="665" t="s">
        <v>3162</v>
      </c>
      <c r="C259" s="1295"/>
      <c r="D259" s="922"/>
      <c r="E259" s="757"/>
      <c r="F259" s="915"/>
      <c r="G259" s="1134"/>
      <c r="H259" s="689"/>
      <c r="I259" s="756"/>
      <c r="J259" s="734">
        <v>25</v>
      </c>
      <c r="K259" s="681">
        <v>25</v>
      </c>
      <c r="L259" s="689"/>
      <c r="M259" s="1484"/>
      <c r="N259" s="2044">
        <f t="shared" si="103"/>
        <v>-1</v>
      </c>
      <c r="O259" s="689"/>
      <c r="P259" s="1484"/>
      <c r="Q259" s="689"/>
      <c r="R259" s="1484"/>
      <c r="S259" s="3387"/>
      <c r="T259" s="1297"/>
      <c r="U259" s="688"/>
      <c r="V259" s="688"/>
      <c r="W259" s="688"/>
      <c r="X259" s="688"/>
      <c r="Y259" s="688"/>
      <c r="Z259" s="688"/>
      <c r="AA259" s="688"/>
      <c r="AB259" s="2943"/>
      <c r="AE259" s="84"/>
      <c r="AF259" s="84"/>
    </row>
    <row r="260" spans="1:32" ht="33" hidden="1" customHeight="1">
      <c r="A260" s="1294"/>
      <c r="B260" s="665" t="s">
        <v>3163</v>
      </c>
      <c r="C260" s="1295"/>
      <c r="D260" s="922"/>
      <c r="E260" s="757"/>
      <c r="F260" s="915"/>
      <c r="G260" s="1134"/>
      <c r="H260" s="689"/>
      <c r="I260" s="756"/>
      <c r="J260" s="734">
        <v>25</v>
      </c>
      <c r="K260" s="681">
        <v>25</v>
      </c>
      <c r="L260" s="686">
        <f>M260</f>
        <v>50</v>
      </c>
      <c r="M260" s="1498">
        <v>50</v>
      </c>
      <c r="N260" s="2044">
        <f t="shared" si="103"/>
        <v>1</v>
      </c>
      <c r="O260" s="689"/>
      <c r="P260" s="1484"/>
      <c r="Q260" s="689"/>
      <c r="R260" s="1484"/>
      <c r="S260" s="3387"/>
      <c r="T260" s="1791" t="s">
        <v>4065</v>
      </c>
      <c r="U260" s="688"/>
      <c r="V260" s="688"/>
      <c r="W260" s="688"/>
      <c r="X260" s="688"/>
      <c r="Y260" s="688"/>
      <c r="Z260" s="688"/>
      <c r="AA260" s="688"/>
      <c r="AB260" s="2943"/>
      <c r="AE260" s="84"/>
      <c r="AF260" s="84"/>
    </row>
    <row r="261" spans="1:32" ht="33" hidden="1" customHeight="1">
      <c r="A261" s="1749"/>
      <c r="B261" s="1472" t="s">
        <v>4031</v>
      </c>
      <c r="C261" s="1750"/>
      <c r="D261" s="1789"/>
      <c r="E261" s="1498"/>
      <c r="F261" s="1524"/>
      <c r="G261" s="1790"/>
      <c r="H261" s="1498"/>
      <c r="I261" s="1524"/>
      <c r="J261" s="1470"/>
      <c r="K261" s="1470"/>
      <c r="L261" s="686">
        <f>M261</f>
        <v>40</v>
      </c>
      <c r="M261" s="1498">
        <v>40</v>
      </c>
      <c r="N261" s="2044"/>
      <c r="O261" s="1498"/>
      <c r="P261" s="1498"/>
      <c r="Q261" s="1498"/>
      <c r="R261" s="1498"/>
      <c r="S261" s="3387"/>
      <c r="T261" s="1788" t="s">
        <v>4064</v>
      </c>
      <c r="U261" s="688"/>
      <c r="V261" s="688"/>
      <c r="W261" s="688"/>
      <c r="X261" s="688"/>
      <c r="Y261" s="688"/>
      <c r="Z261" s="688"/>
      <c r="AA261" s="688"/>
      <c r="AB261" s="2943"/>
      <c r="AE261" s="84"/>
      <c r="AF261" s="84"/>
    </row>
    <row r="262" spans="1:32" ht="34.200000000000003" customHeight="1">
      <c r="A262" s="3388" t="s">
        <v>2120</v>
      </c>
      <c r="B262" s="2703" t="s">
        <v>3780</v>
      </c>
      <c r="C262" s="3419">
        <v>188711925</v>
      </c>
      <c r="D262" s="741" t="s">
        <v>2747</v>
      </c>
      <c r="E262" s="720">
        <v>100</v>
      </c>
      <c r="F262" s="914">
        <f t="shared" si="78"/>
        <v>2.1406900000000002</v>
      </c>
      <c r="G262" s="875">
        <v>314.06900000000002</v>
      </c>
      <c r="H262" s="722">
        <v>314.06900000000002</v>
      </c>
      <c r="I262" s="1014">
        <f t="shared" si="84"/>
        <v>-0.42687753328090328</v>
      </c>
      <c r="J262" s="720">
        <v>180</v>
      </c>
      <c r="K262" s="722">
        <v>0</v>
      </c>
      <c r="L262" s="722"/>
      <c r="M262" s="1496"/>
      <c r="N262" s="2055"/>
      <c r="O262" s="722"/>
      <c r="P262" s="1496"/>
      <c r="Q262" s="722"/>
      <c r="R262" s="1496"/>
      <c r="S262" s="3387"/>
      <c r="T262" s="2704" t="s">
        <v>4242</v>
      </c>
      <c r="U262" s="2694" t="s">
        <v>1668</v>
      </c>
      <c r="V262" s="2694" t="s">
        <v>3539</v>
      </c>
      <c r="W262" s="2694" t="s">
        <v>1372</v>
      </c>
      <c r="X262" s="2694" t="s">
        <v>3540</v>
      </c>
      <c r="Y262" s="2694" t="s">
        <v>3540</v>
      </c>
      <c r="Z262" s="2694" t="s">
        <v>433</v>
      </c>
      <c r="AA262" s="2694" t="s">
        <v>433</v>
      </c>
      <c r="AB262" s="2943"/>
      <c r="AE262" s="84"/>
      <c r="AF262" s="84"/>
    </row>
    <row r="263" spans="1:32" ht="34.200000000000003" customHeight="1">
      <c r="A263" s="3388"/>
      <c r="B263" s="2703"/>
      <c r="C263" s="3419"/>
      <c r="D263" s="741" t="s">
        <v>470</v>
      </c>
      <c r="E263" s="720"/>
      <c r="F263" s="914"/>
      <c r="G263" s="875"/>
      <c r="H263" s="722"/>
      <c r="I263" s="1014"/>
      <c r="J263" s="720"/>
      <c r="K263" s="722">
        <v>180</v>
      </c>
      <c r="L263" s="722">
        <v>70</v>
      </c>
      <c r="M263" s="1496">
        <v>105</v>
      </c>
      <c r="N263" s="2055">
        <f t="shared" si="103"/>
        <v>-0.61111111111111116</v>
      </c>
      <c r="O263" s="722"/>
      <c r="P263" s="1496"/>
      <c r="Q263" s="722"/>
      <c r="R263" s="1496"/>
      <c r="S263" s="3387"/>
      <c r="T263" s="2704"/>
      <c r="U263" s="2694"/>
      <c r="V263" s="2694"/>
      <c r="W263" s="2694"/>
      <c r="X263" s="2694"/>
      <c r="Y263" s="2694"/>
      <c r="Z263" s="2694"/>
      <c r="AA263" s="2694"/>
      <c r="AB263" s="2943"/>
      <c r="AE263" s="84"/>
      <c r="AF263" s="84"/>
    </row>
    <row r="264" spans="1:32" ht="30" customHeight="1">
      <c r="A264" s="3388"/>
      <c r="B264" s="2703"/>
      <c r="C264" s="3419"/>
      <c r="D264" s="741" t="s">
        <v>1358</v>
      </c>
      <c r="E264" s="657"/>
      <c r="F264" s="914" t="e">
        <f t="shared" si="78"/>
        <v>#DIV/0!</v>
      </c>
      <c r="G264" s="1296"/>
      <c r="H264" s="655"/>
      <c r="I264" s="1014"/>
      <c r="J264" s="657"/>
      <c r="K264" s="722"/>
      <c r="L264" s="722"/>
      <c r="M264" s="1496"/>
      <c r="N264" s="2055"/>
      <c r="O264" s="722"/>
      <c r="P264" s="1496"/>
      <c r="Q264" s="722"/>
      <c r="R264" s="1496"/>
      <c r="S264" s="3387"/>
      <c r="T264" s="2734"/>
      <c r="U264" s="2694"/>
      <c r="V264" s="2694"/>
      <c r="W264" s="2694"/>
      <c r="X264" s="2694"/>
      <c r="Y264" s="2694"/>
      <c r="Z264" s="2694"/>
      <c r="AA264" s="2694"/>
      <c r="AB264" s="2943"/>
      <c r="AE264" s="84"/>
      <c r="AF264" s="84"/>
    </row>
    <row r="265" spans="1:32" ht="37.5" customHeight="1">
      <c r="A265" s="3388"/>
      <c r="B265" s="2703"/>
      <c r="C265" s="3419"/>
      <c r="D265" s="742" t="s">
        <v>1067</v>
      </c>
      <c r="E265" s="726">
        <f>E262</f>
        <v>100</v>
      </c>
      <c r="F265" s="911">
        <f t="shared" si="78"/>
        <v>2.1406900000000002</v>
      </c>
      <c r="G265" s="1198">
        <f>G262</f>
        <v>314.06900000000002</v>
      </c>
      <c r="H265" s="728">
        <f>H262</f>
        <v>314.06900000000002</v>
      </c>
      <c r="I265" s="729">
        <f t="shared" si="84"/>
        <v>-0.42687753328090328</v>
      </c>
      <c r="J265" s="726">
        <f>J262</f>
        <v>180</v>
      </c>
      <c r="K265" s="728">
        <f>K262+K263+K264</f>
        <v>180</v>
      </c>
      <c r="L265" s="728">
        <f t="shared" ref="L265:R265" si="118">L262+L263+L264</f>
        <v>70</v>
      </c>
      <c r="M265" s="1464">
        <f t="shared" si="118"/>
        <v>105</v>
      </c>
      <c r="N265" s="2056">
        <f t="shared" si="103"/>
        <v>-0.61111111111111116</v>
      </c>
      <c r="O265" s="728">
        <f t="shared" si="118"/>
        <v>0</v>
      </c>
      <c r="P265" s="1464">
        <f t="shared" si="118"/>
        <v>0</v>
      </c>
      <c r="Q265" s="728">
        <f t="shared" si="118"/>
        <v>0</v>
      </c>
      <c r="R265" s="1464">
        <f t="shared" si="118"/>
        <v>0</v>
      </c>
      <c r="S265" s="3398"/>
      <c r="T265" s="2734"/>
      <c r="U265" s="2694"/>
      <c r="V265" s="2694"/>
      <c r="W265" s="2694"/>
      <c r="X265" s="2694"/>
      <c r="Y265" s="2694"/>
      <c r="Z265" s="2694"/>
      <c r="AA265" s="2694"/>
      <c r="AB265" s="2944"/>
      <c r="AE265" s="84"/>
      <c r="AF265" s="84"/>
    </row>
    <row r="266" spans="1:32" ht="42" customHeight="1">
      <c r="A266" s="697" t="s">
        <v>2127</v>
      </c>
      <c r="B266" s="663" t="s">
        <v>2447</v>
      </c>
      <c r="C266" s="697"/>
      <c r="D266" s="697"/>
      <c r="E266" s="745">
        <f>E268</f>
        <v>40</v>
      </c>
      <c r="F266" s="897">
        <f t="shared" si="78"/>
        <v>0</v>
      </c>
      <c r="G266" s="1194">
        <f t="shared" ref="G266:R266" si="119">G268</f>
        <v>40</v>
      </c>
      <c r="H266" s="746">
        <f t="shared" si="119"/>
        <v>40</v>
      </c>
      <c r="I266" s="747">
        <f t="shared" si="84"/>
        <v>0</v>
      </c>
      <c r="J266" s="746">
        <f t="shared" si="119"/>
        <v>40</v>
      </c>
      <c r="K266" s="746">
        <f t="shared" si="119"/>
        <v>40</v>
      </c>
      <c r="L266" s="746">
        <f t="shared" si="119"/>
        <v>63.12</v>
      </c>
      <c r="M266" s="1497">
        <f t="shared" si="119"/>
        <v>63.122</v>
      </c>
      <c r="N266" s="2057">
        <f t="shared" si="103"/>
        <v>0.57799999999999996</v>
      </c>
      <c r="O266" s="746">
        <f t="shared" si="119"/>
        <v>65</v>
      </c>
      <c r="P266" s="1497">
        <f t="shared" si="119"/>
        <v>65</v>
      </c>
      <c r="Q266" s="746">
        <f t="shared" si="119"/>
        <v>66</v>
      </c>
      <c r="R266" s="1497">
        <f t="shared" si="119"/>
        <v>66</v>
      </c>
      <c r="S266" s="929" t="s">
        <v>984</v>
      </c>
      <c r="T266" s="697"/>
      <c r="U266" s="697" t="s">
        <v>1669</v>
      </c>
      <c r="V266" s="663" t="s">
        <v>2315</v>
      </c>
      <c r="W266" s="697">
        <v>21.37</v>
      </c>
      <c r="X266" s="697">
        <v>21.37</v>
      </c>
      <c r="Y266" s="697">
        <v>21.37</v>
      </c>
      <c r="Z266" s="697">
        <v>21.37</v>
      </c>
      <c r="AA266" s="697">
        <v>21.37</v>
      </c>
      <c r="AB266" s="2942" t="s">
        <v>2444</v>
      </c>
      <c r="AC266" s="87"/>
      <c r="AD266" s="87"/>
      <c r="AE266" s="84"/>
      <c r="AF266" s="84"/>
    </row>
    <row r="267" spans="1:32" ht="42" customHeight="1">
      <c r="A267" s="3378" t="s">
        <v>2121</v>
      </c>
      <c r="B267" s="3380" t="s">
        <v>1302</v>
      </c>
      <c r="C267" s="3391">
        <v>188711925</v>
      </c>
      <c r="D267" s="748" t="s">
        <v>470</v>
      </c>
      <c r="E267" s="749">
        <v>40</v>
      </c>
      <c r="F267" s="914">
        <f t="shared" si="78"/>
        <v>0</v>
      </c>
      <c r="G267" s="1202">
        <v>40</v>
      </c>
      <c r="H267" s="722">
        <v>40</v>
      </c>
      <c r="I267" s="1014">
        <f t="shared" si="84"/>
        <v>0</v>
      </c>
      <c r="J267" s="720">
        <v>40</v>
      </c>
      <c r="K267" s="722">
        <v>40</v>
      </c>
      <c r="L267" s="722">
        <v>63.12</v>
      </c>
      <c r="M267" s="1496">
        <v>63.122</v>
      </c>
      <c r="N267" s="2055">
        <f t="shared" si="103"/>
        <v>0.57799999999999996</v>
      </c>
      <c r="O267" s="722">
        <v>65</v>
      </c>
      <c r="P267" s="1496">
        <v>65</v>
      </c>
      <c r="Q267" s="722">
        <v>66</v>
      </c>
      <c r="R267" s="1496">
        <v>66</v>
      </c>
      <c r="S267" s="3386" t="s">
        <v>2266</v>
      </c>
      <c r="T267" s="3376" t="s">
        <v>4243</v>
      </c>
      <c r="U267" s="2943" t="s">
        <v>1670</v>
      </c>
      <c r="V267" s="2943" t="s">
        <v>2316</v>
      </c>
      <c r="W267" s="2943" t="s">
        <v>1372</v>
      </c>
      <c r="X267" s="2943" t="s">
        <v>392</v>
      </c>
      <c r="Y267" s="2943" t="s">
        <v>392</v>
      </c>
      <c r="Z267" s="2694" t="s">
        <v>392</v>
      </c>
      <c r="AA267" s="2694" t="s">
        <v>392</v>
      </c>
      <c r="AB267" s="2943"/>
      <c r="AE267" s="84"/>
      <c r="AF267" s="84"/>
    </row>
    <row r="268" spans="1:32" ht="94.8" customHeight="1">
      <c r="A268" s="3379"/>
      <c r="B268" s="3381"/>
      <c r="C268" s="3392"/>
      <c r="D268" s="742" t="s">
        <v>1067</v>
      </c>
      <c r="E268" s="726">
        <f>E267</f>
        <v>40</v>
      </c>
      <c r="F268" s="911">
        <f t="shared" si="78"/>
        <v>0</v>
      </c>
      <c r="G268" s="1198">
        <f t="shared" ref="G268:R268" si="120">G267</f>
        <v>40</v>
      </c>
      <c r="H268" s="728">
        <f t="shared" si="120"/>
        <v>40</v>
      </c>
      <c r="I268" s="729">
        <f t="shared" ref="I268:I299" si="121">J268/H268-1</f>
        <v>0</v>
      </c>
      <c r="J268" s="726">
        <f t="shared" si="120"/>
        <v>40</v>
      </c>
      <c r="K268" s="728">
        <f t="shared" si="120"/>
        <v>40</v>
      </c>
      <c r="L268" s="728">
        <f t="shared" si="120"/>
        <v>63.12</v>
      </c>
      <c r="M268" s="1464">
        <f t="shared" si="120"/>
        <v>63.122</v>
      </c>
      <c r="N268" s="2056">
        <f t="shared" si="103"/>
        <v>0.57799999999999996</v>
      </c>
      <c r="O268" s="728">
        <f t="shared" si="120"/>
        <v>65</v>
      </c>
      <c r="P268" s="1464">
        <f t="shared" si="120"/>
        <v>65</v>
      </c>
      <c r="Q268" s="728">
        <f t="shared" si="120"/>
        <v>66</v>
      </c>
      <c r="R268" s="1464">
        <f t="shared" si="120"/>
        <v>66</v>
      </c>
      <c r="S268" s="3398"/>
      <c r="T268" s="3389"/>
      <c r="U268" s="2943"/>
      <c r="V268" s="2943"/>
      <c r="W268" s="2943"/>
      <c r="X268" s="2943"/>
      <c r="Y268" s="2943"/>
      <c r="Z268" s="2694"/>
      <c r="AA268" s="2694"/>
      <c r="AB268" s="2944"/>
      <c r="AE268" s="84"/>
      <c r="AF268" s="84"/>
    </row>
    <row r="269" spans="1:32" s="98" customFormat="1" ht="67.95" customHeight="1">
      <c r="A269" s="697" t="s">
        <v>2125</v>
      </c>
      <c r="B269" s="663" t="s">
        <v>2126</v>
      </c>
      <c r="C269" s="697"/>
      <c r="D269" s="697"/>
      <c r="E269" s="745">
        <f>E272</f>
        <v>232.92</v>
      </c>
      <c r="F269" s="897">
        <f t="shared" si="78"/>
        <v>-0.74240082431736221</v>
      </c>
      <c r="G269" s="1194">
        <f t="shared" ref="G269:R269" si="122">G272</f>
        <v>60</v>
      </c>
      <c r="H269" s="746">
        <f t="shared" si="122"/>
        <v>60</v>
      </c>
      <c r="I269" s="747">
        <f t="shared" si="121"/>
        <v>-0.7</v>
      </c>
      <c r="J269" s="745">
        <f t="shared" si="122"/>
        <v>18</v>
      </c>
      <c r="K269" s="746">
        <f t="shared" si="122"/>
        <v>18</v>
      </c>
      <c r="L269" s="746">
        <f t="shared" si="122"/>
        <v>295</v>
      </c>
      <c r="M269" s="1497">
        <f t="shared" si="122"/>
        <v>295</v>
      </c>
      <c r="N269" s="2057">
        <f t="shared" si="103"/>
        <v>15.388888888888889</v>
      </c>
      <c r="O269" s="746">
        <f t="shared" si="122"/>
        <v>40</v>
      </c>
      <c r="P269" s="1497">
        <f t="shared" si="122"/>
        <v>40</v>
      </c>
      <c r="Q269" s="746">
        <f t="shared" si="122"/>
        <v>40</v>
      </c>
      <c r="R269" s="1497">
        <f t="shared" si="122"/>
        <v>40</v>
      </c>
      <c r="S269" s="929" t="s">
        <v>991</v>
      </c>
      <c r="T269" s="697"/>
      <c r="U269" s="697" t="s">
        <v>1671</v>
      </c>
      <c r="V269" s="697" t="s">
        <v>993</v>
      </c>
      <c r="W269" s="697">
        <v>0.41</v>
      </c>
      <c r="X269" s="697">
        <v>0</v>
      </c>
      <c r="Y269" s="697">
        <v>0</v>
      </c>
      <c r="Z269" s="697"/>
      <c r="AA269" s="697"/>
      <c r="AB269" s="663" t="s">
        <v>993</v>
      </c>
    </row>
    <row r="270" spans="1:32" ht="35.4" customHeight="1">
      <c r="A270" s="3378" t="s">
        <v>2122</v>
      </c>
      <c r="B270" s="3380" t="s">
        <v>3781</v>
      </c>
      <c r="C270" s="3391">
        <v>188711925</v>
      </c>
      <c r="D270" s="748" t="s">
        <v>470</v>
      </c>
      <c r="E270" s="750">
        <v>232.92</v>
      </c>
      <c r="F270" s="1014">
        <f t="shared" ref="F270:F297" si="123">(H270-E270)/E270</f>
        <v>-0.74240082431736221</v>
      </c>
      <c r="G270" s="754">
        <v>60</v>
      </c>
      <c r="H270" s="722">
        <v>60</v>
      </c>
      <c r="I270" s="1014">
        <f t="shared" si="121"/>
        <v>-0.7</v>
      </c>
      <c r="J270" s="722">
        <v>18</v>
      </c>
      <c r="K270" s="722">
        <v>18</v>
      </c>
      <c r="L270" s="722"/>
      <c r="M270" s="722">
        <f>SUM(M273,M274)</f>
        <v>295</v>
      </c>
      <c r="N270" s="2055">
        <f t="shared" si="103"/>
        <v>-1</v>
      </c>
      <c r="O270" s="722">
        <f t="shared" ref="O270:R270" si="124">SUM(O273,O274)</f>
        <v>40</v>
      </c>
      <c r="P270" s="1496">
        <f t="shared" si="124"/>
        <v>40</v>
      </c>
      <c r="Q270" s="722">
        <f t="shared" si="124"/>
        <v>40</v>
      </c>
      <c r="R270" s="1496">
        <f t="shared" si="124"/>
        <v>40</v>
      </c>
      <c r="S270" s="3386" t="s">
        <v>2265</v>
      </c>
      <c r="T270" s="3376" t="s">
        <v>4244</v>
      </c>
      <c r="U270" s="2943" t="s">
        <v>1672</v>
      </c>
      <c r="V270" s="3785" t="s">
        <v>4246</v>
      </c>
      <c r="W270" s="3412" t="s">
        <v>1372</v>
      </c>
      <c r="X270" s="3412" t="s">
        <v>324</v>
      </c>
      <c r="Y270" s="3783" t="s">
        <v>392</v>
      </c>
      <c r="Z270" s="3783" t="s">
        <v>432</v>
      </c>
      <c r="AA270" s="3783" t="s">
        <v>432</v>
      </c>
      <c r="AB270" s="2943" t="s">
        <v>2443</v>
      </c>
      <c r="AE270" s="84"/>
      <c r="AF270" s="84"/>
    </row>
    <row r="271" spans="1:32" ht="42" customHeight="1">
      <c r="A271" s="3378"/>
      <c r="B271" s="3402"/>
      <c r="C271" s="3400"/>
      <c r="D271" s="706" t="s">
        <v>2747</v>
      </c>
      <c r="E271" s="2595"/>
      <c r="F271" s="2582"/>
      <c r="G271" s="2596"/>
      <c r="H271" s="2583"/>
      <c r="I271" s="2582"/>
      <c r="J271" s="2583"/>
      <c r="K271" s="2583"/>
      <c r="L271" s="2583">
        <v>295</v>
      </c>
      <c r="M271" s="2583"/>
      <c r="N271" s="2584"/>
      <c r="O271" s="2583"/>
      <c r="P271" s="2585"/>
      <c r="Q271" s="2583"/>
      <c r="R271" s="2585"/>
      <c r="S271" s="3387"/>
      <c r="T271" s="3376"/>
      <c r="U271" s="2943"/>
      <c r="V271" s="3786"/>
      <c r="W271" s="3412"/>
      <c r="X271" s="3412"/>
      <c r="Y271" s="3784"/>
      <c r="Z271" s="3784"/>
      <c r="AA271" s="3784"/>
      <c r="AB271" s="2943"/>
      <c r="AE271" s="84"/>
      <c r="AF271" s="84"/>
    </row>
    <row r="272" spans="1:32" ht="44.25" customHeight="1">
      <c r="A272" s="3379"/>
      <c r="B272" s="3403"/>
      <c r="C272" s="3401"/>
      <c r="D272" s="1784" t="s">
        <v>1067</v>
      </c>
      <c r="E272" s="1785">
        <f>E270</f>
        <v>232.92</v>
      </c>
      <c r="F272" s="1786">
        <f t="shared" si="123"/>
        <v>-0.74240082431736221</v>
      </c>
      <c r="G272" s="1787">
        <f t="shared" ref="G272:R272" si="125">G270</f>
        <v>60</v>
      </c>
      <c r="H272" s="1785">
        <f t="shared" si="125"/>
        <v>60</v>
      </c>
      <c r="I272" s="1786">
        <f t="shared" si="121"/>
        <v>-0.7</v>
      </c>
      <c r="J272" s="1785">
        <f t="shared" si="125"/>
        <v>18</v>
      </c>
      <c r="K272" s="1785">
        <f t="shared" si="125"/>
        <v>18</v>
      </c>
      <c r="L272" s="1785">
        <f>SUM(L270,L271)</f>
        <v>295</v>
      </c>
      <c r="M272" s="1785">
        <f t="shared" ref="M272" si="126">M270</f>
        <v>295</v>
      </c>
      <c r="N272" s="2210">
        <f t="shared" si="103"/>
        <v>15.388888888888889</v>
      </c>
      <c r="O272" s="1785">
        <f t="shared" si="125"/>
        <v>40</v>
      </c>
      <c r="P272" s="1785">
        <f t="shared" si="125"/>
        <v>40</v>
      </c>
      <c r="Q272" s="1785">
        <f t="shared" si="125"/>
        <v>40</v>
      </c>
      <c r="R272" s="1785">
        <f t="shared" si="125"/>
        <v>40</v>
      </c>
      <c r="S272" s="3387"/>
      <c r="T272" s="3377"/>
      <c r="U272" s="2943"/>
      <c r="V272" s="2020" t="s">
        <v>4245</v>
      </c>
      <c r="W272" s="3412"/>
      <c r="X272" s="3412"/>
      <c r="Y272" s="2238" t="s">
        <v>324</v>
      </c>
      <c r="Z272" s="2238" t="s">
        <v>433</v>
      </c>
      <c r="AA272" s="2238" t="s">
        <v>433</v>
      </c>
      <c r="AB272" s="2943"/>
      <c r="AE272" s="84"/>
      <c r="AF272" s="84"/>
    </row>
    <row r="273" spans="1:32" ht="66.75" hidden="1" customHeight="1">
      <c r="A273" s="1483"/>
      <c r="B273" s="665" t="s">
        <v>4163</v>
      </c>
      <c r="C273" s="1780"/>
      <c r="D273" s="1781"/>
      <c r="E273" s="1438"/>
      <c r="F273" s="1782"/>
      <c r="G273" s="1438"/>
      <c r="H273" s="1438"/>
      <c r="I273" s="1782"/>
      <c r="J273" s="1438"/>
      <c r="K273" s="1438"/>
      <c r="L273" s="681">
        <v>250</v>
      </c>
      <c r="M273" s="1470">
        <v>250</v>
      </c>
      <c r="N273" s="2043"/>
      <c r="O273" s="1438"/>
      <c r="P273" s="1470"/>
      <c r="Q273" s="1438"/>
      <c r="R273" s="1470"/>
      <c r="S273" s="1438"/>
      <c r="T273" s="1470" t="s">
        <v>4102</v>
      </c>
      <c r="U273" s="1783"/>
      <c r="V273" s="1783"/>
      <c r="W273" s="1783"/>
      <c r="X273" s="1783"/>
      <c r="Y273" s="1783"/>
      <c r="Z273" s="1783"/>
      <c r="AA273" s="693"/>
      <c r="AB273" s="693"/>
      <c r="AE273" s="84"/>
      <c r="AF273" s="84"/>
    </row>
    <row r="274" spans="1:32" ht="44.25" hidden="1" customHeight="1">
      <c r="A274" s="1483"/>
      <c r="B274" s="665" t="s">
        <v>3909</v>
      </c>
      <c r="C274" s="1780"/>
      <c r="D274" s="1781"/>
      <c r="E274" s="1438"/>
      <c r="F274" s="1782"/>
      <c r="G274" s="1438"/>
      <c r="H274" s="1438"/>
      <c r="I274" s="1782"/>
      <c r="J274" s="1438"/>
      <c r="K274" s="1438"/>
      <c r="L274" s="681">
        <v>45</v>
      </c>
      <c r="M274" s="1470">
        <v>45</v>
      </c>
      <c r="N274" s="2043"/>
      <c r="O274" s="681">
        <v>40</v>
      </c>
      <c r="P274" s="1470">
        <v>40</v>
      </c>
      <c r="Q274" s="681">
        <v>40</v>
      </c>
      <c r="R274" s="1470">
        <v>40</v>
      </c>
      <c r="S274" s="1438"/>
      <c r="T274" s="1470" t="s">
        <v>4101</v>
      </c>
      <c r="U274" s="1783"/>
      <c r="V274" s="1783"/>
      <c r="W274" s="1783"/>
      <c r="X274" s="1783"/>
      <c r="Y274" s="1783"/>
      <c r="Z274" s="1783"/>
      <c r="AA274" s="693"/>
      <c r="AB274" s="693"/>
      <c r="AE274" s="84"/>
      <c r="AF274" s="84"/>
    </row>
    <row r="275" spans="1:32" s="98" customFormat="1" ht="57.75" customHeight="1">
      <c r="A275" s="697" t="s">
        <v>2124</v>
      </c>
      <c r="B275" s="663" t="s">
        <v>2442</v>
      </c>
      <c r="C275" s="697"/>
      <c r="D275" s="697"/>
      <c r="E275" s="745">
        <f>E278</f>
        <v>50</v>
      </c>
      <c r="F275" s="897">
        <f t="shared" si="123"/>
        <v>2</v>
      </c>
      <c r="G275" s="1194">
        <f t="shared" ref="G275:R275" si="127">G278</f>
        <v>150</v>
      </c>
      <c r="H275" s="746">
        <f t="shared" si="127"/>
        <v>150</v>
      </c>
      <c r="I275" s="747">
        <f t="shared" si="121"/>
        <v>3.8266666666666671</v>
      </c>
      <c r="J275" s="745">
        <f t="shared" si="127"/>
        <v>724</v>
      </c>
      <c r="K275" s="746">
        <f t="shared" si="127"/>
        <v>387.79999999999995</v>
      </c>
      <c r="L275" s="746">
        <f t="shared" si="127"/>
        <v>550</v>
      </c>
      <c r="M275" s="1497">
        <f t="shared" si="127"/>
        <v>724</v>
      </c>
      <c r="N275" s="2057">
        <f t="shared" si="103"/>
        <v>0.41825683341928843</v>
      </c>
      <c r="O275" s="746">
        <f t="shared" si="127"/>
        <v>724</v>
      </c>
      <c r="P275" s="1497">
        <f t="shared" si="127"/>
        <v>724</v>
      </c>
      <c r="Q275" s="746">
        <f t="shared" si="127"/>
        <v>724</v>
      </c>
      <c r="R275" s="1497">
        <f t="shared" si="127"/>
        <v>724</v>
      </c>
      <c r="S275" s="929" t="s">
        <v>991</v>
      </c>
      <c r="T275" s="697"/>
      <c r="U275" s="697" t="s">
        <v>1673</v>
      </c>
      <c r="V275" s="697" t="s">
        <v>993</v>
      </c>
      <c r="W275" s="697">
        <v>0</v>
      </c>
      <c r="X275" s="697">
        <v>0</v>
      </c>
      <c r="Y275" s="697">
        <v>0</v>
      </c>
      <c r="Z275" s="697">
        <v>6.14</v>
      </c>
      <c r="AA275" s="697">
        <v>6.14</v>
      </c>
      <c r="AB275" s="663" t="s">
        <v>993</v>
      </c>
      <c r="AC275" s="83"/>
    </row>
    <row r="276" spans="1:32" ht="53.25" customHeight="1">
      <c r="A276" s="3378" t="s">
        <v>2123</v>
      </c>
      <c r="B276" s="3380" t="s">
        <v>2506</v>
      </c>
      <c r="C276" s="3391">
        <v>188711925</v>
      </c>
      <c r="D276" s="748" t="s">
        <v>2747</v>
      </c>
      <c r="E276" s="749">
        <v>50</v>
      </c>
      <c r="F276" s="911">
        <f t="shared" si="123"/>
        <v>2</v>
      </c>
      <c r="G276" s="1202">
        <v>150</v>
      </c>
      <c r="H276" s="722">
        <v>150</v>
      </c>
      <c r="I276" s="1014">
        <f t="shared" si="121"/>
        <v>3.8266666666666671</v>
      </c>
      <c r="J276" s="720">
        <v>724</v>
      </c>
      <c r="K276" s="722">
        <v>167.17</v>
      </c>
      <c r="L276" s="722"/>
      <c r="M276" s="722"/>
      <c r="N276" s="2055">
        <f t="shared" si="103"/>
        <v>-1</v>
      </c>
      <c r="O276" s="722"/>
      <c r="P276" s="722"/>
      <c r="Q276" s="722"/>
      <c r="R276" s="722"/>
      <c r="S276" s="3399" t="s">
        <v>2264</v>
      </c>
      <c r="T276" s="3376" t="s">
        <v>4252</v>
      </c>
      <c r="U276" s="2943" t="s">
        <v>1674</v>
      </c>
      <c r="V276" s="2943" t="s">
        <v>4079</v>
      </c>
      <c r="W276" s="2943" t="s">
        <v>324</v>
      </c>
      <c r="X276" s="2943" t="s">
        <v>1372</v>
      </c>
      <c r="Y276" s="2943" t="s">
        <v>1372</v>
      </c>
      <c r="Z276" s="2942" t="s">
        <v>433</v>
      </c>
      <c r="AA276" s="2942" t="s">
        <v>433</v>
      </c>
      <c r="AB276" s="2943" t="s">
        <v>2445</v>
      </c>
      <c r="AE276" s="84"/>
      <c r="AF276" s="84"/>
    </row>
    <row r="277" spans="1:32" ht="47.4" customHeight="1">
      <c r="A277" s="3378"/>
      <c r="B277" s="3380"/>
      <c r="C277" s="3391"/>
      <c r="D277" s="748" t="s">
        <v>470</v>
      </c>
      <c r="E277" s="749"/>
      <c r="F277" s="911"/>
      <c r="G277" s="1202"/>
      <c r="H277" s="722"/>
      <c r="I277" s="1014"/>
      <c r="J277" s="720">
        <v>724</v>
      </c>
      <c r="K277" s="722">
        <f>237.63-17</f>
        <v>220.63</v>
      </c>
      <c r="L277" s="722">
        <v>550</v>
      </c>
      <c r="M277" s="1496">
        <v>724</v>
      </c>
      <c r="N277" s="2055">
        <f t="shared" si="103"/>
        <v>1.4928613515841</v>
      </c>
      <c r="O277" s="722">
        <v>724</v>
      </c>
      <c r="P277" s="1496">
        <v>724</v>
      </c>
      <c r="Q277" s="722">
        <v>724</v>
      </c>
      <c r="R277" s="1496">
        <v>724</v>
      </c>
      <c r="S277" s="3399"/>
      <c r="T277" s="3376"/>
      <c r="U277" s="2943"/>
      <c r="V277" s="2943"/>
      <c r="W277" s="2943"/>
      <c r="X277" s="2943"/>
      <c r="Y277" s="2943"/>
      <c r="Z277" s="2943"/>
      <c r="AA277" s="2943"/>
      <c r="AB277" s="2943"/>
      <c r="AE277" s="84"/>
      <c r="AF277" s="84"/>
    </row>
    <row r="278" spans="1:32" ht="115.2" customHeight="1">
      <c r="A278" s="3379"/>
      <c r="B278" s="3381"/>
      <c r="C278" s="3392"/>
      <c r="D278" s="742" t="s">
        <v>1067</v>
      </c>
      <c r="E278" s="726">
        <f>E276</f>
        <v>50</v>
      </c>
      <c r="F278" s="911">
        <f t="shared" si="123"/>
        <v>2</v>
      </c>
      <c r="G278" s="1198">
        <f t="shared" ref="G278:J278" si="128">G276</f>
        <v>150</v>
      </c>
      <c r="H278" s="728">
        <f t="shared" si="128"/>
        <v>150</v>
      </c>
      <c r="I278" s="729">
        <f t="shared" si="121"/>
        <v>3.8266666666666671</v>
      </c>
      <c r="J278" s="726">
        <f t="shared" si="128"/>
        <v>724</v>
      </c>
      <c r="K278" s="728">
        <f>SUM(K276,K277)</f>
        <v>387.79999999999995</v>
      </c>
      <c r="L278" s="728">
        <f t="shared" ref="L278:R278" si="129">SUM(L276,L277)</f>
        <v>550</v>
      </c>
      <c r="M278" s="728">
        <f t="shared" si="129"/>
        <v>724</v>
      </c>
      <c r="N278" s="2056">
        <f t="shared" si="103"/>
        <v>0.41825683341928843</v>
      </c>
      <c r="O278" s="728">
        <f t="shared" si="129"/>
        <v>724</v>
      </c>
      <c r="P278" s="728">
        <f t="shared" si="129"/>
        <v>724</v>
      </c>
      <c r="Q278" s="728">
        <f t="shared" si="129"/>
        <v>724</v>
      </c>
      <c r="R278" s="728">
        <f t="shared" si="129"/>
        <v>724</v>
      </c>
      <c r="S278" s="3399"/>
      <c r="T278" s="3389"/>
      <c r="U278" s="2943"/>
      <c r="V278" s="2943"/>
      <c r="W278" s="2943"/>
      <c r="X278" s="2943"/>
      <c r="Y278" s="2943"/>
      <c r="Z278" s="2944"/>
      <c r="AA278" s="2944"/>
      <c r="AB278" s="2944"/>
      <c r="AE278" s="84"/>
      <c r="AF278" s="84"/>
    </row>
    <row r="279" spans="1:32" s="98" customFormat="1" ht="57.75" customHeight="1">
      <c r="A279" s="697" t="s">
        <v>3198</v>
      </c>
      <c r="B279" s="663" t="s">
        <v>3199</v>
      </c>
      <c r="C279" s="697"/>
      <c r="D279" s="697"/>
      <c r="E279" s="746"/>
      <c r="F279" s="747"/>
      <c r="G279" s="1149"/>
      <c r="H279" s="746"/>
      <c r="I279" s="747"/>
      <c r="J279" s="745">
        <f>SUM(J280,J281,J282)</f>
        <v>200</v>
      </c>
      <c r="K279" s="746">
        <f t="shared" ref="K279:R279" si="130">SUM(K280,K281,K282)</f>
        <v>200</v>
      </c>
      <c r="L279" s="746">
        <f>SUM(L283,L287)</f>
        <v>449.90199999999999</v>
      </c>
      <c r="M279" s="746">
        <f t="shared" ref="M279:Q279" si="131">SUM(M283,M287)</f>
        <v>620.24400000000003</v>
      </c>
      <c r="N279" s="746">
        <f t="shared" si="131"/>
        <v>0.7495099999999999</v>
      </c>
      <c r="O279" s="746">
        <f t="shared" si="131"/>
        <v>370.34199999999998</v>
      </c>
      <c r="P279" s="746">
        <f t="shared" si="131"/>
        <v>0</v>
      </c>
      <c r="Q279" s="746">
        <f t="shared" si="131"/>
        <v>0</v>
      </c>
      <c r="R279" s="1497">
        <f t="shared" si="130"/>
        <v>0</v>
      </c>
      <c r="S279" s="929"/>
      <c r="T279" s="697"/>
      <c r="U279" s="697" t="s">
        <v>3503</v>
      </c>
      <c r="V279" s="663" t="s">
        <v>3782</v>
      </c>
      <c r="W279" s="697"/>
      <c r="X279" s="697" t="s">
        <v>3502</v>
      </c>
      <c r="Y279" s="697" t="s">
        <v>585</v>
      </c>
      <c r="Z279" s="697" t="s">
        <v>585</v>
      </c>
      <c r="AA279" s="697" t="s">
        <v>585</v>
      </c>
      <c r="AB279" s="663"/>
      <c r="AC279" s="83"/>
    </row>
    <row r="280" spans="1:32" ht="45" customHeight="1">
      <c r="A280" s="3394" t="s">
        <v>3707</v>
      </c>
      <c r="B280" s="3380" t="s">
        <v>3708</v>
      </c>
      <c r="C280" s="3391">
        <v>188711925</v>
      </c>
      <c r="D280" s="748" t="s">
        <v>412</v>
      </c>
      <c r="E280" s="750"/>
      <c r="F280" s="729"/>
      <c r="G280" s="754"/>
      <c r="H280" s="722"/>
      <c r="I280" s="1014"/>
      <c r="J280" s="720"/>
      <c r="K280" s="722">
        <v>200</v>
      </c>
      <c r="L280" s="722"/>
      <c r="M280" s="1496">
        <v>170.34200000000001</v>
      </c>
      <c r="N280" s="2055">
        <f t="shared" si="103"/>
        <v>-1</v>
      </c>
      <c r="O280" s="722">
        <v>170.34200000000001</v>
      </c>
      <c r="P280" s="1496"/>
      <c r="Q280" s="722"/>
      <c r="R280" s="1496"/>
      <c r="S280" s="2871" t="s">
        <v>3201</v>
      </c>
      <c r="T280" s="2704" t="s">
        <v>4247</v>
      </c>
      <c r="U280" s="2694" t="s">
        <v>4730</v>
      </c>
      <c r="V280" s="2694" t="s">
        <v>3662</v>
      </c>
      <c r="W280" s="2694"/>
      <c r="X280" s="2694" t="s">
        <v>1304</v>
      </c>
      <c r="Y280" s="2694" t="s">
        <v>1304</v>
      </c>
      <c r="Z280" s="2694" t="s">
        <v>433</v>
      </c>
      <c r="AA280" s="2694" t="s">
        <v>433</v>
      </c>
      <c r="AB280" s="2694" t="s">
        <v>1680</v>
      </c>
      <c r="AE280" s="84"/>
      <c r="AF280" s="84"/>
    </row>
    <row r="281" spans="1:32" ht="40.5" customHeight="1">
      <c r="A281" s="3378"/>
      <c r="B281" s="3380"/>
      <c r="C281" s="3391"/>
      <c r="D281" s="748" t="s">
        <v>470</v>
      </c>
      <c r="E281" s="750"/>
      <c r="F281" s="729"/>
      <c r="G281" s="754"/>
      <c r="H281" s="722"/>
      <c r="I281" s="1014"/>
      <c r="J281" s="720">
        <v>200</v>
      </c>
      <c r="K281" s="722"/>
      <c r="L281" s="722"/>
      <c r="M281" s="1496">
        <v>349.90199999999999</v>
      </c>
      <c r="N281" s="2055"/>
      <c r="O281" s="722"/>
      <c r="P281" s="1496"/>
      <c r="Q281" s="722"/>
      <c r="R281" s="1496"/>
      <c r="S281" s="2871"/>
      <c r="T281" s="2704"/>
      <c r="U281" s="2694"/>
      <c r="V281" s="2694"/>
      <c r="W281" s="2694"/>
      <c r="X281" s="2694"/>
      <c r="Y281" s="2694"/>
      <c r="Z281" s="2694"/>
      <c r="AA281" s="2694"/>
      <c r="AB281" s="2694"/>
      <c r="AE281" s="84"/>
      <c r="AF281" s="84"/>
    </row>
    <row r="282" spans="1:32" ht="40.5" customHeight="1">
      <c r="A282" s="3378"/>
      <c r="B282" s="3380"/>
      <c r="C282" s="3391"/>
      <c r="D282" s="748" t="s">
        <v>3200</v>
      </c>
      <c r="E282" s="750"/>
      <c r="F282" s="729"/>
      <c r="G282" s="754"/>
      <c r="H282" s="722"/>
      <c r="I282" s="1014"/>
      <c r="J282" s="720"/>
      <c r="K282" s="722"/>
      <c r="L282" s="722">
        <v>349.90199999999999</v>
      </c>
      <c r="M282" s="1496"/>
      <c r="N282" s="2055"/>
      <c r="O282" s="722"/>
      <c r="P282" s="1496"/>
      <c r="Q282" s="722"/>
      <c r="R282" s="1496"/>
      <c r="S282" s="2871"/>
      <c r="T282" s="2704"/>
      <c r="U282" s="2694"/>
      <c r="V282" s="2694"/>
      <c r="W282" s="2694"/>
      <c r="X282" s="2694"/>
      <c r="Y282" s="2694"/>
      <c r="Z282" s="2694"/>
      <c r="AA282" s="2694"/>
      <c r="AB282" s="2694"/>
      <c r="AE282" s="84"/>
      <c r="AF282" s="84"/>
    </row>
    <row r="283" spans="1:32" ht="42" customHeight="1">
      <c r="A283" s="3379"/>
      <c r="B283" s="3381"/>
      <c r="C283" s="3392"/>
      <c r="D283" s="742"/>
      <c r="E283" s="728"/>
      <c r="F283" s="729"/>
      <c r="G283" s="744"/>
      <c r="H283" s="728"/>
      <c r="I283" s="729"/>
      <c r="J283" s="726">
        <f>SUM(J280,J281,J282,)</f>
        <v>200</v>
      </c>
      <c r="K283" s="728">
        <f t="shared" ref="K283:R283" si="132">SUM(K280,K281,K282,)</f>
        <v>200</v>
      </c>
      <c r="L283" s="728">
        <f t="shared" si="132"/>
        <v>349.90199999999999</v>
      </c>
      <c r="M283" s="1464">
        <f t="shared" si="132"/>
        <v>520.24400000000003</v>
      </c>
      <c r="N283" s="2056">
        <f t="shared" si="103"/>
        <v>0.7495099999999999</v>
      </c>
      <c r="O283" s="728">
        <f t="shared" si="132"/>
        <v>170.34200000000001</v>
      </c>
      <c r="P283" s="1464">
        <f t="shared" si="132"/>
        <v>0</v>
      </c>
      <c r="Q283" s="728">
        <f t="shared" si="132"/>
        <v>0</v>
      </c>
      <c r="R283" s="1464">
        <f t="shared" si="132"/>
        <v>0</v>
      </c>
      <c r="S283" s="2871"/>
      <c r="T283" s="2734"/>
      <c r="U283" s="2694"/>
      <c r="V283" s="2694"/>
      <c r="W283" s="2694"/>
      <c r="X283" s="2694"/>
      <c r="Y283" s="2694"/>
      <c r="Z283" s="2694"/>
      <c r="AA283" s="2694"/>
      <c r="AB283" s="2694"/>
      <c r="AE283" s="84"/>
      <c r="AF283" s="84"/>
    </row>
    <row r="284" spans="1:32" ht="45" customHeight="1">
      <c r="A284" s="3394" t="s">
        <v>3911</v>
      </c>
      <c r="B284" s="3380" t="s">
        <v>3910</v>
      </c>
      <c r="C284" s="3391">
        <v>188711925</v>
      </c>
      <c r="D284" s="748" t="s">
        <v>412</v>
      </c>
      <c r="E284" s="750"/>
      <c r="F284" s="1014"/>
      <c r="G284" s="754"/>
      <c r="H284" s="722"/>
      <c r="I284" s="1014"/>
      <c r="J284" s="722"/>
      <c r="K284" s="722"/>
      <c r="L284" s="722"/>
      <c r="M284" s="722"/>
      <c r="N284" s="2055"/>
      <c r="O284" s="722">
        <v>100</v>
      </c>
      <c r="P284" s="722"/>
      <c r="Q284" s="722"/>
      <c r="R284" s="722"/>
      <c r="S284" s="2871" t="s">
        <v>3201</v>
      </c>
      <c r="T284" s="2704" t="s">
        <v>4248</v>
      </c>
      <c r="U284" s="2694" t="s">
        <v>4731</v>
      </c>
      <c r="V284" s="2694" t="s">
        <v>3662</v>
      </c>
      <c r="W284" s="2694"/>
      <c r="X284" s="2694" t="s">
        <v>1304</v>
      </c>
      <c r="Y284" s="2694" t="s">
        <v>433</v>
      </c>
      <c r="Z284" s="2694" t="s">
        <v>392</v>
      </c>
      <c r="AA284" s="2694" t="s">
        <v>433</v>
      </c>
      <c r="AB284" s="2694" t="s">
        <v>1680</v>
      </c>
      <c r="AE284" s="84"/>
      <c r="AF284" s="84"/>
    </row>
    <row r="285" spans="1:32" ht="40.5" customHeight="1">
      <c r="A285" s="3378"/>
      <c r="B285" s="3380"/>
      <c r="C285" s="3391"/>
      <c r="D285" s="748" t="s">
        <v>470</v>
      </c>
      <c r="E285" s="750"/>
      <c r="F285" s="1014"/>
      <c r="G285" s="754"/>
      <c r="H285" s="722"/>
      <c r="I285" s="1014"/>
      <c r="J285" s="722">
        <v>200</v>
      </c>
      <c r="K285" s="722"/>
      <c r="L285" s="722"/>
      <c r="M285" s="722">
        <v>100</v>
      </c>
      <c r="N285" s="2055"/>
      <c r="O285" s="722">
        <v>100</v>
      </c>
      <c r="P285" s="722"/>
      <c r="Q285" s="722"/>
      <c r="R285" s="722"/>
      <c r="S285" s="2871"/>
      <c r="T285" s="2704"/>
      <c r="U285" s="2694"/>
      <c r="V285" s="2694"/>
      <c r="W285" s="2694"/>
      <c r="X285" s="2694"/>
      <c r="Y285" s="2694"/>
      <c r="Z285" s="2694"/>
      <c r="AA285" s="2694"/>
      <c r="AB285" s="2694"/>
      <c r="AE285" s="84"/>
      <c r="AF285" s="84"/>
    </row>
    <row r="286" spans="1:32" ht="40.5" customHeight="1">
      <c r="A286" s="3378"/>
      <c r="B286" s="3380"/>
      <c r="C286" s="3391"/>
      <c r="D286" s="748" t="s">
        <v>3200</v>
      </c>
      <c r="E286" s="750"/>
      <c r="F286" s="1014"/>
      <c r="G286" s="754"/>
      <c r="H286" s="722"/>
      <c r="I286" s="1014"/>
      <c r="J286" s="722"/>
      <c r="K286" s="722"/>
      <c r="L286" s="722">
        <v>100</v>
      </c>
      <c r="M286" s="722"/>
      <c r="N286" s="2055"/>
      <c r="O286" s="722"/>
      <c r="P286" s="722"/>
      <c r="Q286" s="722"/>
      <c r="R286" s="722"/>
      <c r="S286" s="2871"/>
      <c r="T286" s="2704"/>
      <c r="U286" s="2694"/>
      <c r="V286" s="2694"/>
      <c r="W286" s="2694"/>
      <c r="X286" s="2694"/>
      <c r="Y286" s="2694"/>
      <c r="Z286" s="2694"/>
      <c r="AA286" s="2694"/>
      <c r="AB286" s="2694"/>
      <c r="AE286" s="84"/>
      <c r="AF286" s="84"/>
    </row>
    <row r="287" spans="1:32" ht="42" customHeight="1">
      <c r="A287" s="3379"/>
      <c r="B287" s="3381"/>
      <c r="C287" s="3392"/>
      <c r="D287" s="742"/>
      <c r="E287" s="728"/>
      <c r="F287" s="729"/>
      <c r="G287" s="744"/>
      <c r="H287" s="728"/>
      <c r="I287" s="729"/>
      <c r="J287" s="728">
        <f>SUM(J284,J285,J286,)</f>
        <v>200</v>
      </c>
      <c r="K287" s="728">
        <f t="shared" ref="K287:M287" si="133">SUM(K284,K285,K286,)</f>
        <v>0</v>
      </c>
      <c r="L287" s="728">
        <f t="shared" si="133"/>
        <v>100</v>
      </c>
      <c r="M287" s="728">
        <f t="shared" si="133"/>
        <v>100</v>
      </c>
      <c r="N287" s="2056"/>
      <c r="O287" s="728">
        <f t="shared" ref="O287:R287" si="134">SUM(O284,O285,O286,)</f>
        <v>200</v>
      </c>
      <c r="P287" s="728">
        <f t="shared" si="134"/>
        <v>0</v>
      </c>
      <c r="Q287" s="728">
        <f t="shared" si="134"/>
        <v>0</v>
      </c>
      <c r="R287" s="728">
        <f t="shared" si="134"/>
        <v>0</v>
      </c>
      <c r="S287" s="2871"/>
      <c r="T287" s="2734"/>
      <c r="U287" s="2694"/>
      <c r="V287" s="2694"/>
      <c r="W287" s="2694"/>
      <c r="X287" s="2694"/>
      <c r="Y287" s="2694"/>
      <c r="Z287" s="2694"/>
      <c r="AA287" s="2694"/>
      <c r="AB287" s="2694"/>
      <c r="AE287" s="84"/>
      <c r="AF287" s="84"/>
    </row>
    <row r="288" spans="1:32" ht="65.400000000000006" customHeight="1">
      <c r="A288" s="3251"/>
      <c r="B288" s="3251"/>
      <c r="C288" s="3251"/>
      <c r="D288" s="3251"/>
      <c r="E288" s="242" t="s">
        <v>1081</v>
      </c>
      <c r="F288" s="263"/>
      <c r="G288" s="485" t="str">
        <f>G22</f>
        <v>2024  m. išlaidų projektas (lėšų poreikis), tūkst. Eur</v>
      </c>
      <c r="H288" s="182" t="str">
        <f>H22</f>
        <v>2024  m.asignavimų  planas, tūkst. Eur</v>
      </c>
      <c r="I288" s="509" t="s">
        <v>2882</v>
      </c>
      <c r="J288" s="473" t="s">
        <v>2883</v>
      </c>
      <c r="K288" s="182" t="str">
        <f>K22</f>
        <v>2025 m. asignavimai ir kitos lėšos, tūkst. Eur</v>
      </c>
      <c r="L288" s="184" t="str">
        <f>L22</f>
        <v>2026 m. asignavimai ir kitos lėšos, tūkst. Eur</v>
      </c>
      <c r="M288" s="3774" t="str">
        <f>M22</f>
        <v>2026 m.asignavimai ir kitos lėšos, tūkst. Eur
(poreikis)</v>
      </c>
      <c r="N288" s="3787"/>
      <c r="O288" s="184" t="str">
        <f>O22</f>
        <v>2027 m.asignavimai ir kitos lėšos, tūkst. Eur</v>
      </c>
      <c r="P288" s="3774" t="str">
        <f>P22</f>
        <v>2027 m.asignavimai ir kitos lėšos, tūkst. Eur
(poreikis)</v>
      </c>
      <c r="Q288" s="184" t="str">
        <f>Q22</f>
        <v>2028 m.asignavimai ir kitos lėšos, tūkst. Eur</v>
      </c>
      <c r="R288" s="1505" t="str">
        <f>R22</f>
        <v>2028 m.asignavimai ir kitos lėšos, tūkst. Eur
(poreikis)</v>
      </c>
      <c r="S288" s="824"/>
      <c r="T288" s="824"/>
      <c r="U288" s="89"/>
      <c r="V288" s="89"/>
      <c r="W288" s="202"/>
      <c r="X288" s="202"/>
      <c r="Y288" s="202"/>
      <c r="Z288" s="202"/>
      <c r="AA288" s="202"/>
      <c r="AB288" s="89"/>
      <c r="AE288" s="84"/>
      <c r="AF288" s="84"/>
    </row>
    <row r="289" spans="1:32" ht="31.2" customHeight="1">
      <c r="A289" s="3395"/>
      <c r="B289" s="2972" t="s">
        <v>720</v>
      </c>
      <c r="C289" s="2972"/>
      <c r="D289" s="2972"/>
      <c r="E289" s="243">
        <f>SUM(E290,E291,E292,E293,E294,E295,)</f>
        <v>13777.986999999999</v>
      </c>
      <c r="F289" s="246" t="e">
        <f t="shared" si="123"/>
        <v>#REF!</v>
      </c>
      <c r="G289" s="527">
        <f t="shared" ref="G289" si="135">SUM(G290,G291,G292,G293,G294,G295,)</f>
        <v>3532.2670000000003</v>
      </c>
      <c r="H289" s="166" t="e">
        <f>SUM(H290,H291,H292,H293,H294,H295,)</f>
        <v>#REF!</v>
      </c>
      <c r="I289" s="510" t="e">
        <f t="shared" si="121"/>
        <v>#REF!</v>
      </c>
      <c r="J289" s="245">
        <f t="shared" ref="J289:P289" si="136">SUM(J290,J291,J292,J293,J294,J295,)</f>
        <v>6900.2710000000006</v>
      </c>
      <c r="K289" s="166">
        <f>SUM(K290,K291,K292,K293,K294,K295,)</f>
        <v>8961.0960000000014</v>
      </c>
      <c r="L289" s="225">
        <f>SUM(L290,L291,L292,L293,L294,L295,)</f>
        <v>9501.9429999999993</v>
      </c>
      <c r="M289" s="1539">
        <f>SUM(M290,M291,M292,M293,M294,M295,)</f>
        <v>12741.474</v>
      </c>
      <c r="N289" s="3788">
        <f>(L289-K289)/K289</f>
        <v>6.0355005682340403E-2</v>
      </c>
      <c r="O289" s="225">
        <f t="shared" si="136"/>
        <v>18655.218500000003</v>
      </c>
      <c r="P289" s="1539">
        <f t="shared" si="136"/>
        <v>18532.589</v>
      </c>
      <c r="Q289" s="225">
        <f>SUM(Q290,Q291,Q292,Q293,Q294,Q295,)</f>
        <v>13893.030475</v>
      </c>
      <c r="R289" s="1644">
        <f t="shared" ref="R289" si="137">SUM(R290,R291,R292,R293,R294,R295,)</f>
        <v>13807.419</v>
      </c>
      <c r="S289" s="193"/>
      <c r="T289" s="172"/>
      <c r="U289" s="172"/>
      <c r="V289" s="172"/>
      <c r="W289" s="193"/>
      <c r="X289" s="193"/>
      <c r="Y289" s="193"/>
      <c r="Z289" s="193"/>
      <c r="AA289" s="191"/>
      <c r="AB289" s="172"/>
      <c r="AE289" s="84"/>
      <c r="AF289" s="84"/>
    </row>
    <row r="290" spans="1:32" ht="43.2" customHeight="1">
      <c r="A290" s="3396"/>
      <c r="B290" s="2971" t="s">
        <v>1913</v>
      </c>
      <c r="C290" s="2971"/>
      <c r="D290" s="2971"/>
      <c r="E290" s="241">
        <f>SUM(E25,E36,E39,E45,E48,E66,E70,E80,E82,E84,E90,E95,E98,E113,E115,E127,E138,E155,E163,E175,E195,E212,E215,E222,E224,E226,E230,E232,E248,E250,E252,E254,E257,E262,E267,E270,E276,)</f>
        <v>7261.6260000000002</v>
      </c>
      <c r="F290" s="246" t="e">
        <f t="shared" si="123"/>
        <v>#REF!</v>
      </c>
      <c r="G290" s="440">
        <f>SUM(G25,G36,G39,G45,G48,G66,G70,G80,G82,G84,G90,G95,G98,G113,G115,G127,G138,G155,G163,G175,G195,G212,G215,G222,G224,G226,G230,G232,G248,G250,G252,G254,G257,G262,G267,G270,G276,)</f>
        <v>3532.2670000000003</v>
      </c>
      <c r="H290" s="170" t="e">
        <f>SUM(H25,H36,H39,H45,H66,H70,H80,H82,H90,H95,H98,H138,H155,H175,H195,H212,H215,H222,H224,H226,H230,H232,H248,H250,H252,H254,H257,H267,H270,H101)</f>
        <v>#REF!</v>
      </c>
      <c r="I290" s="510" t="e">
        <f t="shared" si="121"/>
        <v>#REF!</v>
      </c>
      <c r="J290" s="241">
        <f>SUM(J25,J36,J39,J45,J66,J70,J80,J82,J90,J95,J98,J138,J155,J175,J195,J212,J215,J222,J224,J226,J230,J232,J250,J252,J254,J257,J267,J270,J101,J49,J55,J61,J143,J281,J263,J116,J277)</f>
        <v>3651.9710000000005</v>
      </c>
      <c r="K290" s="170">
        <f>SUM(K25,K36,K39,K45,K66,K70,K80,K82,K90,K95,K98,K138,K155,K175,K195,K212,K215,K222,K224,K226,K230,K232,K250,K252,K254,K257,K267,K270,K101,K49,K55,K61,K143,K281,K263,K116,K277,K262,)</f>
        <v>2756.64</v>
      </c>
      <c r="L290" s="213">
        <f>SUM(L25,L36,L39,L45,L66,L70,L80,L82,L90,L95,L98,L138,L155,L175,L195,L212,L215,L222,L224,L226,L230,L232,L250,L252,L254,L257,L267,L270,L101,L49,L55,L61,L143,L281,L263,L116,L277,L262,L285,L209,L206,L203,L200,L133)</f>
        <v>2772.8119999999999</v>
      </c>
      <c r="M290" s="213">
        <f>SUM(M25,M36,M39,M45,M66,M70,M80,M82,M90,M95,M98,M138,M155,M175,M195,M212,M215,M222,M224,M226,M230,M232,M250,M252,M254,M257,M267,M270,M101,M49,M55,M61,M143,M281,M263,M116,M277,M262,M73,M285,M209,M206,M203,M200,M133)</f>
        <v>9604.7759999999998</v>
      </c>
      <c r="N290" s="3788">
        <f>(L290-K290)/K290</f>
        <v>5.8665621916536171E-3</v>
      </c>
      <c r="O290" s="213">
        <f t="shared" ref="O290:R290" si="138">SUM(O25,O36,O39,O45,O66,O70,O80,O82,O90,O95,O98,O138,O155,O175,O195,O212,O215,O222,O224,O226,O230,O232,O250,O252,O254,O257,O267,O270,O101,O49,O55,O61,O143,O281,O263,O116,O277,O262,O73,O285,O209,O206,O203,O200,O133)</f>
        <v>12551.195500000002</v>
      </c>
      <c r="P290" s="1527">
        <f t="shared" si="138"/>
        <v>13151.837000000001</v>
      </c>
      <c r="Q290" s="213">
        <f t="shared" si="138"/>
        <v>10988.549475</v>
      </c>
      <c r="R290" s="1645">
        <f t="shared" si="138"/>
        <v>11113.606</v>
      </c>
      <c r="S290" s="192"/>
      <c r="T290" s="207"/>
      <c r="U290" s="172"/>
      <c r="V290" s="172"/>
      <c r="W290" s="193"/>
      <c r="X290" s="193"/>
      <c r="Y290" s="193"/>
      <c r="Z290" s="193"/>
      <c r="AA290" s="191"/>
      <c r="AB290" s="172"/>
      <c r="AE290" s="84"/>
      <c r="AF290" s="84"/>
    </row>
    <row r="291" spans="1:32" ht="30.6" customHeight="1">
      <c r="A291" s="3396"/>
      <c r="B291" s="2971" t="s">
        <v>4418</v>
      </c>
      <c r="C291" s="2971"/>
      <c r="D291" s="2971"/>
      <c r="E291" s="241">
        <f>SUM(E51,E68,E71,E86,E165,)</f>
        <v>1229.1479999999999</v>
      </c>
      <c r="F291" s="246">
        <f t="shared" si="123"/>
        <v>-8.7416649581661343E-2</v>
      </c>
      <c r="G291" s="440">
        <f>SUM(G51,G68,G71,G86,G165,)</f>
        <v>0</v>
      </c>
      <c r="H291" s="170">
        <f>SUM(H51,H68,H71,H86,H165,)</f>
        <v>1121.7</v>
      </c>
      <c r="I291" s="510">
        <f t="shared" si="121"/>
        <v>-1</v>
      </c>
      <c r="J291" s="241">
        <f>SUM(J280,J71,J63,J57,J51,)</f>
        <v>0</v>
      </c>
      <c r="K291" s="170">
        <f>SUM(K40,K71,K280,)</f>
        <v>1389.7</v>
      </c>
      <c r="L291" s="213">
        <f>SUM(L40,L71,L280,)</f>
        <v>1087.3</v>
      </c>
      <c r="M291" s="1527">
        <f>SUM(M40,M71,M280,)</f>
        <v>1257.6420000000001</v>
      </c>
      <c r="N291" s="3788">
        <f t="shared" ref="N291:N295" si="139">(L291-K291)/K291</f>
        <v>-0.2176009210620998</v>
      </c>
      <c r="O291" s="213">
        <f>SUM(O71)</f>
        <v>1087.3</v>
      </c>
      <c r="P291" s="213">
        <f t="shared" ref="P291:Q291" si="140">SUM(P71)</f>
        <v>1087.3</v>
      </c>
      <c r="Q291" s="213">
        <f t="shared" si="140"/>
        <v>1087.3</v>
      </c>
      <c r="R291" s="1645">
        <f>SUM(R40,R71,R280,)</f>
        <v>1087.3</v>
      </c>
      <c r="S291" s="240"/>
      <c r="T291" s="172"/>
      <c r="U291" s="172"/>
      <c r="V291" s="172"/>
      <c r="W291" s="193"/>
      <c r="X291" s="193"/>
      <c r="Y291" s="193"/>
      <c r="Z291" s="193"/>
      <c r="AA291" s="191"/>
      <c r="AB291" s="172"/>
      <c r="AE291" s="84"/>
      <c r="AF291" s="84"/>
    </row>
    <row r="292" spans="1:32" ht="25.5" customHeight="1">
      <c r="A292" s="3396"/>
      <c r="B292" s="2971" t="s">
        <v>723</v>
      </c>
      <c r="C292" s="2971"/>
      <c r="D292" s="2971"/>
      <c r="E292" s="241">
        <f>SUM(E156)</f>
        <v>4</v>
      </c>
      <c r="F292" s="246">
        <f t="shared" si="123"/>
        <v>2.625</v>
      </c>
      <c r="G292" s="440">
        <f>SUM(G156)</f>
        <v>0</v>
      </c>
      <c r="H292" s="170">
        <f>SUM(H156,H177)</f>
        <v>14.5</v>
      </c>
      <c r="I292" s="510">
        <f t="shared" si="121"/>
        <v>-1</v>
      </c>
      <c r="J292" s="241">
        <f>SUM(J156,J177)</f>
        <v>0</v>
      </c>
      <c r="K292" s="170">
        <f>SUM(K156,K177)</f>
        <v>3.3</v>
      </c>
      <c r="L292" s="213">
        <f>SUM(L177,L156,L26)</f>
        <v>16.68</v>
      </c>
      <c r="M292" s="1527">
        <f>SUM(M177,M156,M26)</f>
        <v>16.68</v>
      </c>
      <c r="N292" s="3788">
        <f t="shared" si="139"/>
        <v>4.0545454545454547</v>
      </c>
      <c r="O292" s="213">
        <f>SUM(O177,O156,O26)</f>
        <v>16.68</v>
      </c>
      <c r="P292" s="1527">
        <f>SUM(P177,P156,P26)</f>
        <v>16.68</v>
      </c>
      <c r="Q292" s="213">
        <f>SUM(Q177,Q156,Q26)</f>
        <v>16.68</v>
      </c>
      <c r="R292" s="1645">
        <v>16.68</v>
      </c>
      <c r="S292" s="192"/>
      <c r="T292" s="172"/>
      <c r="U292" s="172"/>
      <c r="V292" s="172"/>
      <c r="W292" s="193"/>
      <c r="X292" s="193"/>
      <c r="Y292" s="193"/>
      <c r="Z292" s="193"/>
      <c r="AA292" s="191"/>
      <c r="AB292" s="172"/>
      <c r="AE292" s="84"/>
      <c r="AF292" s="84"/>
    </row>
    <row r="293" spans="1:32" ht="33" customHeight="1">
      <c r="A293" s="3396"/>
      <c r="B293" s="2973" t="s">
        <v>2687</v>
      </c>
      <c r="C293" s="2973"/>
      <c r="D293" s="2973"/>
      <c r="E293" s="241">
        <f>SUM(E50,E67,E85,E99,E130,E166,E170,E227,)</f>
        <v>3313.223</v>
      </c>
      <c r="F293" s="246">
        <f t="shared" si="123"/>
        <v>-0.99230115208061764</v>
      </c>
      <c r="G293" s="440">
        <f>SUM(G50,G67,G85,G99,G130,G166,G170,G227,)</f>
        <v>0</v>
      </c>
      <c r="H293" s="170">
        <f>H130+H50</f>
        <v>25.507999999999999</v>
      </c>
      <c r="I293" s="510">
        <f t="shared" si="121"/>
        <v>90.904500548847437</v>
      </c>
      <c r="J293" s="241">
        <f>SUM(J50,J56,J62,J102,)</f>
        <v>2344.3000000000002</v>
      </c>
      <c r="K293" s="170">
        <f>SUM(K50,K56,K62,K102,)</f>
        <v>2285.328</v>
      </c>
      <c r="L293" s="213">
        <f>SUM(L50,L56,L62,L102,)</f>
        <v>1311.3</v>
      </c>
      <c r="M293" s="1527">
        <f>SUM(M50,M56,M62,M102,)</f>
        <v>1862.376</v>
      </c>
      <c r="N293" s="3788">
        <f t="shared" si="139"/>
        <v>-0.42620927936821323</v>
      </c>
      <c r="O293" s="213">
        <f>SUM(O50,O56,O62,O102,)</f>
        <v>4276.7719999999999</v>
      </c>
      <c r="P293" s="1527">
        <f>SUM(P50,P56,P62,P102,)</f>
        <v>4276.7719999999999</v>
      </c>
      <c r="Q293" s="213">
        <f>SUM(Q50,Q56,Q62,Q102,)</f>
        <v>1589.8330000000001</v>
      </c>
      <c r="R293" s="1645">
        <f>SUM(R50,R56,R62,R102,)</f>
        <v>1589.8330000000001</v>
      </c>
      <c r="S293" s="192"/>
      <c r="T293" s="172"/>
      <c r="U293" s="172"/>
      <c r="V293" s="172"/>
      <c r="W293" s="193"/>
      <c r="X293" s="193"/>
      <c r="Y293" s="193"/>
      <c r="Z293" s="193"/>
      <c r="AA293" s="191"/>
      <c r="AB293" s="172"/>
      <c r="AE293" s="84"/>
      <c r="AF293" s="84"/>
    </row>
    <row r="294" spans="1:32" ht="29.25" customHeight="1">
      <c r="A294" s="3396"/>
      <c r="B294" s="2971" t="s">
        <v>724</v>
      </c>
      <c r="C294" s="2971"/>
      <c r="D294" s="2971"/>
      <c r="E294" s="241">
        <f>SUM(E87,E118,E129,E167,E228,E264,)</f>
        <v>1969.9899999999998</v>
      </c>
      <c r="F294" s="246">
        <f t="shared" si="123"/>
        <v>-0.88575728810806142</v>
      </c>
      <c r="G294" s="440">
        <f>SUM(G87,G118,G129,G167,G228,G264,)</f>
        <v>0</v>
      </c>
      <c r="H294" s="170">
        <f>SUM(H87,H118,H129,H167,H228,H264,)</f>
        <v>225.05700000000002</v>
      </c>
      <c r="I294" s="510">
        <f t="shared" si="121"/>
        <v>-1</v>
      </c>
      <c r="J294" s="241">
        <f>SUM(J87,J118,J129,J167,J228,J264,)</f>
        <v>0</v>
      </c>
      <c r="K294" s="170">
        <f>SUM(K52,K58,K64,)</f>
        <v>0</v>
      </c>
      <c r="L294" s="213">
        <f>SUM(L52,L58,L64,)</f>
        <v>493</v>
      </c>
      <c r="M294" s="1527">
        <f>SUM(M52,M58,M64,)</f>
        <v>0</v>
      </c>
      <c r="N294" s="3788"/>
      <c r="O294" s="213">
        <f>SUM(O52,O58,O64,)</f>
        <v>723.27099999999996</v>
      </c>
      <c r="P294" s="1527">
        <f>SUM(P52,P58,P64,)</f>
        <v>0</v>
      </c>
      <c r="Q294" s="213">
        <f>SUM(Q52,Q58,Q64,)</f>
        <v>210.66800000000001</v>
      </c>
      <c r="R294" s="1645">
        <f>SUM(R52,R58,R64,)</f>
        <v>0</v>
      </c>
      <c r="S294" s="192"/>
      <c r="T294" s="172"/>
      <c r="U294" s="172"/>
      <c r="V294" s="172"/>
      <c r="W294" s="193"/>
      <c r="X294" s="193"/>
      <c r="Y294" s="193"/>
      <c r="Z294" s="193"/>
      <c r="AA294" s="191"/>
      <c r="AB294" s="172"/>
      <c r="AE294" s="84"/>
      <c r="AF294" s="84"/>
    </row>
    <row r="295" spans="1:32" ht="26.25" customHeight="1">
      <c r="A295" s="3396"/>
      <c r="B295" s="2971" t="s">
        <v>725</v>
      </c>
      <c r="C295" s="2971"/>
      <c r="D295" s="2971"/>
      <c r="E295" s="241">
        <v>0</v>
      </c>
      <c r="F295" s="246"/>
      <c r="G295" s="440">
        <v>0</v>
      </c>
      <c r="H295" s="170" t="e">
        <f>SUM(H48,H73,H84,H115,H127,H163,H176,H262,H276,H114)</f>
        <v>#REF!</v>
      </c>
      <c r="I295" s="510" t="e">
        <f t="shared" si="121"/>
        <v>#REF!</v>
      </c>
      <c r="J295" s="241">
        <f>SUM(J48,J73,J84,J115,J127,J163,J176,J262,J276,J114,J282,J60,J54,)</f>
        <v>904</v>
      </c>
      <c r="K295" s="170">
        <f>SUM(K48,K73,K84,K115,K127,K163,K176,K276,K114,K282,K60,K54,K233,)</f>
        <v>2526.1280000000002</v>
      </c>
      <c r="L295" s="213">
        <f>SUM(L48,L73,L84,L115,L127,L163,L176,L276,L114,L282,L60,L54,L233,L286,L271,L207,L204,L201,L134,L91,)</f>
        <v>3820.8510000000001</v>
      </c>
      <c r="M295" s="1527">
        <f>SUM(M48,M73,M84,M115,M127,M163,M176,M276,M114,M282,M60,M54,M233,)</f>
        <v>0</v>
      </c>
      <c r="N295" s="3788">
        <f t="shared" si="139"/>
        <v>0.51253261909135239</v>
      </c>
      <c r="O295" s="213">
        <f>SUM(O48,O73,O84,O115,O127,O163,O176,O276,O114,O282,O60,O54,O233,)</f>
        <v>0</v>
      </c>
      <c r="P295" s="1527">
        <f>SUM(P48,P73,P84,P115,P127,P163,P176,P276,P114,P282,P60,P54,P233,)</f>
        <v>0</v>
      </c>
      <c r="Q295" s="213">
        <f>SUM(Q48,Q73,Q84,Q115,Q127,Q163,Q176,Q276,Q114,Q282,Q60,Q54,Q233,)</f>
        <v>0</v>
      </c>
      <c r="R295" s="1645">
        <f>SUM(R48,R73,R84,R115,R127,R163,R176,R276,R114,R282,R60,R54,R233,)</f>
        <v>0</v>
      </c>
      <c r="T295" s="240"/>
      <c r="U295" s="172"/>
      <c r="V295" s="172"/>
      <c r="W295" s="193"/>
      <c r="X295" s="193"/>
      <c r="Y295" s="193"/>
      <c r="Z295" s="193"/>
      <c r="AA295" s="191"/>
      <c r="AB295" s="172"/>
      <c r="AE295" s="84"/>
      <c r="AF295" s="84"/>
    </row>
    <row r="296" spans="1:32" ht="42.6" customHeight="1">
      <c r="A296" s="3396"/>
      <c r="B296" s="2972" t="s">
        <v>726</v>
      </c>
      <c r="C296" s="2972"/>
      <c r="D296" s="2972"/>
      <c r="E296" s="264">
        <v>992.99099999999999</v>
      </c>
      <c r="F296" s="246">
        <f t="shared" si="123"/>
        <v>-1</v>
      </c>
      <c r="G296" s="528">
        <v>0</v>
      </c>
      <c r="H296" s="170">
        <v>0</v>
      </c>
      <c r="I296" s="510" t="e">
        <f t="shared" si="121"/>
        <v>#DIV/0!</v>
      </c>
      <c r="J296" s="241">
        <v>0</v>
      </c>
      <c r="K296" s="170">
        <v>0</v>
      </c>
      <c r="L296" s="213">
        <v>0</v>
      </c>
      <c r="M296" s="1527">
        <v>0</v>
      </c>
      <c r="N296" s="3788"/>
      <c r="O296" s="213">
        <f>SUM(O284,O280)</f>
        <v>270.34199999999998</v>
      </c>
      <c r="P296" s="213">
        <f t="shared" ref="P296:Q296" si="141">SUM(P284,P280)</f>
        <v>0</v>
      </c>
      <c r="Q296" s="213">
        <f t="shared" si="141"/>
        <v>0</v>
      </c>
      <c r="R296" s="1645">
        <v>0</v>
      </c>
      <c r="T296" s="192"/>
      <c r="U296" s="172"/>
      <c r="V296" s="172"/>
      <c r="W296" s="193"/>
      <c r="X296" s="193"/>
      <c r="Y296" s="193"/>
      <c r="Z296" s="193"/>
      <c r="AA296" s="191"/>
      <c r="AB296" s="172"/>
      <c r="AE296" s="84"/>
      <c r="AF296" s="84"/>
    </row>
    <row r="297" spans="1:32" ht="36" customHeight="1">
      <c r="A297" s="3396"/>
      <c r="B297" s="2972" t="s">
        <v>1082</v>
      </c>
      <c r="C297" s="2972"/>
      <c r="D297" s="2972"/>
      <c r="E297" s="243">
        <f>E289+E296</f>
        <v>14770.977999999999</v>
      </c>
      <c r="F297" s="246" t="e">
        <f t="shared" si="123"/>
        <v>#REF!</v>
      </c>
      <c r="G297" s="527">
        <f t="shared" ref="G297:H297" si="142">G289+G296</f>
        <v>3532.2670000000003</v>
      </c>
      <c r="H297" s="166" t="e">
        <f t="shared" si="142"/>
        <v>#REF!</v>
      </c>
      <c r="I297" s="510" t="e">
        <f t="shared" si="121"/>
        <v>#REF!</v>
      </c>
      <c r="J297" s="245">
        <f>J289+J296</f>
        <v>6900.2710000000006</v>
      </c>
      <c r="K297" s="166">
        <f>K289+K296</f>
        <v>8961.0960000000014</v>
      </c>
      <c r="L297" s="225">
        <f>L289+L296</f>
        <v>9501.9429999999993</v>
      </c>
      <c r="M297" s="1539">
        <f t="shared" ref="M297" si="143">M289+M296</f>
        <v>12741.474</v>
      </c>
      <c r="N297" s="3788">
        <f>(L297-K297)/K297</f>
        <v>6.0355005682340403E-2</v>
      </c>
      <c r="O297" s="225">
        <f t="shared" ref="O297:R297" si="144">O289+O296</f>
        <v>18925.560500000003</v>
      </c>
      <c r="P297" s="1539">
        <f t="shared" si="144"/>
        <v>18532.589</v>
      </c>
      <c r="Q297" s="225">
        <f t="shared" si="144"/>
        <v>13893.030475</v>
      </c>
      <c r="R297" s="1644">
        <f t="shared" si="144"/>
        <v>13807.419</v>
      </c>
      <c r="S297" s="191"/>
      <c r="T297" s="172"/>
      <c r="U297" s="172"/>
      <c r="V297" s="172"/>
      <c r="W297" s="193"/>
      <c r="X297" s="193"/>
      <c r="Y297" s="193"/>
      <c r="Z297" s="193"/>
      <c r="AA297" s="191"/>
      <c r="AB297" s="172"/>
      <c r="AE297" s="84"/>
      <c r="AF297" s="84"/>
    </row>
    <row r="298" spans="1:32" ht="24" customHeight="1">
      <c r="A298" s="3396"/>
      <c r="B298" s="2972" t="s">
        <v>1914</v>
      </c>
      <c r="C298" s="2972"/>
      <c r="D298" s="2972"/>
      <c r="E298" s="243">
        <v>0</v>
      </c>
      <c r="F298" s="246"/>
      <c r="G298" s="527">
        <f>G53</f>
        <v>176.25</v>
      </c>
      <c r="H298" s="166">
        <f>H53</f>
        <v>576.25</v>
      </c>
      <c r="I298" s="510">
        <f>J298/H298-1</f>
        <v>3.332668112798264</v>
      </c>
      <c r="J298" s="245">
        <f>SUM(J53,J59,J65,)</f>
        <v>2496.6999999999998</v>
      </c>
      <c r="K298" s="166">
        <f>SUM(K53,K59,K65,)</f>
        <v>2549.0160000000001</v>
      </c>
      <c r="L298" s="225">
        <f>SUM(L53,L59,L65,)</f>
        <v>1901.3</v>
      </c>
      <c r="M298" s="1539">
        <f>SUM(M53,M59,M65,)</f>
        <v>2452.3760000000002</v>
      </c>
      <c r="N298" s="3788">
        <f>(L298-K298)/K298</f>
        <v>-0.25410432888612711</v>
      </c>
      <c r="O298" s="225">
        <f t="shared" ref="O298:Q298" si="145">SUM(O53,O59,O65,)</f>
        <v>5150.0429999999997</v>
      </c>
      <c r="P298" s="1539">
        <f t="shared" si="145"/>
        <v>5150.0429999999997</v>
      </c>
      <c r="Q298" s="225">
        <f t="shared" si="145"/>
        <v>1800.5010000000002</v>
      </c>
      <c r="R298" s="1644">
        <f>SUM(R53,R59,R65,)</f>
        <v>1800.5010000000002</v>
      </c>
      <c r="S298" s="191"/>
      <c r="T298" s="172"/>
      <c r="U298" s="172"/>
      <c r="V298" s="172"/>
      <c r="W298" s="193"/>
      <c r="X298" s="193"/>
      <c r="Y298" s="193"/>
      <c r="Z298" s="193"/>
      <c r="AA298" s="191"/>
      <c r="AB298" s="172"/>
      <c r="AE298" s="84"/>
      <c r="AF298" s="84"/>
    </row>
    <row r="299" spans="1:32" ht="46.95" customHeight="1">
      <c r="A299" s="3397"/>
      <c r="B299" s="2972" t="s">
        <v>727</v>
      </c>
      <c r="C299" s="2972"/>
      <c r="D299" s="2972"/>
      <c r="E299" s="169">
        <v>0</v>
      </c>
      <c r="F299" s="510"/>
      <c r="G299" s="638">
        <v>0</v>
      </c>
      <c r="H299" s="416">
        <f>H298/E297-1</f>
        <v>-0.96098768815443369</v>
      </c>
      <c r="I299" s="510">
        <f t="shared" si="121"/>
        <v>-1</v>
      </c>
      <c r="J299" s="637"/>
      <c r="K299" s="416">
        <f>K298/H298-1</f>
        <v>3.4234550976138829</v>
      </c>
      <c r="L299" s="3789">
        <f>L297/K297-1</f>
        <v>6.0355005682340312E-2</v>
      </c>
      <c r="M299" s="1806"/>
      <c r="N299" s="3788"/>
      <c r="O299" s="291">
        <f>O297/L297-1</f>
        <v>0.99175689645791443</v>
      </c>
      <c r="P299" s="1806"/>
      <c r="Q299" s="291">
        <f>Q297/O297-1</f>
        <v>-0.26591180879424958</v>
      </c>
      <c r="R299" s="1646"/>
      <c r="S299" s="191"/>
      <c r="T299" s="172"/>
      <c r="U299" s="172"/>
      <c r="V299" s="172"/>
      <c r="W299" s="193"/>
      <c r="X299" s="193"/>
      <c r="Y299" s="193"/>
      <c r="Z299" s="193"/>
      <c r="AA299" s="191"/>
      <c r="AB299" s="172"/>
      <c r="AE299" s="84"/>
      <c r="AF299" s="84"/>
    </row>
    <row r="300" spans="1:32" ht="42" hidden="1" customHeight="1">
      <c r="E300" s="84"/>
      <c r="F300" s="84"/>
      <c r="J300" s="91" t="s">
        <v>3557</v>
      </c>
      <c r="K300" s="84">
        <f>5253.068</f>
        <v>5253.0680000000002</v>
      </c>
      <c r="AE300" s="84"/>
      <c r="AF300" s="84"/>
    </row>
    <row r="301" spans="1:32" ht="42" hidden="1" customHeight="1">
      <c r="E301" s="84"/>
      <c r="F301" s="84"/>
      <c r="H301" s="84">
        <v>4436.9719999999998</v>
      </c>
      <c r="AE301" s="84"/>
      <c r="AF301" s="84"/>
    </row>
    <row r="302" spans="1:32" ht="42" hidden="1" customHeight="1">
      <c r="E302" s="84"/>
      <c r="F302" s="84"/>
      <c r="H302" s="113" t="e">
        <f>H301-H290-H292-H294-H295</f>
        <v>#REF!</v>
      </c>
      <c r="I302" s="113"/>
      <c r="J302" s="483"/>
      <c r="AE302" s="84"/>
      <c r="AF302" s="84"/>
    </row>
    <row r="303" spans="1:32" ht="42" hidden="1" customHeight="1">
      <c r="B303" s="3555"/>
      <c r="C303" s="3555"/>
      <c r="D303" s="3555"/>
      <c r="E303" s="87"/>
      <c r="F303" s="84"/>
      <c r="G303" s="128"/>
      <c r="H303" s="128"/>
      <c r="I303" s="128"/>
      <c r="J303" s="508"/>
      <c r="K303" s="128"/>
      <c r="L303" s="128"/>
      <c r="M303" s="1648"/>
      <c r="N303" s="2212"/>
      <c r="O303" s="128"/>
      <c r="P303" s="1648"/>
      <c r="Q303" s="128"/>
      <c r="R303" s="1648"/>
      <c r="S303" s="128"/>
      <c r="T303" s="128"/>
      <c r="AE303" s="84"/>
      <c r="AF303" s="84"/>
    </row>
    <row r="304" spans="1:32" ht="23.25" hidden="1" customHeight="1">
      <c r="E304" s="84"/>
      <c r="F304" s="84"/>
      <c r="K304" s="113">
        <f>K300-K290-K292-K294-K295</f>
        <v>-33</v>
      </c>
      <c r="L304" s="113"/>
      <c r="M304" s="1649"/>
      <c r="AE304" s="84"/>
      <c r="AF304" s="84"/>
    </row>
    <row r="305" spans="5:32" ht="42" hidden="1" customHeight="1">
      <c r="E305" s="84"/>
      <c r="F305" s="84"/>
      <c r="J305" s="807"/>
      <c r="K305" s="808">
        <v>6642.768</v>
      </c>
      <c r="L305" s="809">
        <v>8676.18</v>
      </c>
      <c r="M305" s="1650">
        <v>8676.18</v>
      </c>
      <c r="N305" s="2209"/>
      <c r="O305" s="808">
        <v>8641.4529999999995</v>
      </c>
      <c r="P305" s="1651">
        <v>8641.4529999999995</v>
      </c>
      <c r="Q305" s="808">
        <v>8641.4529999999995</v>
      </c>
      <c r="R305" s="1651">
        <v>8641.4529999999995</v>
      </c>
      <c r="AE305" s="84"/>
      <c r="AF305" s="84"/>
    </row>
    <row r="306" spans="5:32" ht="42" hidden="1" customHeight="1">
      <c r="E306" s="84"/>
      <c r="F306" s="84"/>
      <c r="J306" s="807" t="s">
        <v>246</v>
      </c>
      <c r="K306" s="809">
        <f>K297-K305</f>
        <v>2318.3280000000013</v>
      </c>
      <c r="L306" s="809">
        <f>L305-L297</f>
        <v>-825.76299999999901</v>
      </c>
      <c r="M306" s="1650">
        <f>M305-M297</f>
        <v>-4065.2939999999999</v>
      </c>
      <c r="N306" s="2209"/>
      <c r="O306" s="809">
        <f>O297-O305</f>
        <v>10284.107500000004</v>
      </c>
      <c r="P306" s="1650">
        <f>P297-P305</f>
        <v>9891.1360000000004</v>
      </c>
      <c r="Q306" s="809">
        <f>Q297-Q305</f>
        <v>5251.577475</v>
      </c>
      <c r="R306" s="1650">
        <f>R297-R305</f>
        <v>5165.9660000000003</v>
      </c>
      <c r="AE306" s="84"/>
      <c r="AF306" s="84"/>
    </row>
    <row r="307" spans="5:32" ht="42" hidden="1" customHeight="1">
      <c r="E307" s="84"/>
      <c r="F307" s="84"/>
      <c r="H307" s="113"/>
      <c r="I307" s="113"/>
      <c r="J307" s="810"/>
      <c r="K307" s="809">
        <f>K293-K306</f>
        <v>-33.000000000001364</v>
      </c>
      <c r="L307" s="808"/>
      <c r="M307" s="1651"/>
      <c r="N307" s="2209"/>
      <c r="O307" s="808"/>
      <c r="P307" s="1651"/>
      <c r="Q307" s="808"/>
      <c r="R307" s="1651"/>
      <c r="AE307" s="84"/>
      <c r="AF307" s="84"/>
    </row>
    <row r="308" spans="5:32" ht="42" hidden="1" customHeight="1">
      <c r="E308" s="84"/>
      <c r="F308" s="84"/>
      <c r="H308" s="113"/>
      <c r="I308" s="113"/>
      <c r="J308" s="483"/>
      <c r="AE308" s="84"/>
      <c r="AF308" s="84"/>
    </row>
    <row r="309" spans="5:32" ht="42" hidden="1" customHeight="1">
      <c r="E309" s="84"/>
      <c r="F309" s="84"/>
      <c r="H309" s="113"/>
      <c r="I309" s="113"/>
      <c r="J309" s="483"/>
      <c r="AE309" s="84"/>
      <c r="AF309" s="84"/>
    </row>
    <row r="310" spans="5:32" ht="42" hidden="1" customHeight="1">
      <c r="E310" s="84"/>
      <c r="F310" s="84"/>
      <c r="H310" s="113"/>
      <c r="I310" s="113"/>
      <c r="J310" s="483"/>
      <c r="L310" s="113">
        <f>L297-L321</f>
        <v>0</v>
      </c>
      <c r="M310" s="113">
        <f t="shared" ref="M310:Q310" si="146">M297-M321</f>
        <v>0</v>
      </c>
      <c r="N310" s="113" t="e">
        <f t="shared" si="146"/>
        <v>#DIV/0!</v>
      </c>
      <c r="O310" s="113">
        <f t="shared" si="146"/>
        <v>0</v>
      </c>
      <c r="P310" s="113">
        <f t="shared" si="146"/>
        <v>0</v>
      </c>
      <c r="Q310" s="113">
        <f t="shared" si="146"/>
        <v>0</v>
      </c>
      <c r="AE310" s="84"/>
      <c r="AF310" s="84"/>
    </row>
    <row r="311" spans="5:32" ht="29.4" hidden="1" customHeight="1">
      <c r="E311" s="84"/>
      <c r="F311" s="84"/>
      <c r="L311" s="669"/>
      <c r="M311" s="710"/>
      <c r="N311" s="2061" t="s">
        <v>4157</v>
      </c>
      <c r="O311" s="1923" t="s">
        <v>4159</v>
      </c>
      <c r="P311" s="1923" t="s">
        <v>4158</v>
      </c>
      <c r="Q311" s="278"/>
      <c r="AE311" s="84"/>
      <c r="AF311" s="84"/>
    </row>
    <row r="312" spans="5:32" ht="26.4" hidden="1" customHeight="1">
      <c r="E312" s="84"/>
      <c r="F312" s="84"/>
      <c r="L312" s="2748" t="s">
        <v>4160</v>
      </c>
      <c r="M312" s="1923" t="s">
        <v>4156</v>
      </c>
      <c r="N312" s="1984">
        <f>SUM(K230,K45,K39,)</f>
        <v>478.74</v>
      </c>
      <c r="O312" s="1924">
        <f>SUM(L230,L45,L39,L33)</f>
        <v>669.35</v>
      </c>
      <c r="P312" s="1924">
        <f>SUM(M230,M45,M39,M33)</f>
        <v>894.33</v>
      </c>
      <c r="Q312" s="1927">
        <f>(O312-N312)/N312</f>
        <v>0.3981493086017463</v>
      </c>
      <c r="AE312" s="84"/>
      <c r="AF312" s="84"/>
    </row>
    <row r="313" spans="5:32" ht="24" hidden="1" customHeight="1">
      <c r="E313" s="84"/>
      <c r="F313" s="84"/>
      <c r="L313" s="2748"/>
      <c r="M313" s="1923" t="s">
        <v>3508</v>
      </c>
      <c r="N313" s="1984">
        <f>SUM(K25,K70,K80,K90,K95,K101,K116,K133,K138,K143,K155,K175,K176,K195,K200,K203,K206,K209,K212,K222,K232,K257,K263,K267,K270,K276,K277,K281,K285,K233,K73,K252)</f>
        <v>4540.34</v>
      </c>
      <c r="O313" s="1924">
        <f>SUM(L277,L270,L267,L263,L257,L232,L222,L212,L209,L206,L203,L200,L195,L175,L155,L143,L138,L116,L101,L95,L90,L80,L70,L36,L133,L28,L29,L30,L31,)</f>
        <v>2103.462</v>
      </c>
      <c r="P313" s="1924">
        <f>SUM(M277,M270,M267,M263,M257,M232,M222,M212,M209,M206,M203,M200,M195,M175,M155,M143,M138,M116,M101,M95,M90,M80,M70,M36,M133,M28,M29,M30,M31,)</f>
        <v>7670.5439999999999</v>
      </c>
      <c r="Q313" s="1927">
        <f>(O313-N313)/N313</f>
        <v>-0.53671707405172298</v>
      </c>
      <c r="AE313" s="84"/>
      <c r="AF313" s="84"/>
    </row>
    <row r="314" spans="5:32" ht="25.2" hidden="1" customHeight="1" thickBot="1">
      <c r="E314" s="84"/>
      <c r="F314" s="84"/>
      <c r="L314" s="2748"/>
      <c r="M314" s="1923" t="s">
        <v>4155</v>
      </c>
      <c r="N314" s="2213">
        <f>SUM(K48,K54,K60,)</f>
        <v>263.68799999999999</v>
      </c>
      <c r="O314" s="1928">
        <f>SUM(L285,L281,L61,L55,L49)</f>
        <v>0</v>
      </c>
      <c r="P314" s="1928">
        <f>SUM(M285,M281,M61,M55,M49)</f>
        <v>1039.902</v>
      </c>
      <c r="Q314" s="1927">
        <f>(O314-N314)/N314</f>
        <v>-1</v>
      </c>
      <c r="AE314" s="84"/>
      <c r="AF314" s="84"/>
    </row>
    <row r="315" spans="5:32" ht="22.8" hidden="1" customHeight="1" thickBot="1">
      <c r="E315" s="84"/>
      <c r="F315" s="84"/>
      <c r="M315" s="1647" t="s">
        <v>4173</v>
      </c>
      <c r="N315" s="2214">
        <f>SUM(N312,N313,N314)</f>
        <v>5282.768</v>
      </c>
      <c r="O315" s="1926">
        <f>SUM(O312,O313,O314)</f>
        <v>2772.8119999999999</v>
      </c>
      <c r="P315" s="1926">
        <f t="shared" ref="P315" si="147">SUM(P312,P313,P314)</f>
        <v>9604.7759999999998</v>
      </c>
      <c r="Q315" s="1927">
        <f>(O315-N315)/N315</f>
        <v>-0.47512137576361485</v>
      </c>
      <c r="AE315" s="84"/>
      <c r="AF315" s="84"/>
    </row>
    <row r="316" spans="5:32" ht="42" hidden="1" customHeight="1">
      <c r="E316" s="84"/>
      <c r="F316" s="84"/>
      <c r="N316" s="2050">
        <f>N315-K290-K295</f>
        <v>0</v>
      </c>
      <c r="O316" s="1920">
        <f>O315-L290-L295</f>
        <v>-3820.8510000000001</v>
      </c>
      <c r="P316" s="1920">
        <f>P315-M290-M295</f>
        <v>0</v>
      </c>
      <c r="Q316" s="1982"/>
      <c r="AE316" s="84"/>
      <c r="AF316" s="84"/>
    </row>
    <row r="317" spans="5:32" ht="70.8" hidden="1" customHeight="1">
      <c r="E317" s="84"/>
      <c r="F317" s="84"/>
      <c r="K317" s="1921" t="s">
        <v>4171</v>
      </c>
      <c r="L317" s="1919">
        <f>O313-N313</f>
        <v>-2436.8780000000002</v>
      </c>
      <c r="M317" s="1649"/>
      <c r="Q317" s="113"/>
      <c r="R317" s="1649"/>
      <c r="AE317" s="84"/>
      <c r="AF317" s="84"/>
    </row>
    <row r="318" spans="5:32" ht="66.75" hidden="1" customHeight="1">
      <c r="E318" s="84"/>
      <c r="F318" s="84"/>
      <c r="K318" s="1921" t="s">
        <v>4172</v>
      </c>
      <c r="L318" s="1919">
        <f>O314-N314</f>
        <v>-263.68799999999999</v>
      </c>
      <c r="M318" s="1649"/>
      <c r="O318" s="113">
        <f>SUM(O28,O29,O30,O31,O36,O70,O80,O90,O95,O101,O116,O133,O138,O143,O155,O175,O195,O200,O203,O206,O209,O212,O222,O232,O257,O263,O267,O270,O277,)</f>
        <v>11586.648999999999</v>
      </c>
      <c r="P318" s="1649">
        <f>SUM(Q28,Q29,Q30,Q31,Q32,Q36,Q80,Q90,Q95,Q101,Q116,Q133,Q138,Q143,Q155,Q175,Q195,Q200,Q203,Q206,Q209,Q212,Q222,Q232,Q252,Q257,Q263,Q267,Q270,Q277,Q70,)</f>
        <v>10243.711000000001</v>
      </c>
      <c r="AE318" s="84"/>
      <c r="AF318" s="84"/>
    </row>
    <row r="319" spans="5:32" ht="42" hidden="1" customHeight="1">
      <c r="E319" s="84"/>
      <c r="F319" s="84"/>
      <c r="L319" s="1947">
        <f>SUM(L317,L318)</f>
        <v>-2700.5660000000003</v>
      </c>
      <c r="AE319" s="84"/>
      <c r="AF319" s="84"/>
    </row>
    <row r="320" spans="5:32" ht="42" hidden="1" customHeight="1">
      <c r="E320" s="84"/>
      <c r="F320" s="84"/>
      <c r="O320" s="113">
        <f>SUM(O33,O39,O45,O230)</f>
        <v>714.54650000000004</v>
      </c>
      <c r="P320" s="1649">
        <f>SUM(Q33,Q39,Q45,Q230)</f>
        <v>744.83847500000002</v>
      </c>
      <c r="AE320" s="84"/>
      <c r="AF320" s="84"/>
    </row>
    <row r="321" spans="5:32" ht="42" hidden="1" customHeight="1">
      <c r="E321" s="84"/>
      <c r="F321" s="84"/>
      <c r="L321" s="113">
        <f>SUM(L24,L47,L97,L132,L174,L211,L221,L256,L266,L269,L275,L279,)</f>
        <v>9501.9429999999993</v>
      </c>
      <c r="M321" s="113">
        <f t="shared" ref="M321:Q321" si="148">SUM(M24,M47,M97,M132,M174,M211,M221,M256,M266,M269,M275,M279,)</f>
        <v>12741.474</v>
      </c>
      <c r="N321" s="113" t="e">
        <f t="shared" si="148"/>
        <v>#DIV/0!</v>
      </c>
      <c r="O321" s="113">
        <f t="shared" si="148"/>
        <v>18925.5605</v>
      </c>
      <c r="P321" s="113">
        <f t="shared" si="148"/>
        <v>18532.589</v>
      </c>
      <c r="Q321" s="113">
        <f t="shared" si="148"/>
        <v>13893.030474999998</v>
      </c>
      <c r="AE321" s="84"/>
      <c r="AF321" s="84"/>
    </row>
    <row r="322" spans="5:32" ht="42" hidden="1" customHeight="1">
      <c r="E322" s="84"/>
      <c r="F322" s="84"/>
      <c r="AE322" s="84"/>
      <c r="AF322" s="84"/>
    </row>
    <row r="323" spans="5:32" ht="42" customHeight="1">
      <c r="E323" s="84"/>
      <c r="F323" s="84"/>
      <c r="AE323" s="84"/>
      <c r="AF323" s="84"/>
    </row>
    <row r="324" spans="5:32" ht="42" customHeight="1">
      <c r="E324" s="84"/>
      <c r="F324" s="84"/>
      <c r="AE324" s="84"/>
      <c r="AF324" s="84"/>
    </row>
    <row r="325" spans="5:32" ht="42" customHeight="1">
      <c r="E325" s="84"/>
      <c r="F325" s="84"/>
      <c r="AE325" s="84"/>
      <c r="AF325" s="84"/>
    </row>
    <row r="326" spans="5:32" ht="42" customHeight="1">
      <c r="E326" s="84"/>
      <c r="F326" s="84"/>
      <c r="AE326" s="84"/>
      <c r="AF326" s="84"/>
    </row>
    <row r="327" spans="5:32" ht="42" customHeight="1">
      <c r="E327" s="84"/>
      <c r="F327" s="84"/>
      <c r="AE327" s="84"/>
      <c r="AF327" s="84"/>
    </row>
    <row r="328" spans="5:32" ht="42" customHeight="1">
      <c r="E328" s="84"/>
      <c r="F328" s="84"/>
      <c r="AE328" s="84"/>
      <c r="AF328" s="84"/>
    </row>
    <row r="329" spans="5:32" ht="42" customHeight="1">
      <c r="E329" s="84"/>
      <c r="F329" s="84"/>
      <c r="AE329" s="84"/>
      <c r="AF329" s="84"/>
    </row>
    <row r="330" spans="5:32" ht="42" customHeight="1">
      <c r="E330" s="84"/>
      <c r="F330" s="84"/>
      <c r="AE330" s="84"/>
      <c r="AF330" s="84"/>
    </row>
    <row r="331" spans="5:32" ht="42" customHeight="1">
      <c r="E331" s="84"/>
      <c r="F331" s="84"/>
      <c r="AE331" s="84"/>
      <c r="AF331" s="84"/>
    </row>
    <row r="332" spans="5:32" ht="42" customHeight="1">
      <c r="E332" s="84"/>
      <c r="F332" s="84"/>
      <c r="AE332" s="84"/>
      <c r="AF332" s="84"/>
    </row>
    <row r="333" spans="5:32" ht="42" customHeight="1">
      <c r="E333" s="84"/>
      <c r="F333" s="84"/>
      <c r="AE333" s="84"/>
      <c r="AF333" s="84"/>
    </row>
    <row r="334" spans="5:32" ht="42" customHeight="1">
      <c r="E334" s="84"/>
      <c r="F334" s="84"/>
      <c r="AE334" s="84"/>
      <c r="AF334" s="84"/>
    </row>
    <row r="335" spans="5:32" ht="42" customHeight="1">
      <c r="E335" s="84"/>
      <c r="F335" s="84"/>
      <c r="AE335" s="84"/>
      <c r="AF335" s="84"/>
    </row>
    <row r="336" spans="5:32" ht="42" customHeight="1">
      <c r="E336" s="84"/>
      <c r="F336" s="84"/>
      <c r="AE336" s="84"/>
      <c r="AF336" s="84"/>
    </row>
    <row r="337" spans="5:32" ht="42" customHeight="1">
      <c r="E337" s="84"/>
      <c r="F337" s="84"/>
      <c r="AE337" s="84"/>
      <c r="AF337" s="84"/>
    </row>
    <row r="338" spans="5:32" ht="42" customHeight="1">
      <c r="E338" s="84"/>
      <c r="F338" s="84"/>
      <c r="AE338" s="84"/>
      <c r="AF338" s="84"/>
    </row>
    <row r="339" spans="5:32" ht="42" customHeight="1">
      <c r="E339" s="84"/>
      <c r="F339" s="84"/>
      <c r="AE339" s="84"/>
      <c r="AF339" s="84"/>
    </row>
    <row r="340" spans="5:32" ht="42" customHeight="1">
      <c r="E340" s="84"/>
      <c r="F340" s="84"/>
      <c r="AE340" s="84"/>
      <c r="AF340" s="84"/>
    </row>
    <row r="341" spans="5:32" ht="42" customHeight="1">
      <c r="E341" s="84"/>
      <c r="F341" s="84"/>
      <c r="AE341" s="84"/>
      <c r="AF341" s="84"/>
    </row>
    <row r="342" spans="5:32" ht="42" customHeight="1">
      <c r="E342" s="84"/>
      <c r="F342" s="84"/>
      <c r="AE342" s="84"/>
      <c r="AF342" s="84"/>
    </row>
    <row r="343" spans="5:32" ht="42" customHeight="1">
      <c r="E343" s="84"/>
      <c r="F343" s="84"/>
      <c r="AE343" s="84"/>
      <c r="AF343" s="84"/>
    </row>
    <row r="344" spans="5:32" ht="42" customHeight="1">
      <c r="E344" s="84"/>
      <c r="F344" s="84"/>
      <c r="AE344" s="84"/>
      <c r="AF344" s="84"/>
    </row>
    <row r="345" spans="5:32" ht="42" customHeight="1">
      <c r="E345" s="84"/>
      <c r="F345" s="84"/>
      <c r="AE345" s="84"/>
      <c r="AF345" s="84"/>
    </row>
    <row r="346" spans="5:32" ht="42" customHeight="1">
      <c r="E346" s="84"/>
      <c r="F346" s="84"/>
      <c r="AE346" s="84"/>
      <c r="AF346" s="84"/>
    </row>
    <row r="347" spans="5:32" ht="42" customHeight="1">
      <c r="E347" s="84"/>
      <c r="F347" s="84"/>
      <c r="AE347" s="84"/>
      <c r="AF347" s="84"/>
    </row>
    <row r="348" spans="5:32" ht="42" customHeight="1">
      <c r="E348" s="84"/>
      <c r="F348" s="84"/>
      <c r="AE348" s="84"/>
      <c r="AF348" s="84"/>
    </row>
    <row r="349" spans="5:32" ht="42" customHeight="1">
      <c r="E349" s="84"/>
      <c r="F349" s="84"/>
      <c r="AE349" s="84"/>
      <c r="AF349" s="84"/>
    </row>
    <row r="350" spans="5:32" ht="42" customHeight="1">
      <c r="E350" s="84"/>
      <c r="F350" s="84"/>
      <c r="AE350" s="84"/>
      <c r="AF350" s="84"/>
    </row>
    <row r="351" spans="5:32" ht="42" customHeight="1">
      <c r="E351" s="84"/>
      <c r="F351" s="84"/>
      <c r="AE351" s="84"/>
      <c r="AF351" s="84"/>
    </row>
    <row r="352" spans="5:32" ht="42" customHeight="1">
      <c r="E352" s="84"/>
      <c r="F352" s="84"/>
      <c r="AE352" s="84"/>
      <c r="AF352" s="84"/>
    </row>
    <row r="353" spans="5:32" ht="42" customHeight="1">
      <c r="E353" s="84"/>
      <c r="F353" s="84"/>
      <c r="AE353" s="84"/>
      <c r="AF353" s="84"/>
    </row>
    <row r="354" spans="5:32" ht="42" customHeight="1">
      <c r="E354" s="84"/>
      <c r="F354" s="84"/>
      <c r="AE354" s="84"/>
      <c r="AF354" s="84"/>
    </row>
    <row r="355" spans="5:32" ht="42" customHeight="1">
      <c r="E355" s="84"/>
      <c r="F355" s="84"/>
      <c r="AE355" s="84"/>
      <c r="AF355" s="84"/>
    </row>
    <row r="356" spans="5:32" ht="42" customHeight="1">
      <c r="E356" s="84"/>
      <c r="F356" s="84"/>
      <c r="AE356" s="84"/>
      <c r="AF356" s="84"/>
    </row>
    <row r="357" spans="5:32" ht="42" customHeight="1">
      <c r="E357" s="84"/>
      <c r="F357" s="84"/>
      <c r="AE357" s="84"/>
      <c r="AF357" s="84"/>
    </row>
    <row r="358" spans="5:32" ht="42" customHeight="1">
      <c r="E358" s="84"/>
      <c r="F358" s="84"/>
      <c r="AE358" s="84"/>
      <c r="AF358" s="84"/>
    </row>
    <row r="359" spans="5:32" ht="42" customHeight="1">
      <c r="E359" s="84"/>
      <c r="F359" s="84"/>
      <c r="AE359" s="84"/>
      <c r="AF359" s="84"/>
    </row>
    <row r="360" spans="5:32" ht="42" customHeight="1">
      <c r="E360" s="84"/>
      <c r="F360" s="84"/>
      <c r="AE360" s="84"/>
      <c r="AF360" s="84"/>
    </row>
    <row r="361" spans="5:32" ht="42" customHeight="1">
      <c r="E361" s="84"/>
      <c r="F361" s="84"/>
      <c r="AE361" s="84"/>
      <c r="AF361" s="84"/>
    </row>
    <row r="362" spans="5:32" ht="42" customHeight="1">
      <c r="E362" s="84"/>
      <c r="F362" s="84"/>
      <c r="AE362" s="84"/>
      <c r="AF362" s="84"/>
    </row>
    <row r="363" spans="5:32" ht="42" customHeight="1">
      <c r="E363" s="84"/>
      <c r="F363" s="84"/>
      <c r="AE363" s="84"/>
      <c r="AF363" s="84"/>
    </row>
    <row r="364" spans="5:32" ht="42" customHeight="1">
      <c r="E364" s="84"/>
      <c r="F364" s="84"/>
      <c r="AE364" s="84"/>
      <c r="AF364" s="84"/>
    </row>
    <row r="365" spans="5:32" ht="42" customHeight="1">
      <c r="E365" s="84"/>
      <c r="F365" s="84"/>
      <c r="AE365" s="84"/>
      <c r="AF365" s="84"/>
    </row>
    <row r="366" spans="5:32" ht="42" customHeight="1">
      <c r="E366" s="84"/>
      <c r="F366" s="84"/>
      <c r="AE366" s="84"/>
      <c r="AF366" s="84"/>
    </row>
    <row r="367" spans="5:32" ht="42" customHeight="1">
      <c r="E367" s="84"/>
      <c r="F367" s="84"/>
      <c r="AE367" s="84"/>
      <c r="AF367" s="84"/>
    </row>
    <row r="368" spans="5:32" ht="42" customHeight="1">
      <c r="E368" s="84"/>
      <c r="F368" s="84"/>
      <c r="AE368" s="84"/>
      <c r="AF368" s="84"/>
    </row>
    <row r="369" spans="5:32" ht="42" customHeight="1">
      <c r="E369" s="84"/>
      <c r="F369" s="84"/>
      <c r="AE369" s="84"/>
      <c r="AF369" s="84"/>
    </row>
    <row r="370" spans="5:32" ht="42" customHeight="1">
      <c r="E370" s="84"/>
      <c r="F370" s="84"/>
      <c r="AE370" s="84"/>
      <c r="AF370" s="84"/>
    </row>
    <row r="371" spans="5:32" ht="42" customHeight="1">
      <c r="E371" s="84"/>
      <c r="F371" s="84"/>
      <c r="AE371" s="84"/>
      <c r="AF371" s="84"/>
    </row>
    <row r="372" spans="5:32" ht="42" customHeight="1">
      <c r="E372" s="84"/>
      <c r="F372" s="84"/>
      <c r="AE372" s="84"/>
      <c r="AF372" s="84"/>
    </row>
    <row r="373" spans="5:32" ht="42" customHeight="1">
      <c r="E373" s="84"/>
      <c r="F373" s="84"/>
      <c r="AE373" s="84"/>
      <c r="AF373" s="84"/>
    </row>
    <row r="374" spans="5:32" ht="42" customHeight="1">
      <c r="E374" s="84"/>
      <c r="F374" s="84"/>
      <c r="AE374" s="84"/>
      <c r="AF374" s="84"/>
    </row>
    <row r="375" spans="5:32" ht="42" customHeight="1">
      <c r="E375" s="84"/>
      <c r="F375" s="84"/>
      <c r="AE375" s="84"/>
      <c r="AF375" s="84"/>
    </row>
    <row r="376" spans="5:32" ht="42" customHeight="1">
      <c r="E376" s="84"/>
      <c r="F376" s="84"/>
      <c r="AE376" s="84"/>
      <c r="AF376" s="84"/>
    </row>
    <row r="377" spans="5:32" ht="42" customHeight="1">
      <c r="E377" s="84"/>
      <c r="F377" s="84"/>
      <c r="AE377" s="84"/>
      <c r="AF377" s="84"/>
    </row>
    <row r="378" spans="5:32" ht="42" customHeight="1">
      <c r="E378" s="84"/>
      <c r="F378" s="84"/>
      <c r="AE378" s="84"/>
      <c r="AF378" s="84"/>
    </row>
    <row r="379" spans="5:32" ht="42" customHeight="1">
      <c r="E379" s="84"/>
      <c r="F379" s="84"/>
      <c r="AE379" s="84"/>
      <c r="AF379" s="84"/>
    </row>
    <row r="380" spans="5:32" ht="42" customHeight="1">
      <c r="E380" s="84"/>
      <c r="F380" s="84"/>
      <c r="AE380" s="84"/>
      <c r="AF380" s="84"/>
    </row>
    <row r="381" spans="5:32" ht="42" customHeight="1">
      <c r="E381" s="84"/>
      <c r="F381" s="84"/>
      <c r="AE381" s="84"/>
      <c r="AF381" s="84"/>
    </row>
    <row r="382" spans="5:32" ht="42" customHeight="1">
      <c r="E382" s="84"/>
      <c r="F382" s="84"/>
      <c r="AE382" s="84"/>
      <c r="AF382" s="84"/>
    </row>
    <row r="383" spans="5:32" ht="42" customHeight="1">
      <c r="E383" s="84"/>
      <c r="F383" s="84"/>
      <c r="AE383" s="84"/>
      <c r="AF383" s="84"/>
    </row>
    <row r="384" spans="5:32" ht="42" customHeight="1">
      <c r="E384" s="84"/>
      <c r="F384" s="84"/>
      <c r="AE384" s="84"/>
      <c r="AF384" s="84"/>
    </row>
    <row r="385" spans="5:32" ht="42" customHeight="1">
      <c r="E385" s="84"/>
      <c r="F385" s="84"/>
      <c r="AE385" s="84"/>
      <c r="AF385" s="84"/>
    </row>
    <row r="386" spans="5:32" ht="42" customHeight="1">
      <c r="E386" s="84"/>
      <c r="F386" s="84"/>
      <c r="AE386" s="84"/>
      <c r="AF386" s="84"/>
    </row>
    <row r="387" spans="5:32" ht="42" customHeight="1">
      <c r="E387" s="84"/>
      <c r="F387" s="84"/>
      <c r="AE387" s="84"/>
      <c r="AF387" s="84"/>
    </row>
    <row r="388" spans="5:32" ht="42" customHeight="1">
      <c r="E388" s="84"/>
      <c r="F388" s="84"/>
      <c r="AE388" s="84"/>
      <c r="AF388" s="84"/>
    </row>
    <row r="389" spans="5:32" ht="42" customHeight="1">
      <c r="E389" s="84"/>
      <c r="F389" s="84"/>
      <c r="AE389" s="84"/>
      <c r="AF389" s="84"/>
    </row>
    <row r="390" spans="5:32" ht="42" customHeight="1">
      <c r="E390" s="84"/>
      <c r="F390" s="84"/>
      <c r="AE390" s="84"/>
      <c r="AF390" s="84"/>
    </row>
    <row r="391" spans="5:32" ht="42" customHeight="1">
      <c r="E391" s="84"/>
      <c r="F391" s="84"/>
      <c r="AE391" s="84"/>
      <c r="AF391" s="84"/>
    </row>
    <row r="392" spans="5:32" ht="42" customHeight="1">
      <c r="E392" s="84"/>
      <c r="F392" s="84"/>
      <c r="AE392" s="84"/>
      <c r="AF392" s="84"/>
    </row>
    <row r="393" spans="5:32" ht="42" customHeight="1">
      <c r="E393" s="84"/>
      <c r="F393" s="84"/>
      <c r="AE393" s="84"/>
      <c r="AF393" s="84"/>
    </row>
    <row r="394" spans="5:32" ht="42" customHeight="1">
      <c r="E394" s="84"/>
      <c r="F394" s="84"/>
      <c r="AE394" s="84"/>
      <c r="AF394" s="84"/>
    </row>
    <row r="395" spans="5:32" ht="42" customHeight="1">
      <c r="E395" s="84"/>
      <c r="F395" s="84"/>
      <c r="AE395" s="84"/>
      <c r="AF395" s="84"/>
    </row>
    <row r="396" spans="5:32" ht="42" customHeight="1">
      <c r="E396" s="84"/>
      <c r="F396" s="84"/>
      <c r="AE396" s="84"/>
      <c r="AF396" s="84"/>
    </row>
    <row r="397" spans="5:32" ht="42" customHeight="1">
      <c r="E397" s="84"/>
      <c r="F397" s="84"/>
      <c r="AE397" s="84"/>
      <c r="AF397" s="84"/>
    </row>
    <row r="398" spans="5:32" ht="42" customHeight="1">
      <c r="E398" s="84"/>
      <c r="F398" s="84"/>
      <c r="AE398" s="84"/>
      <c r="AF398" s="84"/>
    </row>
    <row r="399" spans="5:32" ht="42" customHeight="1">
      <c r="E399" s="84"/>
      <c r="F399" s="84"/>
      <c r="AE399" s="84"/>
      <c r="AF399" s="84"/>
    </row>
    <row r="400" spans="5:32" ht="42" customHeight="1">
      <c r="E400" s="84"/>
      <c r="F400" s="84"/>
      <c r="AE400" s="84"/>
      <c r="AF400" s="84"/>
    </row>
    <row r="401" spans="5:32" ht="42" customHeight="1">
      <c r="E401" s="84"/>
      <c r="F401" s="84"/>
      <c r="AE401" s="84"/>
      <c r="AF401" s="84"/>
    </row>
    <row r="402" spans="5:32" ht="42" customHeight="1">
      <c r="E402" s="84"/>
      <c r="F402" s="84"/>
      <c r="AE402" s="84"/>
      <c r="AF402" s="84"/>
    </row>
    <row r="403" spans="5:32" ht="42" customHeight="1">
      <c r="E403" s="84"/>
      <c r="F403" s="84"/>
      <c r="AE403" s="84"/>
      <c r="AF403" s="84"/>
    </row>
    <row r="404" spans="5:32" ht="42" customHeight="1">
      <c r="E404" s="84"/>
      <c r="F404" s="84"/>
      <c r="AE404" s="84"/>
      <c r="AF404" s="84"/>
    </row>
    <row r="405" spans="5:32" ht="42" customHeight="1">
      <c r="E405" s="84"/>
      <c r="F405" s="84"/>
      <c r="AE405" s="84"/>
      <c r="AF405" s="84"/>
    </row>
    <row r="406" spans="5:32" ht="42" customHeight="1">
      <c r="E406" s="84"/>
      <c r="F406" s="84"/>
      <c r="AE406" s="84"/>
      <c r="AF406" s="84"/>
    </row>
    <row r="407" spans="5:32" ht="42" customHeight="1">
      <c r="E407" s="84"/>
      <c r="F407" s="84"/>
      <c r="AE407" s="84"/>
      <c r="AF407" s="84"/>
    </row>
    <row r="408" spans="5:32" ht="42" customHeight="1">
      <c r="E408" s="84"/>
      <c r="F408" s="84"/>
      <c r="AE408" s="84"/>
      <c r="AF408" s="84"/>
    </row>
    <row r="409" spans="5:32" ht="42" customHeight="1">
      <c r="E409" s="84"/>
      <c r="F409" s="84"/>
      <c r="AE409" s="84"/>
      <c r="AF409" s="84"/>
    </row>
    <row r="410" spans="5:32" ht="42" customHeight="1">
      <c r="E410" s="84"/>
      <c r="F410" s="84"/>
      <c r="AE410" s="84"/>
      <c r="AF410" s="84"/>
    </row>
    <row r="411" spans="5:32" ht="42" customHeight="1">
      <c r="E411" s="84"/>
      <c r="F411" s="84"/>
      <c r="AE411" s="84"/>
      <c r="AF411" s="84"/>
    </row>
    <row r="412" spans="5:32" ht="42" customHeight="1">
      <c r="E412" s="84"/>
      <c r="F412" s="84"/>
      <c r="AE412" s="84"/>
      <c r="AF412" s="84"/>
    </row>
    <row r="413" spans="5:32" ht="42" customHeight="1">
      <c r="E413" s="84"/>
      <c r="F413" s="84"/>
      <c r="AE413" s="84"/>
      <c r="AF413" s="84"/>
    </row>
    <row r="414" spans="5:32" ht="42" customHeight="1">
      <c r="E414" s="84"/>
      <c r="F414" s="84"/>
      <c r="AE414" s="84"/>
      <c r="AF414" s="84"/>
    </row>
    <row r="415" spans="5:32" ht="42" customHeight="1">
      <c r="E415" s="84"/>
      <c r="F415" s="84"/>
      <c r="AE415" s="84"/>
      <c r="AF415" s="84"/>
    </row>
    <row r="416" spans="5:32" ht="42" customHeight="1">
      <c r="E416" s="84"/>
      <c r="F416" s="84"/>
      <c r="AE416" s="84"/>
      <c r="AF416" s="84"/>
    </row>
    <row r="417" spans="5:32" ht="42" customHeight="1">
      <c r="E417" s="84"/>
      <c r="F417" s="84"/>
      <c r="AE417" s="84"/>
      <c r="AF417" s="84"/>
    </row>
    <row r="418" spans="5:32" ht="42" customHeight="1">
      <c r="E418" s="84"/>
      <c r="F418" s="84"/>
      <c r="AE418" s="84"/>
      <c r="AF418" s="84"/>
    </row>
    <row r="419" spans="5:32" ht="42" customHeight="1">
      <c r="E419" s="84"/>
      <c r="F419" s="84"/>
      <c r="AE419" s="84"/>
      <c r="AF419" s="84"/>
    </row>
    <row r="420" spans="5:32" ht="42" customHeight="1">
      <c r="E420" s="84"/>
      <c r="F420" s="84"/>
      <c r="AE420" s="84"/>
      <c r="AF420" s="84"/>
    </row>
    <row r="421" spans="5:32" ht="42" customHeight="1">
      <c r="E421" s="84"/>
      <c r="F421" s="84"/>
      <c r="AE421" s="84"/>
      <c r="AF421" s="84"/>
    </row>
    <row r="422" spans="5:32" ht="42" customHeight="1">
      <c r="E422" s="84"/>
      <c r="F422" s="84"/>
      <c r="AE422" s="84"/>
      <c r="AF422" s="84"/>
    </row>
    <row r="423" spans="5:32" ht="42" customHeight="1">
      <c r="E423" s="84"/>
      <c r="F423" s="84"/>
      <c r="AE423" s="84"/>
      <c r="AF423" s="84"/>
    </row>
    <row r="424" spans="5:32" ht="42" customHeight="1">
      <c r="E424" s="84"/>
      <c r="F424" s="84"/>
      <c r="AE424" s="84"/>
      <c r="AF424" s="84"/>
    </row>
    <row r="425" spans="5:32" ht="42" customHeight="1">
      <c r="E425" s="84"/>
      <c r="F425" s="84"/>
      <c r="AE425" s="84"/>
      <c r="AF425" s="84"/>
    </row>
    <row r="426" spans="5:32" ht="42" customHeight="1">
      <c r="E426" s="84"/>
      <c r="F426" s="84"/>
      <c r="AE426" s="84"/>
      <c r="AF426" s="84"/>
    </row>
    <row r="427" spans="5:32" ht="42" customHeight="1">
      <c r="E427" s="84"/>
      <c r="F427" s="84"/>
      <c r="AE427" s="84"/>
      <c r="AF427" s="84"/>
    </row>
    <row r="428" spans="5:32" ht="42" customHeight="1">
      <c r="E428" s="84"/>
      <c r="F428" s="84"/>
      <c r="AE428" s="84"/>
      <c r="AF428" s="84"/>
    </row>
    <row r="429" spans="5:32" ht="42" customHeight="1">
      <c r="E429" s="84"/>
      <c r="F429" s="84"/>
      <c r="AE429" s="84"/>
      <c r="AF429" s="84"/>
    </row>
    <row r="430" spans="5:32" ht="42" customHeight="1">
      <c r="E430" s="84"/>
      <c r="F430" s="84"/>
      <c r="AE430" s="84"/>
      <c r="AF430" s="84"/>
    </row>
    <row r="431" spans="5:32" ht="42" customHeight="1">
      <c r="E431" s="84"/>
      <c r="F431" s="84"/>
      <c r="AE431" s="84"/>
      <c r="AF431" s="84"/>
    </row>
    <row r="432" spans="5:32" ht="42" customHeight="1">
      <c r="E432" s="84"/>
      <c r="F432" s="84"/>
      <c r="AE432" s="84"/>
      <c r="AF432" s="84"/>
    </row>
    <row r="433" spans="5:32" ht="42" customHeight="1">
      <c r="E433" s="84"/>
      <c r="F433" s="84"/>
      <c r="AE433" s="84"/>
      <c r="AF433" s="84"/>
    </row>
    <row r="434" spans="5:32" ht="42" customHeight="1">
      <c r="E434" s="84"/>
      <c r="F434" s="84"/>
      <c r="AE434" s="84"/>
      <c r="AF434" s="84"/>
    </row>
    <row r="435" spans="5:32" ht="42" customHeight="1">
      <c r="E435" s="84"/>
      <c r="F435" s="84"/>
      <c r="AE435" s="84"/>
      <c r="AF435" s="84"/>
    </row>
    <row r="436" spans="5:32" ht="42" customHeight="1">
      <c r="E436" s="84"/>
      <c r="F436" s="84"/>
      <c r="AE436" s="84"/>
      <c r="AF436" s="84"/>
    </row>
    <row r="437" spans="5:32" ht="42" customHeight="1">
      <c r="E437" s="84"/>
      <c r="F437" s="84"/>
      <c r="AE437" s="84"/>
      <c r="AF437" s="84"/>
    </row>
    <row r="438" spans="5:32" ht="42" customHeight="1">
      <c r="E438" s="84"/>
      <c r="F438" s="84"/>
      <c r="AE438" s="84"/>
      <c r="AF438" s="84"/>
    </row>
    <row r="439" spans="5:32" ht="42" customHeight="1">
      <c r="E439" s="84"/>
      <c r="F439" s="84"/>
      <c r="AE439" s="84"/>
      <c r="AF439" s="84"/>
    </row>
    <row r="440" spans="5:32" ht="42" customHeight="1">
      <c r="E440" s="84"/>
      <c r="F440" s="84"/>
      <c r="AE440" s="84"/>
      <c r="AF440" s="84"/>
    </row>
    <row r="441" spans="5:32" ht="42" customHeight="1">
      <c r="E441" s="84"/>
      <c r="F441" s="84"/>
      <c r="AE441" s="84"/>
      <c r="AF441" s="84"/>
    </row>
    <row r="442" spans="5:32" ht="42" customHeight="1">
      <c r="E442" s="84"/>
      <c r="F442" s="84"/>
      <c r="AE442" s="84"/>
      <c r="AF442" s="84"/>
    </row>
    <row r="443" spans="5:32" ht="42" customHeight="1">
      <c r="E443" s="84"/>
      <c r="F443" s="84"/>
      <c r="AE443" s="84"/>
      <c r="AF443" s="84"/>
    </row>
    <row r="444" spans="5:32" ht="42" customHeight="1">
      <c r="E444" s="84"/>
      <c r="F444" s="84"/>
      <c r="AE444" s="84"/>
      <c r="AF444" s="84"/>
    </row>
    <row r="445" spans="5:32" ht="42" customHeight="1">
      <c r="E445" s="84"/>
      <c r="F445" s="84"/>
      <c r="AE445" s="84"/>
      <c r="AF445" s="84"/>
    </row>
    <row r="446" spans="5:32" ht="42" customHeight="1">
      <c r="E446" s="84"/>
      <c r="F446" s="84"/>
      <c r="AE446" s="84"/>
      <c r="AF446" s="84"/>
    </row>
    <row r="447" spans="5:32" ht="42" customHeight="1">
      <c r="E447" s="84"/>
      <c r="F447" s="84"/>
      <c r="AE447" s="84"/>
      <c r="AF447" s="84"/>
    </row>
    <row r="448" spans="5:32" ht="42" customHeight="1">
      <c r="E448" s="84"/>
      <c r="F448" s="84"/>
      <c r="AE448" s="84"/>
      <c r="AF448" s="84"/>
    </row>
    <row r="449" spans="5:32" ht="42" customHeight="1">
      <c r="E449" s="84"/>
      <c r="F449" s="84"/>
      <c r="AE449" s="84"/>
      <c r="AF449" s="84"/>
    </row>
    <row r="450" spans="5:32" ht="42" customHeight="1">
      <c r="E450" s="84"/>
      <c r="F450" s="84"/>
      <c r="AE450" s="84"/>
      <c r="AF450" s="84"/>
    </row>
    <row r="451" spans="5:32" ht="42" customHeight="1">
      <c r="E451" s="84"/>
      <c r="F451" s="84"/>
      <c r="AE451" s="84"/>
      <c r="AF451" s="84"/>
    </row>
    <row r="452" spans="5:32" ht="42" customHeight="1">
      <c r="E452" s="84"/>
      <c r="F452" s="84"/>
      <c r="AE452" s="84"/>
      <c r="AF452" s="84"/>
    </row>
    <row r="453" spans="5:32" ht="42" customHeight="1">
      <c r="E453" s="84"/>
      <c r="F453" s="84"/>
      <c r="AE453" s="84"/>
      <c r="AF453" s="84"/>
    </row>
    <row r="454" spans="5:32" ht="42" customHeight="1">
      <c r="E454" s="84"/>
      <c r="F454" s="84"/>
      <c r="AE454" s="84"/>
      <c r="AF454" s="84"/>
    </row>
    <row r="455" spans="5:32" ht="42" customHeight="1">
      <c r="E455" s="84"/>
      <c r="F455" s="84"/>
      <c r="AE455" s="84"/>
      <c r="AF455" s="84"/>
    </row>
    <row r="456" spans="5:32" ht="42" customHeight="1">
      <c r="E456" s="84"/>
      <c r="F456" s="84"/>
      <c r="AE456" s="84"/>
      <c r="AF456" s="84"/>
    </row>
    <row r="457" spans="5:32" ht="42" customHeight="1">
      <c r="E457" s="84"/>
      <c r="F457" s="84"/>
      <c r="AE457" s="84"/>
      <c r="AF457" s="84"/>
    </row>
    <row r="458" spans="5:32" ht="42" customHeight="1">
      <c r="E458" s="84"/>
      <c r="F458" s="84"/>
      <c r="AE458" s="84"/>
      <c r="AF458" s="84"/>
    </row>
    <row r="459" spans="5:32" ht="42" customHeight="1">
      <c r="E459" s="84"/>
      <c r="F459" s="84"/>
      <c r="AE459" s="84"/>
      <c r="AF459" s="84"/>
    </row>
    <row r="460" spans="5:32" ht="42" customHeight="1">
      <c r="E460" s="84"/>
      <c r="F460" s="84"/>
      <c r="AE460" s="84"/>
      <c r="AF460" s="84"/>
    </row>
    <row r="461" spans="5:32" ht="42" customHeight="1">
      <c r="E461" s="84"/>
      <c r="F461" s="84"/>
      <c r="AE461" s="84"/>
      <c r="AF461" s="84"/>
    </row>
    <row r="462" spans="5:32" ht="42" customHeight="1">
      <c r="E462" s="84"/>
      <c r="F462" s="84"/>
      <c r="AE462" s="84"/>
      <c r="AF462" s="84"/>
    </row>
    <row r="463" spans="5:32" ht="42" customHeight="1">
      <c r="E463" s="84"/>
      <c r="F463" s="84"/>
      <c r="AE463" s="84"/>
      <c r="AF463" s="84"/>
    </row>
    <row r="464" spans="5:32" ht="42" customHeight="1">
      <c r="E464" s="84"/>
      <c r="F464" s="84"/>
      <c r="AE464" s="84"/>
      <c r="AF464" s="84"/>
    </row>
    <row r="465" spans="5:32" ht="42" customHeight="1">
      <c r="E465" s="84"/>
      <c r="F465" s="84"/>
      <c r="AE465" s="84"/>
      <c r="AF465" s="84"/>
    </row>
    <row r="466" spans="5:32" ht="42" customHeight="1">
      <c r="E466" s="84"/>
      <c r="F466" s="84"/>
      <c r="AE466" s="84"/>
      <c r="AF466" s="84"/>
    </row>
    <row r="467" spans="5:32" ht="42" customHeight="1">
      <c r="E467" s="84"/>
      <c r="F467" s="84"/>
      <c r="AE467" s="84"/>
      <c r="AF467" s="84"/>
    </row>
    <row r="468" spans="5:32" ht="42" customHeight="1">
      <c r="E468" s="84"/>
      <c r="F468" s="84"/>
      <c r="AE468" s="84"/>
      <c r="AF468" s="84"/>
    </row>
    <row r="469" spans="5:32" ht="42" customHeight="1">
      <c r="E469" s="84"/>
      <c r="F469" s="84"/>
      <c r="AE469" s="84"/>
      <c r="AF469" s="84"/>
    </row>
    <row r="470" spans="5:32" ht="42" customHeight="1">
      <c r="E470" s="84"/>
      <c r="F470" s="84"/>
      <c r="AE470" s="84"/>
      <c r="AF470" s="84"/>
    </row>
    <row r="471" spans="5:32" ht="42" customHeight="1">
      <c r="E471" s="84"/>
      <c r="F471" s="84"/>
      <c r="AE471" s="84"/>
      <c r="AF471" s="84"/>
    </row>
    <row r="472" spans="5:32" ht="42" customHeight="1">
      <c r="E472" s="84"/>
      <c r="F472" s="84"/>
      <c r="AE472" s="84"/>
      <c r="AF472" s="84"/>
    </row>
    <row r="473" spans="5:32" ht="42" customHeight="1">
      <c r="E473" s="84"/>
      <c r="F473" s="84"/>
      <c r="AE473" s="84"/>
      <c r="AF473" s="84"/>
    </row>
    <row r="474" spans="5:32" ht="42" customHeight="1">
      <c r="E474" s="84"/>
      <c r="F474" s="84"/>
      <c r="AE474" s="84"/>
      <c r="AF474" s="84"/>
    </row>
    <row r="475" spans="5:32" ht="42" customHeight="1">
      <c r="E475" s="84"/>
      <c r="F475" s="84"/>
      <c r="AE475" s="84"/>
      <c r="AF475" s="84"/>
    </row>
    <row r="476" spans="5:32" ht="42" customHeight="1">
      <c r="E476" s="84"/>
      <c r="F476" s="84"/>
      <c r="AE476" s="84"/>
      <c r="AF476" s="84"/>
    </row>
    <row r="477" spans="5:32" ht="42" customHeight="1">
      <c r="E477" s="84"/>
      <c r="F477" s="84"/>
      <c r="AE477" s="84"/>
      <c r="AF477" s="84"/>
    </row>
    <row r="478" spans="5:32" ht="42" customHeight="1">
      <c r="E478" s="84"/>
      <c r="F478" s="84"/>
      <c r="AE478" s="84"/>
      <c r="AF478" s="84"/>
    </row>
    <row r="479" spans="5:32" ht="42" customHeight="1">
      <c r="E479" s="84"/>
      <c r="F479" s="84"/>
      <c r="AE479" s="84"/>
      <c r="AF479" s="84"/>
    </row>
    <row r="480" spans="5:32" ht="42" customHeight="1">
      <c r="E480" s="84"/>
      <c r="F480" s="84"/>
      <c r="AE480" s="84"/>
      <c r="AF480" s="84"/>
    </row>
    <row r="481" spans="5:32" ht="42" customHeight="1">
      <c r="E481" s="84"/>
      <c r="F481" s="84"/>
      <c r="AE481" s="84"/>
      <c r="AF481" s="84"/>
    </row>
    <row r="482" spans="5:32" ht="42" customHeight="1">
      <c r="E482" s="84"/>
      <c r="F482" s="84"/>
      <c r="AE482" s="84"/>
      <c r="AF482" s="84"/>
    </row>
    <row r="483" spans="5:32" ht="42" customHeight="1">
      <c r="E483" s="84"/>
      <c r="F483" s="84"/>
      <c r="AE483" s="84"/>
      <c r="AF483" s="84"/>
    </row>
    <row r="484" spans="5:32" ht="42" customHeight="1">
      <c r="E484" s="84"/>
      <c r="F484" s="84"/>
      <c r="AE484" s="84"/>
      <c r="AF484" s="84"/>
    </row>
    <row r="485" spans="5:32" ht="42" customHeight="1">
      <c r="E485" s="84"/>
      <c r="F485" s="84"/>
      <c r="AE485" s="84"/>
      <c r="AF485" s="84"/>
    </row>
    <row r="486" spans="5:32" ht="42" customHeight="1">
      <c r="E486" s="84"/>
      <c r="F486" s="84"/>
      <c r="AE486" s="84"/>
      <c r="AF486" s="84"/>
    </row>
    <row r="487" spans="5:32" ht="42" customHeight="1">
      <c r="E487" s="84"/>
      <c r="F487" s="84"/>
      <c r="AE487" s="84"/>
      <c r="AF487" s="84"/>
    </row>
    <row r="488" spans="5:32" ht="42" customHeight="1">
      <c r="E488" s="84"/>
      <c r="F488" s="84"/>
      <c r="AE488" s="84"/>
      <c r="AF488" s="84"/>
    </row>
    <row r="489" spans="5:32" ht="42" customHeight="1">
      <c r="E489" s="84"/>
      <c r="F489" s="84"/>
      <c r="AE489" s="84"/>
      <c r="AF489" s="84"/>
    </row>
    <row r="490" spans="5:32" ht="42" customHeight="1">
      <c r="E490" s="84"/>
      <c r="F490" s="84"/>
      <c r="AE490" s="84"/>
      <c r="AF490" s="84"/>
    </row>
    <row r="491" spans="5:32" ht="42" customHeight="1">
      <c r="E491" s="84"/>
      <c r="F491" s="84"/>
      <c r="AE491" s="84"/>
      <c r="AF491" s="84"/>
    </row>
    <row r="492" spans="5:32" ht="42" customHeight="1">
      <c r="E492" s="84"/>
      <c r="F492" s="84"/>
      <c r="AE492" s="84"/>
      <c r="AF492" s="84"/>
    </row>
    <row r="493" spans="5:32" ht="42" customHeight="1">
      <c r="E493" s="84"/>
      <c r="F493" s="84"/>
      <c r="AE493" s="84"/>
      <c r="AF493" s="84"/>
    </row>
    <row r="494" spans="5:32" ht="42" customHeight="1">
      <c r="E494" s="84"/>
      <c r="F494" s="84"/>
      <c r="AE494" s="84"/>
      <c r="AF494" s="84"/>
    </row>
    <row r="495" spans="5:32" ht="42" customHeight="1">
      <c r="E495" s="84"/>
      <c r="F495" s="84"/>
      <c r="AE495" s="84"/>
      <c r="AF495" s="84"/>
    </row>
    <row r="496" spans="5:32" ht="42" customHeight="1">
      <c r="E496" s="84"/>
      <c r="F496" s="84"/>
      <c r="AE496" s="84"/>
      <c r="AF496" s="84"/>
    </row>
    <row r="497" spans="5:32" ht="42" customHeight="1">
      <c r="E497" s="84"/>
      <c r="F497" s="84"/>
      <c r="AE497" s="84"/>
      <c r="AF497" s="84"/>
    </row>
    <row r="498" spans="5:32" ht="42" customHeight="1">
      <c r="E498" s="84"/>
      <c r="F498" s="84"/>
      <c r="AE498" s="84"/>
      <c r="AF498" s="84"/>
    </row>
    <row r="499" spans="5:32" ht="42" customHeight="1">
      <c r="E499" s="84"/>
      <c r="F499" s="84"/>
      <c r="AE499" s="84"/>
      <c r="AF499" s="84"/>
    </row>
    <row r="500" spans="5:32" ht="42" customHeight="1">
      <c r="E500" s="84"/>
      <c r="F500" s="84"/>
      <c r="AE500" s="84"/>
      <c r="AF500" s="84"/>
    </row>
    <row r="501" spans="5:32" ht="42" customHeight="1">
      <c r="E501" s="84"/>
      <c r="F501" s="84"/>
      <c r="AE501" s="84"/>
      <c r="AF501" s="84"/>
    </row>
    <row r="502" spans="5:32" ht="42" customHeight="1">
      <c r="E502" s="84"/>
      <c r="F502" s="84"/>
      <c r="AE502" s="84"/>
      <c r="AF502" s="84"/>
    </row>
    <row r="503" spans="5:32" ht="42" customHeight="1">
      <c r="E503" s="84"/>
      <c r="F503" s="84"/>
      <c r="AE503" s="84"/>
      <c r="AF503" s="84"/>
    </row>
    <row r="504" spans="5:32" ht="42" customHeight="1">
      <c r="E504" s="84"/>
      <c r="F504" s="84"/>
      <c r="AE504" s="84"/>
      <c r="AF504" s="84"/>
    </row>
    <row r="505" spans="5:32" ht="42" customHeight="1">
      <c r="E505" s="84"/>
      <c r="F505" s="84"/>
      <c r="AE505" s="84"/>
      <c r="AF505" s="84"/>
    </row>
    <row r="506" spans="5:32" ht="42" customHeight="1">
      <c r="E506" s="84"/>
      <c r="F506" s="84"/>
      <c r="AE506" s="84"/>
      <c r="AF506" s="84"/>
    </row>
    <row r="507" spans="5:32" ht="42" customHeight="1">
      <c r="E507" s="84"/>
      <c r="F507" s="84"/>
      <c r="AE507" s="84"/>
      <c r="AF507" s="84"/>
    </row>
    <row r="508" spans="5:32" ht="42" customHeight="1">
      <c r="E508" s="84"/>
      <c r="F508" s="84"/>
      <c r="AE508" s="84"/>
      <c r="AF508" s="84"/>
    </row>
    <row r="509" spans="5:32" ht="42" customHeight="1">
      <c r="E509" s="84"/>
      <c r="F509" s="84"/>
      <c r="AE509" s="84"/>
      <c r="AF509" s="84"/>
    </row>
    <row r="510" spans="5:32" ht="42" customHeight="1">
      <c r="E510" s="84"/>
      <c r="F510" s="84"/>
      <c r="AE510" s="84"/>
      <c r="AF510" s="84"/>
    </row>
    <row r="511" spans="5:32" ht="42" customHeight="1">
      <c r="E511" s="84"/>
      <c r="F511" s="84"/>
      <c r="AE511" s="84"/>
      <c r="AF511" s="84"/>
    </row>
    <row r="512" spans="5:32" ht="42" customHeight="1">
      <c r="E512" s="84"/>
      <c r="F512" s="84"/>
      <c r="AE512" s="84"/>
      <c r="AF512" s="84"/>
    </row>
    <row r="513" spans="5:32" ht="42" customHeight="1">
      <c r="E513" s="84"/>
      <c r="F513" s="84"/>
      <c r="AE513" s="84"/>
      <c r="AF513" s="84"/>
    </row>
    <row r="514" spans="5:32" ht="42" customHeight="1">
      <c r="E514" s="84"/>
      <c r="F514" s="84"/>
      <c r="AE514" s="84"/>
      <c r="AF514" s="84"/>
    </row>
    <row r="515" spans="5:32" ht="42" customHeight="1">
      <c r="E515" s="84"/>
      <c r="F515" s="84"/>
      <c r="AE515" s="84"/>
      <c r="AF515" s="84"/>
    </row>
    <row r="516" spans="5:32" ht="42" customHeight="1">
      <c r="E516" s="84"/>
      <c r="F516" s="84"/>
      <c r="AE516" s="84"/>
      <c r="AF516" s="84"/>
    </row>
    <row r="517" spans="5:32" ht="42" customHeight="1">
      <c r="E517" s="84"/>
      <c r="F517" s="84"/>
      <c r="AE517" s="84"/>
      <c r="AF517" s="84"/>
    </row>
    <row r="518" spans="5:32" ht="42" customHeight="1">
      <c r="E518" s="84"/>
      <c r="F518" s="84"/>
      <c r="AE518" s="84"/>
      <c r="AF518" s="84"/>
    </row>
    <row r="519" spans="5:32" ht="42" customHeight="1">
      <c r="E519" s="84"/>
      <c r="F519" s="84"/>
      <c r="AE519" s="84"/>
      <c r="AF519" s="84"/>
    </row>
    <row r="520" spans="5:32" ht="42" customHeight="1">
      <c r="E520" s="84"/>
      <c r="F520" s="84"/>
      <c r="AE520" s="84"/>
      <c r="AF520" s="84"/>
    </row>
    <row r="521" spans="5:32" ht="42" customHeight="1">
      <c r="E521" s="84"/>
      <c r="F521" s="84"/>
      <c r="AE521" s="84"/>
      <c r="AF521" s="84"/>
    </row>
    <row r="522" spans="5:32" ht="42" customHeight="1">
      <c r="E522" s="84"/>
      <c r="F522" s="84"/>
      <c r="AE522" s="84"/>
      <c r="AF522" s="84"/>
    </row>
    <row r="523" spans="5:32" ht="42" customHeight="1">
      <c r="E523" s="84"/>
      <c r="F523" s="84"/>
      <c r="AE523" s="84"/>
      <c r="AF523" s="84"/>
    </row>
    <row r="524" spans="5:32" ht="42" customHeight="1">
      <c r="E524" s="84"/>
      <c r="F524" s="84"/>
      <c r="AE524" s="84"/>
      <c r="AF524" s="84"/>
    </row>
    <row r="525" spans="5:32" ht="42" customHeight="1">
      <c r="E525" s="84"/>
      <c r="F525" s="84"/>
      <c r="AE525" s="84"/>
      <c r="AF525" s="84"/>
    </row>
    <row r="526" spans="5:32" ht="42" customHeight="1">
      <c r="E526" s="84"/>
      <c r="F526" s="84"/>
      <c r="AE526" s="84"/>
      <c r="AF526" s="84"/>
    </row>
    <row r="527" spans="5:32" ht="42" customHeight="1">
      <c r="E527" s="84"/>
      <c r="F527" s="84"/>
      <c r="AE527" s="84"/>
      <c r="AF527" s="84"/>
    </row>
    <row r="528" spans="5:32" ht="42" customHeight="1">
      <c r="E528" s="84"/>
      <c r="F528" s="84"/>
      <c r="AE528" s="84"/>
      <c r="AF528" s="84"/>
    </row>
    <row r="529" spans="5:32" ht="42" customHeight="1">
      <c r="E529" s="84"/>
      <c r="F529" s="84"/>
      <c r="AE529" s="84"/>
      <c r="AF529" s="84"/>
    </row>
    <row r="530" spans="5:32" ht="42" customHeight="1">
      <c r="E530" s="84"/>
      <c r="F530" s="84"/>
      <c r="AE530" s="84"/>
      <c r="AF530" s="84"/>
    </row>
    <row r="531" spans="5:32" ht="42" customHeight="1">
      <c r="E531" s="84"/>
      <c r="F531" s="84"/>
      <c r="AE531" s="84"/>
      <c r="AF531" s="84"/>
    </row>
    <row r="532" spans="5:32" ht="42" customHeight="1">
      <c r="E532" s="84"/>
      <c r="F532" s="84"/>
      <c r="AE532" s="84"/>
      <c r="AF532" s="84"/>
    </row>
    <row r="533" spans="5:32" ht="42" customHeight="1">
      <c r="E533" s="84"/>
      <c r="F533" s="84"/>
      <c r="AE533" s="84"/>
      <c r="AF533" s="84"/>
    </row>
    <row r="534" spans="5:32" ht="42" customHeight="1">
      <c r="E534" s="84"/>
      <c r="F534" s="84"/>
      <c r="AE534" s="84"/>
      <c r="AF534" s="84"/>
    </row>
    <row r="535" spans="5:32" ht="42" customHeight="1">
      <c r="E535" s="84"/>
      <c r="F535" s="84"/>
      <c r="AE535" s="84"/>
      <c r="AF535" s="84"/>
    </row>
    <row r="536" spans="5:32" ht="42" customHeight="1">
      <c r="E536" s="84"/>
      <c r="F536" s="84"/>
      <c r="AE536" s="84"/>
      <c r="AF536" s="84"/>
    </row>
    <row r="537" spans="5:32" ht="42" customHeight="1">
      <c r="E537" s="84"/>
      <c r="F537" s="84"/>
      <c r="AE537" s="84"/>
      <c r="AF537" s="84"/>
    </row>
    <row r="538" spans="5:32" ht="42" customHeight="1">
      <c r="E538" s="84"/>
      <c r="F538" s="84"/>
      <c r="AE538" s="84"/>
      <c r="AF538" s="84"/>
    </row>
    <row r="539" spans="5:32" ht="42" customHeight="1">
      <c r="E539" s="84"/>
      <c r="F539" s="84"/>
      <c r="AE539" s="84"/>
      <c r="AF539" s="84"/>
    </row>
    <row r="540" spans="5:32" ht="42" customHeight="1">
      <c r="E540" s="84"/>
      <c r="F540" s="84"/>
      <c r="AE540" s="84"/>
      <c r="AF540" s="84"/>
    </row>
    <row r="541" spans="5:32" ht="42" customHeight="1">
      <c r="E541" s="84"/>
      <c r="F541" s="84"/>
      <c r="AE541" s="84"/>
      <c r="AF541" s="84"/>
    </row>
    <row r="542" spans="5:32" ht="42" customHeight="1">
      <c r="E542" s="84"/>
      <c r="F542" s="84"/>
      <c r="AE542" s="84"/>
      <c r="AF542" s="84"/>
    </row>
    <row r="543" spans="5:32" ht="42" customHeight="1">
      <c r="E543" s="84"/>
      <c r="F543" s="84"/>
      <c r="AE543" s="84"/>
      <c r="AF543" s="84"/>
    </row>
    <row r="544" spans="5:32" ht="42" customHeight="1">
      <c r="E544" s="84"/>
      <c r="F544" s="84"/>
      <c r="AE544" s="84"/>
      <c r="AF544" s="84"/>
    </row>
    <row r="545" spans="5:32" ht="42" customHeight="1">
      <c r="E545" s="84"/>
      <c r="F545" s="84"/>
      <c r="AE545" s="84"/>
      <c r="AF545" s="84"/>
    </row>
    <row r="546" spans="5:32" ht="42" customHeight="1">
      <c r="E546" s="84"/>
      <c r="F546" s="84"/>
      <c r="AE546" s="84"/>
      <c r="AF546" s="84"/>
    </row>
    <row r="547" spans="5:32" ht="42" customHeight="1">
      <c r="E547" s="84"/>
      <c r="F547" s="84"/>
      <c r="AE547" s="84"/>
      <c r="AF547" s="84"/>
    </row>
    <row r="548" spans="5:32" ht="42" customHeight="1">
      <c r="E548" s="84"/>
      <c r="F548" s="84"/>
      <c r="AE548" s="84"/>
      <c r="AF548" s="84"/>
    </row>
    <row r="549" spans="5:32" ht="42" customHeight="1">
      <c r="E549" s="84"/>
      <c r="F549" s="84"/>
      <c r="AE549" s="84"/>
      <c r="AF549" s="84"/>
    </row>
    <row r="550" spans="5:32" ht="42" customHeight="1">
      <c r="E550" s="84"/>
      <c r="F550" s="84"/>
      <c r="AE550" s="84"/>
      <c r="AF550" s="84"/>
    </row>
    <row r="551" spans="5:32" ht="42" customHeight="1">
      <c r="E551" s="84"/>
      <c r="F551" s="84"/>
      <c r="AE551" s="84"/>
      <c r="AF551" s="84"/>
    </row>
    <row r="552" spans="5:32" ht="42" customHeight="1">
      <c r="E552" s="84"/>
      <c r="F552" s="84"/>
      <c r="AE552" s="84"/>
      <c r="AF552" s="84"/>
    </row>
    <row r="553" spans="5:32" ht="42" customHeight="1">
      <c r="E553" s="84"/>
      <c r="F553" s="84"/>
      <c r="AE553" s="84"/>
      <c r="AF553" s="84"/>
    </row>
    <row r="554" spans="5:32" ht="42" customHeight="1">
      <c r="E554" s="84"/>
      <c r="F554" s="84"/>
      <c r="AE554" s="84"/>
      <c r="AF554" s="84"/>
    </row>
    <row r="555" spans="5:32" ht="42" customHeight="1">
      <c r="E555" s="84"/>
      <c r="F555" s="84"/>
      <c r="AE555" s="84"/>
      <c r="AF555" s="84"/>
    </row>
    <row r="556" spans="5:32" ht="42" customHeight="1">
      <c r="E556" s="84"/>
      <c r="F556" s="84"/>
      <c r="AE556" s="84"/>
      <c r="AF556" s="84"/>
    </row>
    <row r="557" spans="5:32" ht="42" customHeight="1">
      <c r="E557" s="84"/>
      <c r="F557" s="84"/>
      <c r="AE557" s="84"/>
      <c r="AF557" s="84"/>
    </row>
    <row r="558" spans="5:32" ht="42" customHeight="1">
      <c r="E558" s="84"/>
      <c r="F558" s="84"/>
      <c r="AE558" s="84"/>
      <c r="AF558" s="84"/>
    </row>
    <row r="559" spans="5:32" ht="42" customHeight="1">
      <c r="E559" s="84"/>
      <c r="F559" s="84"/>
      <c r="AE559" s="84"/>
      <c r="AF559" s="84"/>
    </row>
    <row r="560" spans="5:32" ht="42" customHeight="1">
      <c r="E560" s="84"/>
      <c r="F560" s="84"/>
      <c r="AE560" s="84"/>
      <c r="AF560" s="84"/>
    </row>
    <row r="561" spans="5:32" ht="42" customHeight="1">
      <c r="E561" s="84"/>
      <c r="F561" s="84"/>
      <c r="AE561" s="84"/>
      <c r="AF561" s="84"/>
    </row>
    <row r="562" spans="5:32" ht="42" customHeight="1">
      <c r="E562" s="84"/>
      <c r="F562" s="84"/>
      <c r="AE562" s="84"/>
      <c r="AF562" s="84"/>
    </row>
    <row r="563" spans="5:32" ht="42" customHeight="1">
      <c r="E563" s="84"/>
      <c r="F563" s="84"/>
      <c r="AE563" s="84"/>
      <c r="AF563" s="84"/>
    </row>
    <row r="564" spans="5:32" ht="42" customHeight="1">
      <c r="E564" s="84"/>
      <c r="F564" s="84"/>
      <c r="AE564" s="84"/>
      <c r="AF564" s="84"/>
    </row>
    <row r="565" spans="5:32" ht="42" customHeight="1">
      <c r="E565" s="84"/>
      <c r="F565" s="84"/>
      <c r="AE565" s="84"/>
      <c r="AF565" s="84"/>
    </row>
    <row r="566" spans="5:32" ht="42" customHeight="1">
      <c r="E566" s="84"/>
      <c r="F566" s="84"/>
      <c r="AE566" s="84"/>
      <c r="AF566" s="84"/>
    </row>
    <row r="567" spans="5:32" ht="42" customHeight="1">
      <c r="E567" s="84"/>
      <c r="F567" s="84"/>
      <c r="AE567" s="84"/>
      <c r="AF567" s="84"/>
    </row>
    <row r="568" spans="5:32" ht="42" customHeight="1">
      <c r="E568" s="84"/>
      <c r="F568" s="84"/>
      <c r="AE568" s="84"/>
      <c r="AF568" s="84"/>
    </row>
    <row r="569" spans="5:32" ht="42" customHeight="1">
      <c r="E569" s="84"/>
      <c r="F569" s="84"/>
      <c r="AE569" s="84"/>
      <c r="AF569" s="84"/>
    </row>
    <row r="570" spans="5:32" ht="42" customHeight="1">
      <c r="E570" s="84"/>
      <c r="F570" s="84"/>
      <c r="AE570" s="84"/>
      <c r="AF570" s="84"/>
    </row>
    <row r="571" spans="5:32" ht="42" customHeight="1">
      <c r="E571" s="84"/>
      <c r="F571" s="84"/>
      <c r="AE571" s="84"/>
      <c r="AF571" s="84"/>
    </row>
    <row r="572" spans="5:32" ht="42" customHeight="1">
      <c r="E572" s="84"/>
      <c r="F572" s="84"/>
      <c r="AE572" s="84"/>
      <c r="AF572" s="84"/>
    </row>
    <row r="573" spans="5:32" ht="42" customHeight="1">
      <c r="E573" s="84"/>
      <c r="F573" s="84"/>
      <c r="AE573" s="84"/>
      <c r="AF573" s="84"/>
    </row>
    <row r="574" spans="5:32" ht="42" customHeight="1">
      <c r="E574" s="84"/>
      <c r="F574" s="84"/>
      <c r="AE574" s="84"/>
      <c r="AF574" s="84"/>
    </row>
    <row r="575" spans="5:32" ht="42" customHeight="1">
      <c r="E575" s="84"/>
      <c r="F575" s="84"/>
      <c r="AE575" s="84"/>
      <c r="AF575" s="84"/>
    </row>
    <row r="576" spans="5:32" ht="42" customHeight="1">
      <c r="E576" s="84"/>
      <c r="F576" s="84"/>
      <c r="AE576" s="84"/>
      <c r="AF576" s="84"/>
    </row>
    <row r="577" spans="5:32" ht="42" customHeight="1">
      <c r="E577" s="84"/>
      <c r="F577" s="84"/>
      <c r="AE577" s="84"/>
      <c r="AF577" s="84"/>
    </row>
    <row r="578" spans="5:32" ht="42" customHeight="1">
      <c r="E578" s="84"/>
      <c r="F578" s="84"/>
      <c r="AE578" s="84"/>
      <c r="AF578" s="84"/>
    </row>
    <row r="579" spans="5:32" ht="42" customHeight="1">
      <c r="E579" s="84"/>
      <c r="F579" s="84"/>
      <c r="AE579" s="84"/>
      <c r="AF579" s="84"/>
    </row>
    <row r="580" spans="5:32" ht="42" customHeight="1">
      <c r="E580" s="84"/>
      <c r="F580" s="84"/>
      <c r="AE580" s="84"/>
      <c r="AF580" s="84"/>
    </row>
    <row r="581" spans="5:32" ht="42" customHeight="1">
      <c r="E581" s="84"/>
      <c r="F581" s="84"/>
      <c r="AE581" s="84"/>
      <c r="AF581" s="84"/>
    </row>
    <row r="582" spans="5:32" ht="42" customHeight="1">
      <c r="E582" s="84"/>
      <c r="F582" s="84"/>
      <c r="AE582" s="84"/>
      <c r="AF582" s="84"/>
    </row>
    <row r="583" spans="5:32" ht="42" customHeight="1">
      <c r="E583" s="84"/>
      <c r="F583" s="84"/>
      <c r="AE583" s="84"/>
      <c r="AF583" s="84"/>
    </row>
    <row r="584" spans="5:32" ht="42" customHeight="1">
      <c r="E584" s="84"/>
      <c r="F584" s="84"/>
      <c r="AE584" s="84"/>
      <c r="AF584" s="84"/>
    </row>
    <row r="585" spans="5:32" ht="42" customHeight="1">
      <c r="E585" s="84"/>
      <c r="F585" s="84"/>
      <c r="AE585" s="84"/>
      <c r="AF585" s="84"/>
    </row>
    <row r="586" spans="5:32" ht="42" customHeight="1">
      <c r="E586" s="84"/>
      <c r="F586" s="84"/>
      <c r="AE586" s="84"/>
      <c r="AF586" s="84"/>
    </row>
    <row r="587" spans="5:32" ht="42" customHeight="1">
      <c r="E587" s="84"/>
      <c r="F587" s="84"/>
      <c r="AE587" s="84"/>
      <c r="AF587" s="84"/>
    </row>
    <row r="588" spans="5:32" ht="42" customHeight="1">
      <c r="E588" s="84"/>
      <c r="F588" s="84"/>
      <c r="AE588" s="84"/>
      <c r="AF588" s="84"/>
    </row>
    <row r="589" spans="5:32" ht="42" customHeight="1">
      <c r="E589" s="84"/>
      <c r="F589" s="84"/>
      <c r="AE589" s="84"/>
      <c r="AF589" s="84"/>
    </row>
    <row r="590" spans="5:32" ht="42" customHeight="1">
      <c r="E590" s="84"/>
      <c r="F590" s="84"/>
      <c r="AE590" s="84"/>
      <c r="AF590" s="84"/>
    </row>
    <row r="591" spans="5:32" ht="42" customHeight="1">
      <c r="E591" s="84"/>
      <c r="F591" s="84"/>
      <c r="AE591" s="84"/>
      <c r="AF591" s="84"/>
    </row>
    <row r="592" spans="5:32" ht="42" customHeight="1">
      <c r="E592" s="84"/>
      <c r="F592" s="84"/>
      <c r="AE592" s="84"/>
      <c r="AF592" s="84"/>
    </row>
    <row r="593" spans="5:32" ht="42" customHeight="1">
      <c r="E593" s="84"/>
      <c r="F593" s="84"/>
      <c r="AE593" s="84"/>
      <c r="AF593" s="84"/>
    </row>
    <row r="594" spans="5:32" ht="42" customHeight="1">
      <c r="E594" s="84"/>
      <c r="F594" s="84"/>
      <c r="AE594" s="84"/>
      <c r="AF594" s="84"/>
    </row>
    <row r="595" spans="5:32" ht="42" customHeight="1">
      <c r="E595" s="84"/>
      <c r="F595" s="84"/>
      <c r="AE595" s="84"/>
      <c r="AF595" s="84"/>
    </row>
    <row r="596" spans="5:32" ht="42" customHeight="1">
      <c r="E596" s="84"/>
      <c r="F596" s="84"/>
      <c r="AE596" s="84"/>
      <c r="AF596" s="84"/>
    </row>
    <row r="597" spans="5:32" ht="42" customHeight="1">
      <c r="E597" s="84"/>
      <c r="F597" s="84"/>
      <c r="AE597" s="84"/>
      <c r="AF597" s="84"/>
    </row>
    <row r="598" spans="5:32" ht="42" customHeight="1">
      <c r="E598" s="84"/>
      <c r="F598" s="84"/>
      <c r="AE598" s="84"/>
      <c r="AF598" s="84"/>
    </row>
    <row r="599" spans="5:32" ht="42" customHeight="1">
      <c r="E599" s="84"/>
      <c r="F599" s="84"/>
      <c r="AE599" s="84"/>
      <c r="AF599" s="84"/>
    </row>
    <row r="600" spans="5:32" ht="42" customHeight="1">
      <c r="E600" s="84"/>
      <c r="F600" s="84"/>
      <c r="AE600" s="84"/>
      <c r="AF600" s="84"/>
    </row>
    <row r="601" spans="5:32" ht="42" customHeight="1">
      <c r="E601" s="84"/>
      <c r="F601" s="84"/>
      <c r="AE601" s="84"/>
      <c r="AF601" s="84"/>
    </row>
    <row r="602" spans="5:32" ht="42" customHeight="1">
      <c r="E602" s="84"/>
      <c r="F602" s="84"/>
      <c r="AE602" s="84"/>
      <c r="AF602" s="84"/>
    </row>
    <row r="603" spans="5:32" ht="42" customHeight="1">
      <c r="E603" s="84"/>
      <c r="F603" s="84"/>
      <c r="AE603" s="84"/>
      <c r="AF603" s="84"/>
    </row>
    <row r="604" spans="5:32" ht="42" customHeight="1">
      <c r="E604" s="84"/>
      <c r="F604" s="84"/>
      <c r="AE604" s="84"/>
      <c r="AF604" s="84"/>
    </row>
    <row r="605" spans="5:32" ht="42" customHeight="1">
      <c r="E605" s="84"/>
      <c r="F605" s="84"/>
      <c r="AE605" s="84"/>
      <c r="AF605" s="84"/>
    </row>
    <row r="606" spans="5:32" ht="42" customHeight="1">
      <c r="E606" s="84"/>
      <c r="F606" s="84"/>
      <c r="AE606" s="84"/>
      <c r="AF606" s="84"/>
    </row>
    <row r="607" spans="5:32" ht="42" customHeight="1">
      <c r="E607" s="84"/>
      <c r="F607" s="84"/>
      <c r="AE607" s="84"/>
      <c r="AF607" s="84"/>
    </row>
    <row r="608" spans="5:32" ht="42" customHeight="1">
      <c r="E608" s="84"/>
      <c r="F608" s="84"/>
      <c r="AE608" s="84"/>
      <c r="AF608" s="84"/>
    </row>
    <row r="609" spans="5:32" ht="42" customHeight="1">
      <c r="E609" s="84"/>
      <c r="F609" s="84"/>
      <c r="AE609" s="84"/>
      <c r="AF609" s="84"/>
    </row>
    <row r="610" spans="5:32" ht="42" customHeight="1">
      <c r="E610" s="84"/>
      <c r="F610" s="84"/>
      <c r="AE610" s="84"/>
      <c r="AF610" s="84"/>
    </row>
    <row r="611" spans="5:32" ht="42" customHeight="1">
      <c r="E611" s="84"/>
      <c r="F611" s="84"/>
      <c r="AE611" s="84"/>
      <c r="AF611" s="84"/>
    </row>
    <row r="612" spans="5:32" ht="42" customHeight="1">
      <c r="E612" s="84"/>
      <c r="F612" s="84"/>
      <c r="AE612" s="84"/>
      <c r="AF612" s="84"/>
    </row>
    <row r="613" spans="5:32" ht="42" customHeight="1">
      <c r="E613" s="84"/>
      <c r="F613" s="84"/>
      <c r="AE613" s="84"/>
      <c r="AF613" s="84"/>
    </row>
    <row r="614" spans="5:32" ht="42" customHeight="1">
      <c r="E614" s="84"/>
      <c r="F614" s="84"/>
      <c r="AE614" s="84"/>
      <c r="AF614" s="84"/>
    </row>
    <row r="615" spans="5:32" ht="42" customHeight="1">
      <c r="E615" s="84"/>
      <c r="F615" s="84"/>
      <c r="AE615" s="84"/>
      <c r="AF615" s="84"/>
    </row>
    <row r="616" spans="5:32" ht="42" customHeight="1">
      <c r="E616" s="84"/>
      <c r="F616" s="84"/>
      <c r="AE616" s="84"/>
      <c r="AF616" s="84"/>
    </row>
    <row r="617" spans="5:32" ht="42" customHeight="1">
      <c r="E617" s="84"/>
      <c r="F617" s="84"/>
      <c r="AE617" s="84"/>
      <c r="AF617" s="84"/>
    </row>
    <row r="618" spans="5:32" ht="42" customHeight="1">
      <c r="E618" s="84"/>
      <c r="F618" s="84"/>
      <c r="AE618" s="84"/>
      <c r="AF618" s="84"/>
    </row>
    <row r="619" spans="5:32" ht="42" customHeight="1">
      <c r="E619" s="84"/>
      <c r="F619" s="84"/>
      <c r="AE619" s="84"/>
      <c r="AF619" s="84"/>
    </row>
    <row r="620" spans="5:32" ht="42" customHeight="1">
      <c r="E620" s="84"/>
      <c r="F620" s="84"/>
      <c r="AE620" s="84"/>
      <c r="AF620" s="84"/>
    </row>
    <row r="621" spans="5:32" ht="42" customHeight="1">
      <c r="E621" s="84"/>
      <c r="F621" s="84"/>
      <c r="AE621" s="84"/>
      <c r="AF621" s="84"/>
    </row>
    <row r="622" spans="5:32" ht="42" customHeight="1">
      <c r="E622" s="84"/>
      <c r="F622" s="84"/>
      <c r="AE622" s="84"/>
      <c r="AF622" s="84"/>
    </row>
    <row r="623" spans="5:32" ht="42" customHeight="1">
      <c r="E623" s="84"/>
      <c r="F623" s="84"/>
      <c r="AE623" s="84"/>
      <c r="AF623" s="84"/>
    </row>
    <row r="624" spans="5:32" ht="42" customHeight="1">
      <c r="E624" s="84"/>
      <c r="F624" s="84"/>
      <c r="AE624" s="84"/>
      <c r="AF624" s="84"/>
    </row>
    <row r="625" spans="5:32" ht="42" customHeight="1">
      <c r="E625" s="84"/>
      <c r="F625" s="84"/>
      <c r="AE625" s="84"/>
      <c r="AF625" s="84"/>
    </row>
    <row r="626" spans="5:32" ht="42" customHeight="1">
      <c r="E626" s="84"/>
      <c r="F626" s="84"/>
      <c r="AE626" s="84"/>
      <c r="AF626" s="84"/>
    </row>
    <row r="627" spans="5:32" ht="42" customHeight="1">
      <c r="E627" s="84"/>
      <c r="F627" s="84"/>
      <c r="AE627" s="84"/>
      <c r="AF627" s="84"/>
    </row>
    <row r="628" spans="5:32" ht="42" customHeight="1">
      <c r="E628" s="84"/>
      <c r="F628" s="84"/>
      <c r="AE628" s="84"/>
      <c r="AF628" s="84"/>
    </row>
    <row r="629" spans="5:32" ht="42" customHeight="1">
      <c r="E629" s="84"/>
      <c r="F629" s="84"/>
      <c r="AE629" s="84"/>
      <c r="AF629" s="84"/>
    </row>
    <row r="630" spans="5:32" ht="42" customHeight="1">
      <c r="E630" s="84"/>
      <c r="F630" s="84"/>
      <c r="AE630" s="84"/>
      <c r="AF630" s="84"/>
    </row>
    <row r="631" spans="5:32" ht="42" customHeight="1">
      <c r="E631" s="84"/>
      <c r="F631" s="84"/>
      <c r="AE631" s="84"/>
      <c r="AF631" s="84"/>
    </row>
    <row r="632" spans="5:32" ht="42" customHeight="1">
      <c r="E632" s="84"/>
      <c r="F632" s="84"/>
      <c r="AE632" s="84"/>
      <c r="AF632" s="84"/>
    </row>
    <row r="633" spans="5:32" ht="42" customHeight="1">
      <c r="E633" s="84"/>
      <c r="F633" s="84"/>
      <c r="AE633" s="84"/>
      <c r="AF633" s="84"/>
    </row>
    <row r="634" spans="5:32" ht="42" customHeight="1">
      <c r="E634" s="84"/>
      <c r="F634" s="84"/>
      <c r="AE634" s="84"/>
      <c r="AF634" s="84"/>
    </row>
    <row r="635" spans="5:32" ht="42" customHeight="1">
      <c r="E635" s="84"/>
      <c r="F635" s="84"/>
      <c r="AE635" s="84"/>
      <c r="AF635" s="84"/>
    </row>
    <row r="636" spans="5:32" ht="42" customHeight="1">
      <c r="E636" s="84"/>
      <c r="F636" s="84"/>
      <c r="AE636" s="84"/>
      <c r="AF636" s="84"/>
    </row>
    <row r="637" spans="5:32" ht="42" customHeight="1">
      <c r="E637" s="84"/>
      <c r="F637" s="84"/>
      <c r="AE637" s="84"/>
      <c r="AF637" s="84"/>
    </row>
    <row r="638" spans="5:32" ht="42" customHeight="1">
      <c r="E638" s="84"/>
      <c r="F638" s="84"/>
      <c r="AE638" s="84"/>
      <c r="AF638" s="84"/>
    </row>
    <row r="639" spans="5:32" ht="42" customHeight="1">
      <c r="E639" s="84"/>
      <c r="F639" s="84"/>
      <c r="AE639" s="84"/>
      <c r="AF639" s="84"/>
    </row>
    <row r="640" spans="5:32" ht="42" customHeight="1">
      <c r="E640" s="84"/>
      <c r="F640" s="84"/>
      <c r="AE640" s="84"/>
      <c r="AF640" s="84"/>
    </row>
    <row r="641" spans="5:32" ht="42" customHeight="1">
      <c r="E641" s="84"/>
      <c r="F641" s="84"/>
      <c r="AE641" s="84"/>
      <c r="AF641" s="84"/>
    </row>
    <row r="642" spans="5:32" ht="42" customHeight="1">
      <c r="E642" s="84"/>
      <c r="F642" s="84"/>
      <c r="AE642" s="84"/>
      <c r="AF642" s="84"/>
    </row>
    <row r="643" spans="5:32" ht="42" customHeight="1">
      <c r="E643" s="84"/>
      <c r="F643" s="84"/>
      <c r="AE643" s="84"/>
      <c r="AF643" s="84"/>
    </row>
    <row r="644" spans="5:32" ht="42" customHeight="1">
      <c r="E644" s="84"/>
      <c r="F644" s="84"/>
      <c r="AE644" s="84"/>
      <c r="AF644" s="84"/>
    </row>
    <row r="645" spans="5:32" ht="42" customHeight="1">
      <c r="E645" s="84"/>
      <c r="F645" s="84"/>
      <c r="AE645" s="84"/>
      <c r="AF645" s="84"/>
    </row>
    <row r="646" spans="5:32" ht="42" customHeight="1">
      <c r="E646" s="84"/>
      <c r="F646" s="84"/>
      <c r="AE646" s="84"/>
      <c r="AF646" s="84"/>
    </row>
    <row r="647" spans="5:32" ht="42" customHeight="1">
      <c r="E647" s="84"/>
      <c r="F647" s="84"/>
      <c r="AE647" s="84"/>
      <c r="AF647" s="84"/>
    </row>
    <row r="648" spans="5:32" ht="42" customHeight="1">
      <c r="E648" s="84"/>
      <c r="F648" s="84"/>
      <c r="AE648" s="84"/>
      <c r="AF648" s="84"/>
    </row>
    <row r="649" spans="5:32" ht="42" customHeight="1">
      <c r="E649" s="84"/>
      <c r="F649" s="84"/>
      <c r="AE649" s="84"/>
      <c r="AF649" s="84"/>
    </row>
    <row r="650" spans="5:32" ht="42" customHeight="1">
      <c r="E650" s="84"/>
      <c r="F650" s="84"/>
      <c r="AE650" s="84"/>
      <c r="AF650" s="84"/>
    </row>
    <row r="651" spans="5:32" ht="42" customHeight="1">
      <c r="E651" s="84"/>
      <c r="F651" s="84"/>
      <c r="AE651" s="84"/>
      <c r="AF651" s="84"/>
    </row>
    <row r="652" spans="5:32" ht="42" customHeight="1">
      <c r="E652" s="84"/>
      <c r="F652" s="84"/>
      <c r="AE652" s="84"/>
      <c r="AF652" s="84"/>
    </row>
    <row r="653" spans="5:32" ht="42" customHeight="1">
      <c r="E653" s="84"/>
      <c r="F653" s="84"/>
      <c r="AE653" s="84"/>
      <c r="AF653" s="84"/>
    </row>
    <row r="654" spans="5:32" ht="42" customHeight="1">
      <c r="E654" s="84"/>
      <c r="F654" s="84"/>
      <c r="AE654" s="84"/>
      <c r="AF654" s="84"/>
    </row>
    <row r="655" spans="5:32" ht="42" customHeight="1">
      <c r="E655" s="84"/>
      <c r="F655" s="84"/>
      <c r="AE655" s="84"/>
      <c r="AF655" s="84"/>
    </row>
    <row r="656" spans="5:32" ht="42" customHeight="1">
      <c r="E656" s="84"/>
      <c r="F656" s="84"/>
      <c r="AE656" s="84"/>
      <c r="AF656" s="84"/>
    </row>
    <row r="657" spans="5:32" ht="42" customHeight="1">
      <c r="E657" s="84"/>
      <c r="F657" s="84"/>
      <c r="AE657" s="84"/>
      <c r="AF657" s="84"/>
    </row>
    <row r="658" spans="5:32" ht="42" customHeight="1">
      <c r="E658" s="84"/>
      <c r="F658" s="84"/>
      <c r="AE658" s="84"/>
      <c r="AF658" s="84"/>
    </row>
    <row r="659" spans="5:32" ht="42" customHeight="1">
      <c r="E659" s="84"/>
      <c r="F659" s="84"/>
      <c r="AE659" s="84"/>
      <c r="AF659" s="84"/>
    </row>
    <row r="660" spans="5:32" ht="42" customHeight="1">
      <c r="E660" s="84"/>
      <c r="F660" s="84"/>
      <c r="AE660" s="84"/>
      <c r="AF660" s="84"/>
    </row>
    <row r="661" spans="5:32" ht="42" customHeight="1">
      <c r="E661" s="84"/>
      <c r="F661" s="84"/>
      <c r="AE661" s="84"/>
      <c r="AF661" s="84"/>
    </row>
    <row r="662" spans="5:32" ht="42" customHeight="1">
      <c r="E662" s="84"/>
      <c r="F662" s="84"/>
      <c r="AE662" s="84"/>
      <c r="AF662" s="84"/>
    </row>
    <row r="663" spans="5:32" ht="42" customHeight="1">
      <c r="E663" s="84"/>
      <c r="F663" s="84"/>
      <c r="AE663" s="84"/>
      <c r="AF663" s="84"/>
    </row>
    <row r="664" spans="5:32" ht="42" customHeight="1">
      <c r="E664" s="84"/>
      <c r="F664" s="84"/>
      <c r="AE664" s="84"/>
      <c r="AF664" s="84"/>
    </row>
    <row r="665" spans="5:32" ht="42" customHeight="1">
      <c r="E665" s="84"/>
      <c r="F665" s="84"/>
      <c r="AE665" s="84"/>
      <c r="AF665" s="84"/>
    </row>
    <row r="666" spans="5:32" ht="42" customHeight="1">
      <c r="E666" s="84"/>
      <c r="F666" s="84"/>
      <c r="AE666" s="84"/>
      <c r="AF666" s="84"/>
    </row>
    <row r="667" spans="5:32" ht="42" customHeight="1">
      <c r="E667" s="84"/>
      <c r="F667" s="84"/>
      <c r="AE667" s="84"/>
      <c r="AF667" s="84"/>
    </row>
    <row r="668" spans="5:32" ht="42" customHeight="1">
      <c r="E668" s="84"/>
      <c r="F668" s="84"/>
      <c r="AE668" s="84"/>
      <c r="AF668" s="84"/>
    </row>
    <row r="669" spans="5:32" ht="42" customHeight="1">
      <c r="E669" s="84"/>
      <c r="F669" s="84"/>
      <c r="AE669" s="84"/>
      <c r="AF669" s="84"/>
    </row>
    <row r="670" spans="5:32" ht="42" customHeight="1">
      <c r="E670" s="84"/>
      <c r="F670" s="84"/>
      <c r="AE670" s="84"/>
      <c r="AF670" s="84"/>
    </row>
    <row r="671" spans="5:32" ht="42" customHeight="1">
      <c r="E671" s="84"/>
      <c r="F671" s="84"/>
      <c r="AE671" s="84"/>
      <c r="AF671" s="84"/>
    </row>
    <row r="672" spans="5:32" ht="42" customHeight="1">
      <c r="E672" s="84"/>
      <c r="F672" s="84"/>
      <c r="AE672" s="84"/>
      <c r="AF672" s="84"/>
    </row>
    <row r="673" spans="5:32" ht="42" customHeight="1">
      <c r="E673" s="84"/>
      <c r="F673" s="84"/>
      <c r="AE673" s="84"/>
      <c r="AF673" s="84"/>
    </row>
    <row r="674" spans="5:32" ht="42" customHeight="1">
      <c r="E674" s="84"/>
      <c r="F674" s="84"/>
      <c r="AE674" s="84"/>
      <c r="AF674" s="84"/>
    </row>
    <row r="675" spans="5:32" ht="42" customHeight="1">
      <c r="E675" s="84"/>
      <c r="F675" s="84"/>
      <c r="AE675" s="84"/>
      <c r="AF675" s="84"/>
    </row>
    <row r="676" spans="5:32" ht="42" customHeight="1">
      <c r="E676" s="84"/>
      <c r="F676" s="84"/>
      <c r="AE676" s="84"/>
      <c r="AF676" s="84"/>
    </row>
    <row r="677" spans="5:32" ht="42" customHeight="1">
      <c r="E677" s="84"/>
      <c r="F677" s="84"/>
      <c r="AE677" s="84"/>
      <c r="AF677" s="84"/>
    </row>
    <row r="678" spans="5:32" ht="42" customHeight="1">
      <c r="E678" s="84"/>
      <c r="F678" s="84"/>
      <c r="AE678" s="84"/>
      <c r="AF678" s="84"/>
    </row>
    <row r="679" spans="5:32" ht="42" customHeight="1">
      <c r="E679" s="84"/>
      <c r="F679" s="84"/>
      <c r="AE679" s="84"/>
      <c r="AF679" s="84"/>
    </row>
    <row r="680" spans="5:32" ht="42" customHeight="1">
      <c r="E680" s="84"/>
      <c r="F680" s="84"/>
      <c r="AE680" s="84"/>
      <c r="AF680" s="84"/>
    </row>
    <row r="681" spans="5:32" ht="42" customHeight="1">
      <c r="E681" s="84"/>
      <c r="F681" s="84"/>
      <c r="AE681" s="84"/>
      <c r="AF681" s="84"/>
    </row>
    <row r="682" spans="5:32" ht="42" customHeight="1">
      <c r="E682" s="84"/>
      <c r="F682" s="84"/>
      <c r="AE682" s="84"/>
      <c r="AF682" s="84"/>
    </row>
    <row r="683" spans="5:32" ht="42" customHeight="1">
      <c r="E683" s="84"/>
      <c r="F683" s="84"/>
      <c r="AE683" s="84"/>
      <c r="AF683" s="84"/>
    </row>
    <row r="684" spans="5:32" ht="42" customHeight="1">
      <c r="E684" s="84"/>
      <c r="F684" s="84"/>
      <c r="AE684" s="84"/>
      <c r="AF684" s="84"/>
    </row>
    <row r="685" spans="5:32" ht="42" customHeight="1">
      <c r="E685" s="84"/>
      <c r="F685" s="84"/>
      <c r="AE685" s="84"/>
      <c r="AF685" s="84"/>
    </row>
    <row r="686" spans="5:32" ht="42" customHeight="1">
      <c r="E686" s="84"/>
      <c r="F686" s="84"/>
      <c r="AE686" s="84"/>
      <c r="AF686" s="84"/>
    </row>
    <row r="687" spans="5:32" ht="42" customHeight="1">
      <c r="E687" s="84"/>
      <c r="F687" s="84"/>
      <c r="AE687" s="84"/>
      <c r="AF687" s="84"/>
    </row>
    <row r="688" spans="5:32" ht="42" customHeight="1">
      <c r="E688" s="84"/>
      <c r="F688" s="84"/>
      <c r="AE688" s="84"/>
      <c r="AF688" s="84"/>
    </row>
    <row r="689" spans="5:32" ht="42" customHeight="1">
      <c r="E689" s="84"/>
      <c r="F689" s="84"/>
      <c r="AE689" s="84"/>
      <c r="AF689" s="84"/>
    </row>
    <row r="690" spans="5:32" ht="42" customHeight="1">
      <c r="E690" s="84"/>
      <c r="F690" s="84"/>
      <c r="AE690" s="84"/>
      <c r="AF690" s="84"/>
    </row>
    <row r="691" spans="5:32" ht="42" customHeight="1">
      <c r="E691" s="84"/>
      <c r="F691" s="84"/>
      <c r="AE691" s="84"/>
      <c r="AF691" s="84"/>
    </row>
    <row r="692" spans="5:32" ht="42" customHeight="1">
      <c r="E692" s="84"/>
      <c r="F692" s="84"/>
      <c r="AE692" s="84"/>
      <c r="AF692" s="84"/>
    </row>
    <row r="693" spans="5:32" ht="42" customHeight="1">
      <c r="E693" s="84"/>
      <c r="F693" s="84"/>
      <c r="AE693" s="84"/>
      <c r="AF693" s="84"/>
    </row>
    <row r="694" spans="5:32" ht="42" customHeight="1">
      <c r="E694" s="84"/>
      <c r="F694" s="84"/>
      <c r="AE694" s="84"/>
      <c r="AF694" s="84"/>
    </row>
    <row r="695" spans="5:32" ht="42" customHeight="1">
      <c r="E695" s="84"/>
      <c r="F695" s="84"/>
      <c r="AE695" s="84"/>
      <c r="AF695" s="84"/>
    </row>
    <row r="696" spans="5:32" ht="42" customHeight="1">
      <c r="E696" s="84"/>
      <c r="F696" s="84"/>
      <c r="AE696" s="84"/>
      <c r="AF696" s="84"/>
    </row>
    <row r="697" spans="5:32" ht="42" customHeight="1">
      <c r="E697" s="84"/>
      <c r="F697" s="84"/>
      <c r="AE697" s="84"/>
      <c r="AF697" s="84"/>
    </row>
    <row r="698" spans="5:32" ht="42" customHeight="1">
      <c r="E698" s="84"/>
      <c r="F698" s="84"/>
      <c r="AE698" s="84"/>
      <c r="AF698" s="84"/>
    </row>
    <row r="699" spans="5:32" ht="42" customHeight="1">
      <c r="E699" s="84"/>
      <c r="F699" s="84"/>
      <c r="AE699" s="84"/>
      <c r="AF699" s="84"/>
    </row>
    <row r="700" spans="5:32" ht="42" customHeight="1">
      <c r="E700" s="84"/>
      <c r="F700" s="84"/>
      <c r="AE700" s="84"/>
      <c r="AF700" s="84"/>
    </row>
    <row r="701" spans="5:32" ht="42" customHeight="1">
      <c r="E701" s="84"/>
      <c r="F701" s="84"/>
      <c r="AE701" s="84"/>
      <c r="AF701" s="84"/>
    </row>
    <row r="702" spans="5:32" ht="42" customHeight="1">
      <c r="E702" s="84"/>
      <c r="F702" s="84"/>
      <c r="AE702" s="84"/>
      <c r="AF702" s="84"/>
    </row>
    <row r="703" spans="5:32" ht="42" customHeight="1">
      <c r="E703" s="84"/>
      <c r="F703" s="84"/>
      <c r="AE703" s="84"/>
      <c r="AF703" s="84"/>
    </row>
    <row r="704" spans="5:32" ht="42" customHeight="1">
      <c r="E704" s="84"/>
      <c r="F704" s="84"/>
      <c r="AE704" s="84"/>
      <c r="AF704" s="84"/>
    </row>
    <row r="705" spans="5:32" ht="42" customHeight="1">
      <c r="E705" s="84"/>
      <c r="F705" s="84"/>
      <c r="AE705" s="84"/>
      <c r="AF705" s="84"/>
    </row>
    <row r="706" spans="5:32" ht="42" customHeight="1">
      <c r="E706" s="84"/>
      <c r="F706" s="84"/>
      <c r="AE706" s="84"/>
      <c r="AF706" s="84"/>
    </row>
    <row r="707" spans="5:32" ht="42" customHeight="1">
      <c r="E707" s="84"/>
      <c r="F707" s="84"/>
      <c r="AE707" s="84"/>
      <c r="AF707" s="84"/>
    </row>
    <row r="708" spans="5:32" ht="42" customHeight="1">
      <c r="E708" s="84"/>
      <c r="F708" s="84"/>
      <c r="AE708" s="84"/>
      <c r="AF708" s="84"/>
    </row>
    <row r="709" spans="5:32" ht="42" customHeight="1">
      <c r="E709" s="84"/>
      <c r="F709" s="84"/>
      <c r="AE709" s="84"/>
      <c r="AF709" s="84"/>
    </row>
    <row r="710" spans="5:32" ht="42" customHeight="1">
      <c r="E710" s="84"/>
      <c r="F710" s="84"/>
      <c r="AE710" s="84"/>
      <c r="AF710" s="84"/>
    </row>
    <row r="711" spans="5:32" ht="42" customHeight="1">
      <c r="E711" s="84"/>
      <c r="F711" s="84"/>
      <c r="AE711" s="84"/>
      <c r="AF711" s="84"/>
    </row>
    <row r="712" spans="5:32" ht="42" customHeight="1">
      <c r="E712" s="84"/>
      <c r="F712" s="84"/>
      <c r="AE712" s="84"/>
      <c r="AF712" s="84"/>
    </row>
    <row r="713" spans="5:32" ht="42" customHeight="1">
      <c r="E713" s="84"/>
      <c r="F713" s="84"/>
      <c r="AE713" s="84"/>
      <c r="AF713" s="84"/>
    </row>
    <row r="714" spans="5:32" ht="42" customHeight="1">
      <c r="E714" s="84"/>
      <c r="F714" s="84"/>
      <c r="AE714" s="84"/>
      <c r="AF714" s="84"/>
    </row>
    <row r="715" spans="5:32" ht="42" customHeight="1">
      <c r="E715" s="84"/>
      <c r="F715" s="84"/>
      <c r="AE715" s="84"/>
      <c r="AF715" s="84"/>
    </row>
    <row r="716" spans="5:32" ht="42" customHeight="1">
      <c r="E716" s="84"/>
      <c r="F716" s="84"/>
      <c r="AE716" s="84"/>
      <c r="AF716" s="84"/>
    </row>
    <row r="717" spans="5:32" ht="42" customHeight="1">
      <c r="E717" s="84"/>
      <c r="F717" s="84"/>
      <c r="AE717" s="84"/>
      <c r="AF717" s="84"/>
    </row>
    <row r="718" spans="5:32" ht="42" customHeight="1">
      <c r="E718" s="84"/>
      <c r="F718" s="84"/>
      <c r="AE718" s="84"/>
      <c r="AF718" s="84"/>
    </row>
    <row r="719" spans="5:32" ht="42" customHeight="1">
      <c r="E719" s="84"/>
      <c r="F719" s="84"/>
      <c r="AE719" s="84"/>
      <c r="AF719" s="84"/>
    </row>
    <row r="720" spans="5:32" ht="42" customHeight="1">
      <c r="E720" s="84"/>
      <c r="F720" s="84"/>
      <c r="AE720" s="84"/>
      <c r="AF720" s="84"/>
    </row>
    <row r="721" spans="5:32" ht="42" customHeight="1">
      <c r="E721" s="84"/>
      <c r="F721" s="84"/>
      <c r="AE721" s="84"/>
      <c r="AF721" s="84"/>
    </row>
    <row r="722" spans="5:32" ht="42" customHeight="1">
      <c r="E722" s="84"/>
      <c r="F722" s="84"/>
      <c r="AE722" s="84"/>
      <c r="AF722" s="84"/>
    </row>
    <row r="723" spans="5:32" ht="42" customHeight="1">
      <c r="E723" s="84"/>
      <c r="F723" s="84"/>
      <c r="AE723" s="84"/>
      <c r="AF723" s="84"/>
    </row>
    <row r="724" spans="5:32" ht="42" customHeight="1">
      <c r="E724" s="84"/>
      <c r="F724" s="84"/>
      <c r="AE724" s="84"/>
      <c r="AF724" s="84"/>
    </row>
    <row r="725" spans="5:32" ht="42" customHeight="1">
      <c r="E725" s="84"/>
      <c r="F725" s="84"/>
      <c r="AE725" s="84"/>
      <c r="AF725" s="84"/>
    </row>
    <row r="726" spans="5:32" ht="42" customHeight="1">
      <c r="E726" s="84"/>
      <c r="F726" s="84"/>
      <c r="AE726" s="84"/>
      <c r="AF726" s="84"/>
    </row>
    <row r="727" spans="5:32" ht="42" customHeight="1">
      <c r="E727" s="84"/>
      <c r="F727" s="84"/>
      <c r="AE727" s="84"/>
      <c r="AF727" s="84"/>
    </row>
    <row r="728" spans="5:32" ht="42" customHeight="1">
      <c r="E728" s="84"/>
      <c r="F728" s="84"/>
      <c r="AE728" s="84"/>
      <c r="AF728" s="84"/>
    </row>
    <row r="729" spans="5:32" ht="42" customHeight="1">
      <c r="E729" s="84"/>
      <c r="F729" s="84"/>
      <c r="AE729" s="84"/>
      <c r="AF729" s="84"/>
    </row>
    <row r="730" spans="5:32" ht="42" customHeight="1">
      <c r="E730" s="84"/>
      <c r="F730" s="84"/>
      <c r="AE730" s="84"/>
      <c r="AF730" s="84"/>
    </row>
    <row r="731" spans="5:32" ht="42" customHeight="1">
      <c r="E731" s="84"/>
      <c r="F731" s="84"/>
      <c r="AE731" s="84"/>
      <c r="AF731" s="84"/>
    </row>
    <row r="732" spans="5:32" ht="42" customHeight="1">
      <c r="E732" s="84"/>
      <c r="F732" s="84"/>
      <c r="AE732" s="84"/>
      <c r="AF732" s="84"/>
    </row>
    <row r="733" spans="5:32" ht="42" customHeight="1">
      <c r="E733" s="84"/>
      <c r="F733" s="84"/>
      <c r="AE733" s="84"/>
      <c r="AF733" s="84"/>
    </row>
    <row r="734" spans="5:32" ht="42" customHeight="1">
      <c r="E734" s="84"/>
      <c r="F734" s="84"/>
      <c r="AE734" s="84"/>
      <c r="AF734" s="84"/>
    </row>
    <row r="735" spans="5:32" ht="42" customHeight="1">
      <c r="E735" s="84"/>
      <c r="F735" s="84"/>
      <c r="AE735" s="84"/>
      <c r="AF735" s="84"/>
    </row>
    <row r="736" spans="5:32" ht="42" customHeight="1">
      <c r="E736" s="84"/>
      <c r="F736" s="84"/>
      <c r="AE736" s="84"/>
      <c r="AF736" s="84"/>
    </row>
    <row r="737" spans="5:32" ht="42" customHeight="1">
      <c r="E737" s="84"/>
      <c r="F737" s="84"/>
      <c r="AE737" s="84"/>
      <c r="AF737" s="84"/>
    </row>
    <row r="738" spans="5:32" ht="42" customHeight="1">
      <c r="E738" s="84"/>
      <c r="F738" s="84"/>
      <c r="AE738" s="84"/>
      <c r="AF738" s="84"/>
    </row>
    <row r="739" spans="5:32" ht="42" customHeight="1">
      <c r="E739" s="84"/>
      <c r="F739" s="84"/>
      <c r="AE739" s="84"/>
      <c r="AF739" s="84"/>
    </row>
    <row r="740" spans="5:32" ht="42" customHeight="1">
      <c r="E740" s="84"/>
      <c r="F740" s="84"/>
      <c r="AE740" s="84"/>
      <c r="AF740" s="84"/>
    </row>
    <row r="741" spans="5:32" ht="42" customHeight="1">
      <c r="E741" s="84"/>
      <c r="F741" s="84"/>
      <c r="AE741" s="84"/>
      <c r="AF741" s="84"/>
    </row>
    <row r="742" spans="5:32" ht="42" customHeight="1">
      <c r="E742" s="84"/>
      <c r="F742" s="84"/>
      <c r="AE742" s="84"/>
      <c r="AF742" s="84"/>
    </row>
    <row r="743" spans="5:32" ht="42" customHeight="1">
      <c r="E743" s="84"/>
      <c r="F743" s="84"/>
      <c r="AE743" s="84"/>
      <c r="AF743" s="84"/>
    </row>
    <row r="744" spans="5:32" ht="42" customHeight="1">
      <c r="E744" s="84"/>
      <c r="F744" s="84"/>
      <c r="AE744" s="84"/>
      <c r="AF744" s="84"/>
    </row>
    <row r="745" spans="5:32" ht="42" customHeight="1">
      <c r="E745" s="84"/>
      <c r="F745" s="84"/>
      <c r="AE745" s="84"/>
      <c r="AF745" s="84"/>
    </row>
    <row r="746" spans="5:32" ht="42" customHeight="1">
      <c r="E746" s="84"/>
      <c r="F746" s="84"/>
      <c r="AE746" s="84"/>
      <c r="AF746" s="84"/>
    </row>
    <row r="747" spans="5:32" ht="42" customHeight="1">
      <c r="E747" s="84"/>
      <c r="F747" s="84"/>
      <c r="AE747" s="84"/>
      <c r="AF747" s="84"/>
    </row>
    <row r="748" spans="5:32" ht="42" customHeight="1">
      <c r="E748" s="84"/>
      <c r="F748" s="84"/>
      <c r="AE748" s="84"/>
      <c r="AF748" s="84"/>
    </row>
    <row r="749" spans="5:32" ht="42" customHeight="1">
      <c r="E749" s="84"/>
      <c r="F749" s="84"/>
      <c r="AE749" s="84"/>
      <c r="AF749" s="84"/>
    </row>
    <row r="750" spans="5:32" ht="42" customHeight="1">
      <c r="E750" s="84"/>
      <c r="F750" s="84"/>
      <c r="AE750" s="84"/>
      <c r="AF750" s="84"/>
    </row>
    <row r="751" spans="5:32" ht="42" customHeight="1">
      <c r="E751" s="84"/>
      <c r="F751" s="84"/>
      <c r="AE751" s="84"/>
      <c r="AF751" s="84"/>
    </row>
    <row r="752" spans="5:32" ht="42" customHeight="1">
      <c r="E752" s="84"/>
      <c r="F752" s="84"/>
      <c r="AE752" s="84"/>
      <c r="AF752" s="84"/>
    </row>
    <row r="753" spans="5:32" ht="42" customHeight="1">
      <c r="E753" s="84"/>
      <c r="F753" s="84"/>
      <c r="AE753" s="84"/>
      <c r="AF753" s="84"/>
    </row>
    <row r="754" spans="5:32" ht="42" customHeight="1">
      <c r="E754" s="84"/>
      <c r="F754" s="84"/>
      <c r="AE754" s="84"/>
      <c r="AF754" s="84"/>
    </row>
    <row r="755" spans="5:32" ht="42" customHeight="1">
      <c r="E755" s="84"/>
      <c r="F755" s="84"/>
      <c r="AE755" s="84"/>
      <c r="AF755" s="84"/>
    </row>
    <row r="756" spans="5:32" ht="42" customHeight="1">
      <c r="E756" s="84"/>
      <c r="F756" s="84"/>
      <c r="AE756" s="84"/>
      <c r="AF756" s="84"/>
    </row>
    <row r="757" spans="5:32" ht="42" customHeight="1">
      <c r="E757" s="84"/>
      <c r="F757" s="84"/>
      <c r="AE757" s="84"/>
      <c r="AF757" s="84"/>
    </row>
    <row r="758" spans="5:32" ht="42" customHeight="1">
      <c r="E758" s="84"/>
      <c r="F758" s="84"/>
      <c r="AE758" s="84"/>
      <c r="AF758" s="84"/>
    </row>
    <row r="759" spans="5:32" ht="42" customHeight="1">
      <c r="E759" s="84"/>
      <c r="F759" s="84"/>
      <c r="AE759" s="84"/>
      <c r="AF759" s="84"/>
    </row>
    <row r="760" spans="5:32" ht="42" customHeight="1">
      <c r="E760" s="84"/>
      <c r="F760" s="84"/>
      <c r="AE760" s="84"/>
      <c r="AF760" s="84"/>
    </row>
    <row r="761" spans="5:32" ht="42" customHeight="1">
      <c r="E761" s="84"/>
      <c r="F761" s="84"/>
      <c r="AE761" s="84"/>
      <c r="AF761" s="84"/>
    </row>
    <row r="762" spans="5:32" ht="42" customHeight="1">
      <c r="E762" s="84"/>
      <c r="F762" s="84"/>
      <c r="AE762" s="84"/>
      <c r="AF762" s="84"/>
    </row>
    <row r="763" spans="5:32" ht="42" customHeight="1">
      <c r="E763" s="84"/>
      <c r="F763" s="84"/>
      <c r="AE763" s="84"/>
      <c r="AF763" s="84"/>
    </row>
    <row r="764" spans="5:32" ht="42" customHeight="1">
      <c r="E764" s="84"/>
      <c r="F764" s="84"/>
      <c r="AE764" s="84"/>
      <c r="AF764" s="84"/>
    </row>
    <row r="765" spans="5:32" ht="42" customHeight="1">
      <c r="E765" s="84"/>
      <c r="F765" s="84"/>
      <c r="AE765" s="84"/>
      <c r="AF765" s="84"/>
    </row>
    <row r="766" spans="5:32" ht="42" customHeight="1">
      <c r="E766" s="84"/>
      <c r="F766" s="84"/>
      <c r="AE766" s="84"/>
      <c r="AF766" s="84"/>
    </row>
    <row r="767" spans="5:32" ht="42" customHeight="1">
      <c r="E767" s="84"/>
      <c r="F767" s="84"/>
      <c r="AE767" s="84"/>
      <c r="AF767" s="84"/>
    </row>
    <row r="768" spans="5:32" ht="42" customHeight="1">
      <c r="E768" s="84"/>
      <c r="F768" s="84"/>
      <c r="AE768" s="84"/>
      <c r="AF768" s="84"/>
    </row>
    <row r="769" spans="5:32" ht="42" customHeight="1">
      <c r="E769" s="84"/>
      <c r="F769" s="84"/>
      <c r="AE769" s="84"/>
      <c r="AF769" s="84"/>
    </row>
    <row r="770" spans="5:32" ht="42" customHeight="1">
      <c r="E770" s="84"/>
      <c r="F770" s="84"/>
      <c r="AE770" s="84"/>
      <c r="AF770" s="84"/>
    </row>
    <row r="771" spans="5:32" ht="42" customHeight="1">
      <c r="E771" s="84"/>
      <c r="F771" s="84"/>
      <c r="AE771" s="84"/>
      <c r="AF771" s="84"/>
    </row>
    <row r="772" spans="5:32" ht="42" customHeight="1">
      <c r="E772" s="84"/>
      <c r="F772" s="84"/>
      <c r="AE772" s="84"/>
      <c r="AF772" s="84"/>
    </row>
    <row r="773" spans="5:32" ht="42" customHeight="1">
      <c r="E773" s="84"/>
      <c r="F773" s="84"/>
      <c r="AE773" s="84"/>
      <c r="AF773" s="84"/>
    </row>
    <row r="774" spans="5:32" ht="42" customHeight="1">
      <c r="E774" s="84"/>
      <c r="F774" s="84"/>
      <c r="AE774" s="84"/>
      <c r="AF774" s="84"/>
    </row>
    <row r="775" spans="5:32" ht="42" customHeight="1">
      <c r="E775" s="84"/>
      <c r="F775" s="84"/>
      <c r="AE775" s="84"/>
      <c r="AF775" s="84"/>
    </row>
    <row r="776" spans="5:32" ht="42" customHeight="1">
      <c r="E776" s="84"/>
      <c r="F776" s="84"/>
      <c r="AE776" s="84"/>
      <c r="AF776" s="84"/>
    </row>
    <row r="777" spans="5:32" ht="42" customHeight="1">
      <c r="E777" s="84"/>
      <c r="F777" s="84"/>
      <c r="AE777" s="84"/>
      <c r="AF777" s="84"/>
    </row>
    <row r="778" spans="5:32" ht="42" customHeight="1">
      <c r="E778" s="84"/>
      <c r="F778" s="84"/>
      <c r="AE778" s="84"/>
      <c r="AF778" s="84"/>
    </row>
    <row r="779" spans="5:32" ht="42" customHeight="1">
      <c r="E779" s="84"/>
      <c r="F779" s="84"/>
      <c r="AE779" s="84"/>
      <c r="AF779" s="84"/>
    </row>
    <row r="780" spans="5:32" ht="42" customHeight="1">
      <c r="E780" s="84"/>
      <c r="F780" s="84"/>
      <c r="AE780" s="84"/>
      <c r="AF780" s="84"/>
    </row>
    <row r="781" spans="5:32" ht="42" customHeight="1">
      <c r="E781" s="84"/>
      <c r="F781" s="84"/>
      <c r="AE781" s="84"/>
      <c r="AF781" s="84"/>
    </row>
    <row r="782" spans="5:32" ht="42" customHeight="1">
      <c r="E782" s="84"/>
      <c r="F782" s="84"/>
      <c r="AE782" s="84"/>
      <c r="AF782" s="84"/>
    </row>
    <row r="783" spans="5:32" ht="42" customHeight="1">
      <c r="E783" s="84"/>
      <c r="F783" s="84"/>
      <c r="AE783" s="84"/>
      <c r="AF783" s="84"/>
    </row>
    <row r="784" spans="5:32" ht="42" customHeight="1">
      <c r="E784" s="84"/>
      <c r="F784" s="84"/>
      <c r="AE784" s="84"/>
      <c r="AF784" s="84"/>
    </row>
    <row r="785" spans="5:32" ht="42" customHeight="1">
      <c r="E785" s="84"/>
      <c r="F785" s="84"/>
      <c r="AE785" s="84"/>
      <c r="AF785" s="84"/>
    </row>
    <row r="786" spans="5:32" ht="42" customHeight="1">
      <c r="E786" s="84"/>
      <c r="F786" s="84"/>
      <c r="AE786" s="84"/>
      <c r="AF786" s="84"/>
    </row>
    <row r="787" spans="5:32" ht="42" customHeight="1">
      <c r="E787" s="84"/>
      <c r="F787" s="84"/>
      <c r="AE787" s="84"/>
      <c r="AF787" s="84"/>
    </row>
    <row r="788" spans="5:32" ht="42" customHeight="1">
      <c r="E788" s="84"/>
      <c r="F788" s="84"/>
      <c r="AE788" s="84"/>
      <c r="AF788" s="84"/>
    </row>
    <row r="789" spans="5:32" ht="42" customHeight="1">
      <c r="E789" s="84"/>
      <c r="F789" s="84"/>
      <c r="AE789" s="84"/>
      <c r="AF789" s="84"/>
    </row>
    <row r="790" spans="5:32" ht="42" customHeight="1">
      <c r="E790" s="84"/>
      <c r="F790" s="84"/>
      <c r="AE790" s="84"/>
      <c r="AF790" s="84"/>
    </row>
    <row r="791" spans="5:32" ht="42" customHeight="1">
      <c r="E791" s="84"/>
      <c r="F791" s="84"/>
      <c r="AE791" s="84"/>
      <c r="AF791" s="84"/>
    </row>
    <row r="792" spans="5:32" ht="42" customHeight="1">
      <c r="E792" s="84"/>
      <c r="F792" s="84"/>
      <c r="AE792" s="84"/>
      <c r="AF792" s="84"/>
    </row>
    <row r="793" spans="5:32" ht="42" customHeight="1">
      <c r="E793" s="84"/>
      <c r="F793" s="84"/>
      <c r="AE793" s="84"/>
      <c r="AF793" s="84"/>
    </row>
    <row r="794" spans="5:32" ht="42" customHeight="1">
      <c r="E794" s="84"/>
      <c r="F794" s="84"/>
      <c r="AE794" s="84"/>
      <c r="AF794" s="84"/>
    </row>
    <row r="795" spans="5:32" ht="42" customHeight="1">
      <c r="E795" s="84"/>
      <c r="F795" s="84"/>
      <c r="AE795" s="84"/>
      <c r="AF795" s="84"/>
    </row>
    <row r="796" spans="5:32" ht="42" customHeight="1">
      <c r="E796" s="84"/>
      <c r="F796" s="84"/>
      <c r="AE796" s="84"/>
      <c r="AF796" s="84"/>
    </row>
    <row r="797" spans="5:32" ht="42" customHeight="1">
      <c r="E797" s="84"/>
      <c r="F797" s="84"/>
      <c r="AE797" s="84"/>
      <c r="AF797" s="84"/>
    </row>
    <row r="798" spans="5:32" ht="42" customHeight="1">
      <c r="E798" s="84"/>
      <c r="F798" s="84"/>
      <c r="AE798" s="84"/>
      <c r="AF798" s="84"/>
    </row>
    <row r="799" spans="5:32" ht="42" customHeight="1">
      <c r="E799" s="84"/>
      <c r="F799" s="84"/>
      <c r="AE799" s="84"/>
      <c r="AF799" s="84"/>
    </row>
    <row r="800" spans="5:32" ht="42" customHeight="1">
      <c r="E800" s="84"/>
      <c r="F800" s="84"/>
      <c r="AE800" s="84"/>
      <c r="AF800" s="84"/>
    </row>
    <row r="801" spans="5:32" ht="42" customHeight="1">
      <c r="E801" s="84"/>
      <c r="F801" s="84"/>
      <c r="AE801" s="84"/>
      <c r="AF801" s="84"/>
    </row>
    <row r="802" spans="5:32" ht="42" customHeight="1">
      <c r="E802" s="84"/>
      <c r="F802" s="84"/>
      <c r="AE802" s="84"/>
      <c r="AF802" s="84"/>
    </row>
    <row r="803" spans="5:32" ht="42" customHeight="1">
      <c r="E803" s="84"/>
      <c r="F803" s="84"/>
      <c r="AE803" s="84"/>
      <c r="AF803" s="84"/>
    </row>
    <row r="804" spans="5:32" ht="42" customHeight="1">
      <c r="E804" s="84"/>
      <c r="F804" s="84"/>
      <c r="AE804" s="84"/>
      <c r="AF804" s="84"/>
    </row>
    <row r="805" spans="5:32" ht="42" customHeight="1">
      <c r="E805" s="84"/>
      <c r="F805" s="84"/>
      <c r="AE805" s="84"/>
      <c r="AF805" s="84"/>
    </row>
    <row r="806" spans="5:32" ht="42" customHeight="1">
      <c r="E806" s="84"/>
      <c r="F806" s="84"/>
      <c r="AE806" s="84"/>
      <c r="AF806" s="84"/>
    </row>
    <row r="807" spans="5:32" ht="42" customHeight="1">
      <c r="E807" s="84"/>
      <c r="F807" s="84"/>
      <c r="AE807" s="84"/>
      <c r="AF807" s="84"/>
    </row>
    <row r="808" spans="5:32" ht="42" customHeight="1">
      <c r="E808" s="84"/>
      <c r="F808" s="84"/>
      <c r="AE808" s="84"/>
      <c r="AF808" s="84"/>
    </row>
    <row r="809" spans="5:32" ht="42" customHeight="1">
      <c r="E809" s="84"/>
      <c r="F809" s="84"/>
      <c r="AE809" s="84"/>
      <c r="AF809" s="84"/>
    </row>
    <row r="810" spans="5:32" ht="42" customHeight="1">
      <c r="E810" s="84"/>
      <c r="F810" s="84"/>
      <c r="AE810" s="84"/>
      <c r="AF810" s="84"/>
    </row>
    <row r="811" spans="5:32" ht="42" customHeight="1">
      <c r="E811" s="84"/>
      <c r="F811" s="84"/>
      <c r="AE811" s="84"/>
      <c r="AF811" s="84"/>
    </row>
    <row r="812" spans="5:32" ht="42" customHeight="1">
      <c r="E812" s="84"/>
      <c r="F812" s="84"/>
      <c r="AE812" s="84"/>
      <c r="AF812" s="84"/>
    </row>
    <row r="813" spans="5:32" ht="42" customHeight="1">
      <c r="E813" s="84"/>
      <c r="F813" s="84"/>
      <c r="AE813" s="84"/>
      <c r="AF813" s="84"/>
    </row>
    <row r="814" spans="5:32" ht="42" customHeight="1">
      <c r="E814" s="84"/>
      <c r="F814" s="84"/>
      <c r="AE814" s="84"/>
      <c r="AF814" s="84"/>
    </row>
    <row r="815" spans="5:32" ht="42" customHeight="1">
      <c r="E815" s="84"/>
      <c r="F815" s="84"/>
      <c r="AE815" s="84"/>
      <c r="AF815" s="84"/>
    </row>
    <row r="816" spans="5:32" ht="42" customHeight="1">
      <c r="E816" s="84"/>
      <c r="F816" s="84"/>
      <c r="AE816" s="84"/>
      <c r="AF816" s="84"/>
    </row>
    <row r="817" spans="5:32" ht="42" customHeight="1">
      <c r="E817" s="84"/>
      <c r="F817" s="84"/>
      <c r="AE817" s="84"/>
      <c r="AF817" s="84"/>
    </row>
    <row r="818" spans="5:32" ht="42" customHeight="1">
      <c r="E818" s="84"/>
      <c r="F818" s="84"/>
      <c r="AE818" s="84"/>
      <c r="AF818" s="84"/>
    </row>
    <row r="819" spans="5:32" ht="42" customHeight="1">
      <c r="E819" s="84"/>
      <c r="F819" s="84"/>
      <c r="AE819" s="84"/>
      <c r="AF819" s="84"/>
    </row>
    <row r="820" spans="5:32" ht="42" customHeight="1">
      <c r="E820" s="84"/>
      <c r="F820" s="84"/>
      <c r="AE820" s="84"/>
      <c r="AF820" s="84"/>
    </row>
    <row r="821" spans="5:32" ht="42" customHeight="1">
      <c r="E821" s="84"/>
      <c r="F821" s="84"/>
      <c r="AE821" s="84"/>
      <c r="AF821" s="84"/>
    </row>
    <row r="822" spans="5:32" ht="42" customHeight="1">
      <c r="E822" s="84"/>
      <c r="F822" s="84"/>
      <c r="AE822" s="84"/>
      <c r="AF822" s="84"/>
    </row>
    <row r="823" spans="5:32" ht="42" customHeight="1">
      <c r="E823" s="84"/>
      <c r="F823" s="84"/>
      <c r="AE823" s="84"/>
      <c r="AF823" s="84"/>
    </row>
    <row r="824" spans="5:32" ht="42" customHeight="1">
      <c r="E824" s="84"/>
      <c r="F824" s="84"/>
      <c r="AE824" s="84"/>
      <c r="AF824" s="84"/>
    </row>
    <row r="825" spans="5:32" ht="42" customHeight="1">
      <c r="E825" s="84"/>
      <c r="F825" s="84"/>
      <c r="AE825" s="84"/>
      <c r="AF825" s="84"/>
    </row>
    <row r="826" spans="5:32" ht="42" customHeight="1">
      <c r="E826" s="84"/>
      <c r="F826" s="84"/>
      <c r="AE826" s="84"/>
      <c r="AF826" s="84"/>
    </row>
    <row r="827" spans="5:32" ht="42" customHeight="1">
      <c r="E827" s="84"/>
      <c r="F827" s="84"/>
      <c r="AE827" s="84"/>
      <c r="AF827" s="84"/>
    </row>
    <row r="828" spans="5:32" ht="42" customHeight="1">
      <c r="E828" s="84"/>
      <c r="F828" s="84"/>
      <c r="AE828" s="84"/>
      <c r="AF828" s="84"/>
    </row>
    <row r="829" spans="5:32" ht="42" customHeight="1">
      <c r="E829" s="84"/>
      <c r="F829" s="84"/>
      <c r="AE829" s="84"/>
      <c r="AF829" s="84"/>
    </row>
    <row r="830" spans="5:32" ht="42" customHeight="1">
      <c r="E830" s="84"/>
      <c r="F830" s="84"/>
      <c r="AE830" s="84"/>
      <c r="AF830" s="84"/>
    </row>
    <row r="831" spans="5:32" ht="42" customHeight="1">
      <c r="E831" s="84"/>
      <c r="F831" s="84"/>
      <c r="AE831" s="84"/>
      <c r="AF831" s="84"/>
    </row>
    <row r="832" spans="5:32" ht="42" customHeight="1">
      <c r="E832" s="84"/>
      <c r="F832" s="84"/>
      <c r="AE832" s="84"/>
      <c r="AF832" s="84"/>
    </row>
    <row r="833" spans="5:32" ht="42" customHeight="1">
      <c r="E833" s="84"/>
      <c r="F833" s="84"/>
      <c r="AE833" s="84"/>
      <c r="AF833" s="84"/>
    </row>
    <row r="834" spans="5:32" ht="42" customHeight="1">
      <c r="E834" s="84"/>
      <c r="F834" s="84"/>
      <c r="AE834" s="84"/>
      <c r="AF834" s="84"/>
    </row>
    <row r="835" spans="5:32" ht="42" customHeight="1">
      <c r="E835" s="84"/>
      <c r="F835" s="84"/>
      <c r="AE835" s="84"/>
      <c r="AF835" s="84"/>
    </row>
    <row r="836" spans="5:32" ht="42" customHeight="1">
      <c r="E836" s="84"/>
      <c r="F836" s="84"/>
      <c r="AE836" s="84"/>
      <c r="AF836" s="84"/>
    </row>
    <row r="837" spans="5:32" ht="42" customHeight="1">
      <c r="E837" s="84"/>
      <c r="F837" s="84"/>
      <c r="AE837" s="84"/>
      <c r="AF837" s="84"/>
    </row>
    <row r="838" spans="5:32" ht="42" customHeight="1">
      <c r="E838" s="84"/>
      <c r="F838" s="84"/>
      <c r="AE838" s="84"/>
      <c r="AF838" s="84"/>
    </row>
    <row r="839" spans="5:32" ht="42" customHeight="1">
      <c r="E839" s="84"/>
      <c r="F839" s="84"/>
      <c r="AE839" s="84"/>
      <c r="AF839" s="84"/>
    </row>
    <row r="840" spans="5:32" ht="42" customHeight="1">
      <c r="E840" s="84"/>
      <c r="F840" s="84"/>
      <c r="AE840" s="84"/>
      <c r="AF840" s="84"/>
    </row>
    <row r="841" spans="5:32" ht="42" customHeight="1">
      <c r="E841" s="84"/>
      <c r="F841" s="84"/>
      <c r="AE841" s="84"/>
      <c r="AF841" s="84"/>
    </row>
    <row r="842" spans="5:32" ht="42" customHeight="1">
      <c r="E842" s="84"/>
      <c r="F842" s="84"/>
      <c r="AE842" s="84"/>
      <c r="AF842" s="84"/>
    </row>
    <row r="843" spans="5:32" ht="42" customHeight="1">
      <c r="E843" s="84"/>
      <c r="F843" s="84"/>
      <c r="AE843" s="84"/>
      <c r="AF843" s="84"/>
    </row>
    <row r="844" spans="5:32" ht="42" customHeight="1">
      <c r="E844" s="84"/>
      <c r="F844" s="84"/>
      <c r="AE844" s="84"/>
      <c r="AF844" s="84"/>
    </row>
    <row r="845" spans="5:32" ht="42" customHeight="1">
      <c r="E845" s="84"/>
      <c r="F845" s="84"/>
      <c r="AE845" s="84"/>
      <c r="AF845" s="84"/>
    </row>
    <row r="846" spans="5:32" ht="42" customHeight="1">
      <c r="E846" s="84"/>
      <c r="F846" s="84"/>
      <c r="AE846" s="84"/>
      <c r="AF846" s="84"/>
    </row>
    <row r="847" spans="5:32" ht="42" customHeight="1">
      <c r="E847" s="84"/>
      <c r="F847" s="84"/>
      <c r="AE847" s="84"/>
      <c r="AF847" s="84"/>
    </row>
    <row r="848" spans="5:32" ht="42" customHeight="1">
      <c r="E848" s="84"/>
      <c r="F848" s="84"/>
      <c r="AE848" s="84"/>
      <c r="AF848" s="84"/>
    </row>
    <row r="849" spans="5:32" ht="42" customHeight="1">
      <c r="E849" s="84"/>
      <c r="F849" s="84"/>
      <c r="AE849" s="84"/>
      <c r="AF849" s="84"/>
    </row>
    <row r="850" spans="5:32" ht="42" customHeight="1">
      <c r="E850" s="84"/>
      <c r="F850" s="84"/>
      <c r="AE850" s="84"/>
      <c r="AF850" s="84"/>
    </row>
    <row r="851" spans="5:32" ht="42" customHeight="1">
      <c r="E851" s="84"/>
      <c r="F851" s="84"/>
      <c r="AE851" s="84"/>
      <c r="AF851" s="84"/>
    </row>
    <row r="852" spans="5:32" ht="42" customHeight="1">
      <c r="E852" s="84"/>
      <c r="F852" s="84"/>
      <c r="AE852" s="84"/>
      <c r="AF852" s="84"/>
    </row>
    <row r="853" spans="5:32" ht="42" customHeight="1">
      <c r="E853" s="84"/>
      <c r="F853" s="84"/>
      <c r="AE853" s="84"/>
      <c r="AF853" s="84"/>
    </row>
    <row r="854" spans="5:32" ht="42" customHeight="1">
      <c r="E854" s="84"/>
      <c r="F854" s="84"/>
      <c r="AE854" s="84"/>
      <c r="AF854" s="84"/>
    </row>
    <row r="855" spans="5:32" ht="42" customHeight="1">
      <c r="E855" s="84"/>
      <c r="F855" s="84"/>
      <c r="AE855" s="84"/>
      <c r="AF855" s="84"/>
    </row>
    <row r="856" spans="5:32" ht="42" customHeight="1">
      <c r="E856" s="84"/>
      <c r="F856" s="84"/>
      <c r="AE856" s="84"/>
      <c r="AF856" s="84"/>
    </row>
    <row r="857" spans="5:32" ht="42" customHeight="1">
      <c r="E857" s="84"/>
      <c r="F857" s="84"/>
      <c r="AE857" s="84"/>
      <c r="AF857" s="84"/>
    </row>
    <row r="858" spans="5:32" ht="42" customHeight="1">
      <c r="E858" s="84"/>
      <c r="F858" s="84"/>
      <c r="AE858" s="84"/>
      <c r="AF858" s="84"/>
    </row>
    <row r="859" spans="5:32" ht="42" customHeight="1">
      <c r="E859" s="84"/>
      <c r="F859" s="84"/>
      <c r="AE859" s="84"/>
      <c r="AF859" s="84"/>
    </row>
    <row r="860" spans="5:32" ht="42" customHeight="1">
      <c r="E860" s="84"/>
      <c r="F860" s="84"/>
      <c r="AE860" s="84"/>
      <c r="AF860" s="84"/>
    </row>
    <row r="861" spans="5:32" ht="42" customHeight="1">
      <c r="E861" s="84"/>
      <c r="F861" s="84"/>
      <c r="AE861" s="84"/>
      <c r="AF861" s="84"/>
    </row>
    <row r="862" spans="5:32" ht="42" customHeight="1">
      <c r="E862" s="84"/>
      <c r="F862" s="84"/>
      <c r="AE862" s="84"/>
      <c r="AF862" s="84"/>
    </row>
    <row r="863" spans="5:32" ht="42" customHeight="1">
      <c r="E863" s="84"/>
      <c r="F863" s="84"/>
      <c r="AE863" s="84"/>
      <c r="AF863" s="84"/>
    </row>
    <row r="864" spans="5:32" ht="42" customHeight="1">
      <c r="E864" s="84"/>
      <c r="F864" s="84"/>
      <c r="AE864" s="84"/>
      <c r="AF864" s="84"/>
    </row>
    <row r="865" spans="5:32" ht="42" customHeight="1">
      <c r="E865" s="84"/>
      <c r="F865" s="84"/>
      <c r="AE865" s="84"/>
      <c r="AF865" s="84"/>
    </row>
    <row r="866" spans="5:32" ht="42" customHeight="1">
      <c r="E866" s="84"/>
      <c r="F866" s="84"/>
      <c r="AE866" s="84"/>
      <c r="AF866" s="84"/>
    </row>
    <row r="867" spans="5:32" ht="42" customHeight="1">
      <c r="E867" s="84"/>
      <c r="F867" s="84"/>
      <c r="AE867" s="84"/>
      <c r="AF867" s="84"/>
    </row>
    <row r="868" spans="5:32" ht="42" customHeight="1">
      <c r="E868" s="84"/>
      <c r="F868" s="84"/>
      <c r="AE868" s="84"/>
      <c r="AF868" s="84"/>
    </row>
    <row r="869" spans="5:32" ht="42" customHeight="1">
      <c r="E869" s="84"/>
      <c r="F869" s="84"/>
      <c r="AE869" s="84"/>
      <c r="AF869" s="84"/>
    </row>
    <row r="870" spans="5:32" ht="42" customHeight="1">
      <c r="E870" s="84"/>
      <c r="F870" s="84"/>
      <c r="AE870" s="84"/>
      <c r="AF870" s="84"/>
    </row>
    <row r="871" spans="5:32" ht="42" customHeight="1">
      <c r="E871" s="84"/>
      <c r="F871" s="84"/>
      <c r="AE871" s="84"/>
      <c r="AF871" s="84"/>
    </row>
    <row r="872" spans="5:32" ht="42" customHeight="1">
      <c r="E872" s="84"/>
      <c r="F872" s="84"/>
      <c r="AE872" s="84"/>
      <c r="AF872" s="84"/>
    </row>
    <row r="873" spans="5:32" ht="42" customHeight="1">
      <c r="E873" s="84"/>
      <c r="F873" s="84"/>
      <c r="AE873" s="84"/>
      <c r="AF873" s="84"/>
    </row>
    <row r="874" spans="5:32" ht="42" customHeight="1">
      <c r="E874" s="84"/>
      <c r="F874" s="84"/>
      <c r="AE874" s="84"/>
      <c r="AF874" s="84"/>
    </row>
    <row r="875" spans="5:32" ht="42" customHeight="1">
      <c r="E875" s="84"/>
      <c r="F875" s="84"/>
      <c r="AE875" s="84"/>
      <c r="AF875" s="84"/>
    </row>
    <row r="876" spans="5:32" ht="42" customHeight="1">
      <c r="E876" s="84"/>
      <c r="F876" s="84"/>
      <c r="AE876" s="84"/>
      <c r="AF876" s="84"/>
    </row>
    <row r="877" spans="5:32" ht="42" customHeight="1">
      <c r="E877" s="84"/>
      <c r="F877" s="84"/>
      <c r="AE877" s="84"/>
      <c r="AF877" s="84"/>
    </row>
    <row r="878" spans="5:32" ht="42" customHeight="1">
      <c r="E878" s="84"/>
      <c r="F878" s="84"/>
      <c r="AE878" s="84"/>
      <c r="AF878" s="84"/>
    </row>
    <row r="879" spans="5:32" ht="42" customHeight="1">
      <c r="E879" s="84"/>
      <c r="F879" s="84"/>
      <c r="AE879" s="84"/>
      <c r="AF879" s="84"/>
    </row>
    <row r="880" spans="5:32" ht="42" customHeight="1">
      <c r="E880" s="84"/>
      <c r="F880" s="84"/>
      <c r="AE880" s="84"/>
      <c r="AF880" s="84"/>
    </row>
    <row r="881" spans="5:32" ht="42" customHeight="1">
      <c r="E881" s="84"/>
      <c r="F881" s="84"/>
      <c r="AE881" s="84"/>
      <c r="AF881" s="84"/>
    </row>
    <row r="882" spans="5:32" ht="42" customHeight="1">
      <c r="E882" s="84"/>
      <c r="F882" s="84"/>
      <c r="AE882" s="84"/>
      <c r="AF882" s="84"/>
    </row>
    <row r="883" spans="5:32" ht="42" customHeight="1">
      <c r="E883" s="84"/>
      <c r="F883" s="84"/>
      <c r="AE883" s="84"/>
      <c r="AF883" s="84"/>
    </row>
    <row r="884" spans="5:32" ht="42" customHeight="1">
      <c r="E884" s="84"/>
      <c r="F884" s="84"/>
      <c r="AE884" s="84"/>
      <c r="AF884" s="84"/>
    </row>
    <row r="885" spans="5:32" ht="42" customHeight="1">
      <c r="E885" s="84"/>
      <c r="F885" s="84"/>
      <c r="AE885" s="84"/>
      <c r="AF885" s="84"/>
    </row>
    <row r="886" spans="5:32" ht="42" customHeight="1">
      <c r="E886" s="84"/>
      <c r="F886" s="84"/>
      <c r="AE886" s="84"/>
      <c r="AF886" s="84"/>
    </row>
    <row r="887" spans="5:32" ht="42" customHeight="1">
      <c r="E887" s="84"/>
      <c r="F887" s="84"/>
      <c r="AE887" s="84"/>
      <c r="AF887" s="84"/>
    </row>
    <row r="888" spans="5:32" ht="42" customHeight="1">
      <c r="E888" s="84"/>
      <c r="F888" s="84"/>
      <c r="AE888" s="84"/>
      <c r="AF888" s="84"/>
    </row>
    <row r="889" spans="5:32" ht="42" customHeight="1">
      <c r="E889" s="84"/>
      <c r="F889" s="84"/>
      <c r="AE889" s="84"/>
      <c r="AF889" s="84"/>
    </row>
    <row r="890" spans="5:32" ht="42" customHeight="1">
      <c r="E890" s="84"/>
      <c r="F890" s="84"/>
      <c r="AE890" s="84"/>
      <c r="AF890" s="84"/>
    </row>
    <row r="891" spans="5:32" ht="42" customHeight="1">
      <c r="E891" s="84"/>
      <c r="F891" s="84"/>
      <c r="AE891" s="84"/>
      <c r="AF891" s="84"/>
    </row>
    <row r="892" spans="5:32" ht="42" customHeight="1">
      <c r="E892" s="84"/>
      <c r="F892" s="84"/>
      <c r="AE892" s="84"/>
      <c r="AF892" s="84"/>
    </row>
    <row r="893" spans="5:32" ht="42" customHeight="1">
      <c r="E893" s="84"/>
      <c r="F893" s="84"/>
      <c r="AE893" s="84"/>
      <c r="AF893" s="84"/>
    </row>
    <row r="894" spans="5:32" ht="42" customHeight="1">
      <c r="E894" s="84"/>
      <c r="F894" s="84"/>
      <c r="AE894" s="84"/>
      <c r="AF894" s="84"/>
    </row>
    <row r="895" spans="5:32" ht="42" customHeight="1">
      <c r="E895" s="84"/>
      <c r="F895" s="84"/>
      <c r="AE895" s="84"/>
      <c r="AF895" s="84"/>
    </row>
    <row r="896" spans="5:32" ht="42" customHeight="1">
      <c r="E896" s="84"/>
      <c r="F896" s="84"/>
      <c r="AE896" s="84"/>
      <c r="AF896" s="84"/>
    </row>
    <row r="897" spans="5:32" ht="42" customHeight="1">
      <c r="E897" s="84"/>
      <c r="F897" s="84"/>
      <c r="AE897" s="84"/>
      <c r="AF897" s="84"/>
    </row>
    <row r="898" spans="5:32" ht="42" customHeight="1">
      <c r="E898" s="84"/>
      <c r="F898" s="84"/>
      <c r="AE898" s="84"/>
      <c r="AF898" s="84"/>
    </row>
    <row r="899" spans="5:32" ht="42" customHeight="1">
      <c r="E899" s="84"/>
      <c r="F899" s="84"/>
      <c r="AE899" s="84"/>
      <c r="AF899" s="84"/>
    </row>
    <row r="900" spans="5:32" ht="42" customHeight="1">
      <c r="E900" s="84"/>
      <c r="F900" s="84"/>
      <c r="AE900" s="84"/>
      <c r="AF900" s="84"/>
    </row>
    <row r="901" spans="5:32" ht="42" customHeight="1">
      <c r="E901" s="84"/>
      <c r="F901" s="84"/>
      <c r="AE901" s="84"/>
      <c r="AF901" s="84"/>
    </row>
    <row r="902" spans="5:32" ht="42" customHeight="1">
      <c r="E902" s="84"/>
      <c r="F902" s="84"/>
      <c r="AE902" s="84"/>
      <c r="AF902" s="84"/>
    </row>
    <row r="903" spans="5:32" ht="42" customHeight="1">
      <c r="E903" s="84"/>
      <c r="F903" s="84"/>
      <c r="AE903" s="84"/>
      <c r="AF903" s="84"/>
    </row>
    <row r="904" spans="5:32" ht="42" customHeight="1">
      <c r="E904" s="84"/>
      <c r="F904" s="84"/>
      <c r="AE904" s="84"/>
      <c r="AF904" s="84"/>
    </row>
    <row r="905" spans="5:32" ht="42" customHeight="1">
      <c r="E905" s="84"/>
      <c r="F905" s="84"/>
      <c r="AE905" s="84"/>
      <c r="AF905" s="84"/>
    </row>
    <row r="906" spans="5:32" ht="42" customHeight="1">
      <c r="E906" s="84"/>
      <c r="F906" s="84"/>
      <c r="AE906" s="84"/>
      <c r="AF906" s="84"/>
    </row>
    <row r="907" spans="5:32" ht="42" customHeight="1">
      <c r="E907" s="84"/>
      <c r="F907" s="84"/>
      <c r="AE907" s="84"/>
      <c r="AF907" s="84"/>
    </row>
    <row r="908" spans="5:32" ht="42" customHeight="1">
      <c r="E908" s="84"/>
      <c r="F908" s="84"/>
      <c r="AE908" s="84"/>
      <c r="AF908" s="84"/>
    </row>
    <row r="909" spans="5:32" ht="42" customHeight="1">
      <c r="E909" s="84"/>
      <c r="F909" s="84"/>
      <c r="AE909" s="84"/>
      <c r="AF909" s="84"/>
    </row>
    <row r="910" spans="5:32" ht="42" customHeight="1">
      <c r="E910" s="84"/>
      <c r="F910" s="84"/>
      <c r="AE910" s="84"/>
      <c r="AF910" s="84"/>
    </row>
    <row r="911" spans="5:32" ht="42" customHeight="1">
      <c r="E911" s="84"/>
      <c r="F911" s="84"/>
      <c r="AE911" s="84"/>
      <c r="AF911" s="84"/>
    </row>
    <row r="912" spans="5:32" ht="42" customHeight="1">
      <c r="E912" s="84"/>
      <c r="F912" s="84"/>
      <c r="AE912" s="84"/>
      <c r="AF912" s="84"/>
    </row>
    <row r="913" spans="5:32" ht="42" customHeight="1">
      <c r="E913" s="84"/>
      <c r="F913" s="84"/>
      <c r="AE913" s="84"/>
      <c r="AF913" s="84"/>
    </row>
    <row r="914" spans="5:32" ht="42" customHeight="1">
      <c r="E914" s="84"/>
      <c r="F914" s="84"/>
      <c r="AE914" s="84"/>
      <c r="AF914" s="84"/>
    </row>
    <row r="915" spans="5:32" ht="42" customHeight="1">
      <c r="E915" s="84"/>
      <c r="F915" s="84"/>
      <c r="AE915" s="84"/>
      <c r="AF915" s="84"/>
    </row>
    <row r="916" spans="5:32" ht="42" customHeight="1">
      <c r="E916" s="84"/>
      <c r="F916" s="84"/>
      <c r="AE916" s="84"/>
      <c r="AF916" s="84"/>
    </row>
    <row r="917" spans="5:32" ht="42" customHeight="1">
      <c r="E917" s="84"/>
      <c r="F917" s="84"/>
      <c r="AE917" s="84"/>
      <c r="AF917" s="84"/>
    </row>
    <row r="918" spans="5:32" ht="42" customHeight="1">
      <c r="E918" s="84"/>
      <c r="F918" s="84"/>
      <c r="AE918" s="84"/>
      <c r="AF918" s="84"/>
    </row>
    <row r="919" spans="5:32" ht="42" customHeight="1">
      <c r="E919" s="84"/>
      <c r="F919" s="84"/>
      <c r="AE919" s="84"/>
      <c r="AF919" s="84"/>
    </row>
    <row r="920" spans="5:32" ht="42" customHeight="1">
      <c r="E920" s="84"/>
      <c r="F920" s="84"/>
      <c r="AE920" s="84"/>
      <c r="AF920" s="84"/>
    </row>
    <row r="921" spans="5:32" ht="42" customHeight="1">
      <c r="E921" s="84"/>
      <c r="F921" s="84"/>
      <c r="AE921" s="84"/>
      <c r="AF921" s="84"/>
    </row>
    <row r="922" spans="5:32" ht="42" customHeight="1">
      <c r="E922" s="84"/>
      <c r="F922" s="84"/>
      <c r="AE922" s="84"/>
      <c r="AF922" s="84"/>
    </row>
    <row r="923" spans="5:32" ht="42" customHeight="1">
      <c r="E923" s="84"/>
      <c r="F923" s="84"/>
      <c r="AE923" s="84"/>
      <c r="AF923" s="84"/>
    </row>
    <row r="924" spans="5:32" ht="42" customHeight="1">
      <c r="E924" s="84"/>
      <c r="F924" s="84"/>
      <c r="AE924" s="84"/>
      <c r="AF924" s="84"/>
    </row>
    <row r="925" spans="5:32" ht="42" customHeight="1">
      <c r="E925" s="84"/>
      <c r="F925" s="84"/>
      <c r="AE925" s="84"/>
      <c r="AF925" s="84"/>
    </row>
    <row r="926" spans="5:32" ht="42" customHeight="1">
      <c r="E926" s="84"/>
      <c r="F926" s="84"/>
      <c r="AE926" s="84"/>
      <c r="AF926" s="84"/>
    </row>
    <row r="927" spans="5:32" ht="42" customHeight="1">
      <c r="E927" s="84"/>
      <c r="F927" s="84"/>
      <c r="AE927" s="84"/>
      <c r="AF927" s="84"/>
    </row>
    <row r="928" spans="5:32" ht="42" customHeight="1">
      <c r="E928" s="84"/>
      <c r="F928" s="84"/>
      <c r="AE928" s="84"/>
      <c r="AF928" s="84"/>
    </row>
    <row r="929" spans="5:32" ht="42" customHeight="1">
      <c r="E929" s="84"/>
      <c r="F929" s="84"/>
      <c r="AE929" s="84"/>
      <c r="AF929" s="84"/>
    </row>
    <row r="930" spans="5:32" ht="42" customHeight="1">
      <c r="E930" s="84"/>
      <c r="F930" s="84"/>
      <c r="AE930" s="84"/>
      <c r="AF930" s="84"/>
    </row>
    <row r="931" spans="5:32" ht="42" customHeight="1">
      <c r="E931" s="84"/>
      <c r="F931" s="84"/>
      <c r="AE931" s="84"/>
      <c r="AF931" s="84"/>
    </row>
    <row r="932" spans="5:32" ht="42" customHeight="1">
      <c r="E932" s="84"/>
      <c r="F932" s="84"/>
      <c r="AE932" s="84"/>
      <c r="AF932" s="84"/>
    </row>
    <row r="933" spans="5:32" ht="42" customHeight="1">
      <c r="E933" s="84"/>
      <c r="F933" s="84"/>
      <c r="AE933" s="84"/>
      <c r="AF933" s="84"/>
    </row>
    <row r="934" spans="5:32" ht="42" customHeight="1">
      <c r="E934" s="84"/>
      <c r="F934" s="84"/>
      <c r="AE934" s="84"/>
      <c r="AF934" s="84"/>
    </row>
    <row r="935" spans="5:32" ht="42" customHeight="1">
      <c r="E935" s="84"/>
      <c r="F935" s="84"/>
      <c r="AE935" s="84"/>
      <c r="AF935" s="84"/>
    </row>
    <row r="936" spans="5:32" ht="42" customHeight="1">
      <c r="E936" s="84"/>
      <c r="F936" s="84"/>
      <c r="AE936" s="84"/>
      <c r="AF936" s="84"/>
    </row>
    <row r="937" spans="5:32" ht="42" customHeight="1">
      <c r="E937" s="84"/>
      <c r="F937" s="84"/>
      <c r="AE937" s="84"/>
      <c r="AF937" s="84"/>
    </row>
    <row r="938" spans="5:32" ht="42" customHeight="1">
      <c r="E938" s="84"/>
      <c r="F938" s="84"/>
      <c r="AE938" s="84"/>
      <c r="AF938" s="84"/>
    </row>
    <row r="939" spans="5:32" ht="42" customHeight="1">
      <c r="E939" s="84"/>
      <c r="F939" s="84"/>
      <c r="AE939" s="84"/>
      <c r="AF939" s="84"/>
    </row>
    <row r="940" spans="5:32" ht="42" customHeight="1">
      <c r="E940" s="84"/>
      <c r="F940" s="84"/>
      <c r="AE940" s="84"/>
      <c r="AF940" s="84"/>
    </row>
    <row r="941" spans="5:32" ht="42" customHeight="1">
      <c r="E941" s="84"/>
      <c r="F941" s="84"/>
      <c r="AE941" s="84"/>
      <c r="AF941" s="84"/>
    </row>
    <row r="942" spans="5:32" ht="42" customHeight="1">
      <c r="E942" s="84"/>
      <c r="F942" s="84"/>
      <c r="AE942" s="84"/>
      <c r="AF942" s="84"/>
    </row>
    <row r="943" spans="5:32" ht="42" customHeight="1">
      <c r="E943" s="84"/>
      <c r="F943" s="84"/>
      <c r="AE943" s="84"/>
      <c r="AF943" s="84"/>
    </row>
    <row r="944" spans="5:32" ht="42" customHeight="1">
      <c r="E944" s="84"/>
      <c r="F944" s="84"/>
      <c r="AE944" s="84"/>
      <c r="AF944" s="84"/>
    </row>
    <row r="945" spans="5:32" ht="42" customHeight="1">
      <c r="E945" s="84"/>
      <c r="F945" s="84"/>
      <c r="AE945" s="84"/>
      <c r="AF945" s="84"/>
    </row>
    <row r="946" spans="5:32" ht="42" customHeight="1">
      <c r="E946" s="84"/>
      <c r="F946" s="84"/>
      <c r="AE946" s="84"/>
      <c r="AF946" s="84"/>
    </row>
    <row r="947" spans="5:32" ht="42" customHeight="1">
      <c r="E947" s="84"/>
      <c r="F947" s="84"/>
      <c r="AE947" s="84"/>
      <c r="AF947" s="84"/>
    </row>
    <row r="948" spans="5:32" ht="42" customHeight="1">
      <c r="E948" s="84"/>
      <c r="F948" s="84"/>
      <c r="AE948" s="84"/>
      <c r="AF948" s="84"/>
    </row>
    <row r="949" spans="5:32" ht="42" customHeight="1">
      <c r="E949" s="84"/>
      <c r="F949" s="84"/>
      <c r="AE949" s="84"/>
      <c r="AF949" s="84"/>
    </row>
    <row r="950" spans="5:32" ht="42" customHeight="1">
      <c r="E950" s="84"/>
      <c r="F950" s="84"/>
      <c r="AE950" s="84"/>
      <c r="AF950" s="84"/>
    </row>
    <row r="951" spans="5:32" ht="42" customHeight="1">
      <c r="E951" s="84"/>
      <c r="F951" s="84"/>
      <c r="AE951" s="84"/>
      <c r="AF951" s="84"/>
    </row>
    <row r="952" spans="5:32" ht="42" customHeight="1">
      <c r="E952" s="84"/>
      <c r="F952" s="84"/>
      <c r="AE952" s="84"/>
      <c r="AF952" s="84"/>
    </row>
    <row r="953" spans="5:32" ht="42" customHeight="1">
      <c r="E953" s="84"/>
      <c r="F953" s="84"/>
      <c r="AE953" s="84"/>
      <c r="AF953" s="84"/>
    </row>
    <row r="954" spans="5:32" ht="42" customHeight="1">
      <c r="E954" s="84"/>
      <c r="F954" s="84"/>
      <c r="AE954" s="84"/>
      <c r="AF954" s="84"/>
    </row>
    <row r="955" spans="5:32" ht="42" customHeight="1">
      <c r="E955" s="84"/>
      <c r="F955" s="84"/>
      <c r="AE955" s="84"/>
      <c r="AF955" s="84"/>
    </row>
    <row r="956" spans="5:32" ht="42" customHeight="1">
      <c r="E956" s="84"/>
      <c r="F956" s="84"/>
      <c r="AE956" s="84"/>
      <c r="AF956" s="84"/>
    </row>
    <row r="957" spans="5:32" ht="42" customHeight="1">
      <c r="E957" s="84"/>
      <c r="F957" s="84"/>
      <c r="AE957" s="84"/>
      <c r="AF957" s="84"/>
    </row>
    <row r="958" spans="5:32" ht="42" customHeight="1">
      <c r="E958" s="84"/>
      <c r="F958" s="84"/>
      <c r="AE958" s="84"/>
      <c r="AF958" s="84"/>
    </row>
    <row r="959" spans="5:32" ht="42" customHeight="1">
      <c r="E959" s="84"/>
      <c r="F959" s="84"/>
      <c r="AE959" s="84"/>
      <c r="AF959" s="84"/>
    </row>
    <row r="960" spans="5:32" ht="42" customHeight="1">
      <c r="E960" s="84"/>
      <c r="F960" s="84"/>
      <c r="AE960" s="84"/>
      <c r="AF960" s="84"/>
    </row>
    <row r="961" spans="5:32" ht="42" customHeight="1">
      <c r="E961" s="84"/>
      <c r="F961" s="84"/>
      <c r="AE961" s="84"/>
      <c r="AF961" s="84"/>
    </row>
    <row r="962" spans="5:32" ht="42" customHeight="1">
      <c r="E962" s="84"/>
      <c r="F962" s="84"/>
      <c r="AE962" s="84"/>
      <c r="AF962" s="84"/>
    </row>
    <row r="963" spans="5:32" ht="42" customHeight="1">
      <c r="E963" s="84"/>
      <c r="F963" s="84"/>
      <c r="AE963" s="84"/>
      <c r="AF963" s="84"/>
    </row>
    <row r="964" spans="5:32" ht="42" customHeight="1">
      <c r="E964" s="84"/>
      <c r="F964" s="84"/>
      <c r="AE964" s="84"/>
      <c r="AF964" s="84"/>
    </row>
    <row r="965" spans="5:32" ht="42" customHeight="1">
      <c r="E965" s="84"/>
      <c r="F965" s="84"/>
      <c r="AE965" s="84"/>
      <c r="AF965" s="84"/>
    </row>
    <row r="966" spans="5:32" ht="42" customHeight="1">
      <c r="E966" s="84"/>
      <c r="F966" s="84"/>
      <c r="AE966" s="84"/>
      <c r="AF966" s="84"/>
    </row>
    <row r="967" spans="5:32" ht="42" customHeight="1">
      <c r="E967" s="84"/>
      <c r="F967" s="84"/>
      <c r="AE967" s="84"/>
      <c r="AF967" s="84"/>
    </row>
    <row r="968" spans="5:32" ht="42" customHeight="1">
      <c r="E968" s="84"/>
      <c r="F968" s="84"/>
      <c r="AE968" s="84"/>
      <c r="AF968" s="84"/>
    </row>
    <row r="969" spans="5:32" ht="42" customHeight="1">
      <c r="E969" s="84"/>
      <c r="F969" s="84"/>
      <c r="AE969" s="84"/>
      <c r="AF969" s="84"/>
    </row>
    <row r="970" spans="5:32" ht="42" customHeight="1">
      <c r="E970" s="84"/>
      <c r="F970" s="84"/>
      <c r="AE970" s="84"/>
      <c r="AF970" s="84"/>
    </row>
    <row r="971" spans="5:32" ht="42" customHeight="1">
      <c r="E971" s="84"/>
      <c r="F971" s="84"/>
      <c r="AE971" s="84"/>
      <c r="AF971" s="84"/>
    </row>
    <row r="972" spans="5:32" ht="42" customHeight="1">
      <c r="E972" s="84"/>
      <c r="F972" s="84"/>
      <c r="AE972" s="84"/>
      <c r="AF972" s="84"/>
    </row>
    <row r="973" spans="5:32" ht="42" customHeight="1">
      <c r="E973" s="84"/>
      <c r="F973" s="84"/>
      <c r="AE973" s="84"/>
      <c r="AF973" s="84"/>
    </row>
    <row r="974" spans="5:32" ht="42" customHeight="1">
      <c r="E974" s="84"/>
      <c r="F974" s="84"/>
      <c r="AE974" s="84"/>
      <c r="AF974" s="84"/>
    </row>
    <row r="975" spans="5:32" ht="42" customHeight="1">
      <c r="E975" s="84"/>
      <c r="F975" s="84"/>
      <c r="AE975" s="84"/>
      <c r="AF975" s="84"/>
    </row>
    <row r="976" spans="5:32" ht="42" customHeight="1">
      <c r="E976" s="84"/>
      <c r="F976" s="84"/>
      <c r="AE976" s="84"/>
      <c r="AF976" s="84"/>
    </row>
    <row r="977" spans="5:32" ht="42" customHeight="1">
      <c r="E977" s="84"/>
      <c r="F977" s="84"/>
      <c r="AE977" s="84"/>
      <c r="AF977" s="84"/>
    </row>
    <row r="978" spans="5:32" ht="42" customHeight="1">
      <c r="E978" s="84"/>
      <c r="F978" s="84"/>
      <c r="AE978" s="84"/>
      <c r="AF978" s="84"/>
    </row>
    <row r="979" spans="5:32" ht="42" customHeight="1">
      <c r="E979" s="84"/>
      <c r="F979" s="84"/>
      <c r="AE979" s="84"/>
      <c r="AF979" s="84"/>
    </row>
    <row r="980" spans="5:32" ht="42" customHeight="1">
      <c r="E980" s="84"/>
      <c r="F980" s="84"/>
      <c r="AE980" s="84"/>
      <c r="AF980" s="84"/>
    </row>
    <row r="981" spans="5:32" ht="42" customHeight="1">
      <c r="E981" s="84"/>
      <c r="F981" s="84"/>
      <c r="AE981" s="84"/>
      <c r="AF981" s="84"/>
    </row>
    <row r="982" spans="5:32" ht="42" customHeight="1">
      <c r="E982" s="84"/>
      <c r="F982" s="84"/>
      <c r="AE982" s="84"/>
      <c r="AF982" s="84"/>
    </row>
    <row r="983" spans="5:32" ht="42" customHeight="1">
      <c r="E983" s="84"/>
      <c r="F983" s="84"/>
      <c r="AE983" s="84"/>
      <c r="AF983" s="84"/>
    </row>
    <row r="984" spans="5:32" ht="42" customHeight="1">
      <c r="E984" s="84"/>
      <c r="F984" s="84"/>
      <c r="AE984" s="84"/>
      <c r="AF984" s="84"/>
    </row>
    <row r="985" spans="5:32" ht="42" customHeight="1">
      <c r="E985" s="84"/>
      <c r="F985" s="84"/>
      <c r="AE985" s="84"/>
      <c r="AF985" s="84"/>
    </row>
    <row r="986" spans="5:32" ht="42" customHeight="1">
      <c r="E986" s="84"/>
      <c r="F986" s="84"/>
      <c r="AE986" s="84"/>
      <c r="AF986" s="84"/>
    </row>
    <row r="987" spans="5:32" ht="42" customHeight="1">
      <c r="E987" s="84"/>
      <c r="F987" s="84"/>
      <c r="AE987" s="84"/>
      <c r="AF987" s="84"/>
    </row>
    <row r="988" spans="5:32" ht="42" customHeight="1">
      <c r="E988" s="84"/>
      <c r="F988" s="84"/>
      <c r="AE988" s="84"/>
      <c r="AF988" s="84"/>
    </row>
    <row r="989" spans="5:32" ht="42" customHeight="1">
      <c r="E989" s="84"/>
      <c r="F989" s="84"/>
      <c r="AE989" s="84"/>
      <c r="AF989" s="84"/>
    </row>
    <row r="990" spans="5:32" ht="42" customHeight="1">
      <c r="E990" s="84"/>
      <c r="F990" s="84"/>
      <c r="AE990" s="84"/>
      <c r="AF990" s="84"/>
    </row>
    <row r="991" spans="5:32" ht="42" customHeight="1">
      <c r="E991" s="84"/>
      <c r="F991" s="84"/>
      <c r="AE991" s="84"/>
      <c r="AF991" s="84"/>
    </row>
    <row r="992" spans="5:32" ht="42" customHeight="1">
      <c r="E992" s="84"/>
      <c r="F992" s="84"/>
      <c r="AE992" s="84"/>
      <c r="AF992" s="84"/>
    </row>
    <row r="993" spans="5:32" ht="42" customHeight="1">
      <c r="E993" s="84"/>
      <c r="F993" s="84"/>
      <c r="AE993" s="84"/>
      <c r="AF993" s="84"/>
    </row>
    <row r="994" spans="5:32" ht="42" customHeight="1">
      <c r="E994" s="84"/>
      <c r="F994" s="84"/>
      <c r="AE994" s="84"/>
      <c r="AF994" s="84"/>
    </row>
    <row r="995" spans="5:32" ht="42" customHeight="1">
      <c r="E995" s="84"/>
      <c r="F995" s="84"/>
      <c r="AE995" s="84"/>
      <c r="AF995" s="84"/>
    </row>
    <row r="996" spans="5:32" ht="42" customHeight="1">
      <c r="E996" s="84"/>
      <c r="F996" s="84"/>
      <c r="AE996" s="84"/>
      <c r="AF996" s="84"/>
    </row>
    <row r="997" spans="5:32" ht="42" customHeight="1">
      <c r="E997" s="84"/>
      <c r="F997" s="84"/>
      <c r="AE997" s="84"/>
      <c r="AF997" s="84"/>
    </row>
    <row r="998" spans="5:32" ht="42" customHeight="1">
      <c r="E998" s="84"/>
      <c r="F998" s="84"/>
      <c r="AE998" s="84"/>
      <c r="AF998" s="84"/>
    </row>
    <row r="999" spans="5:32" ht="42" customHeight="1">
      <c r="E999" s="84"/>
      <c r="F999" s="84"/>
      <c r="AE999" s="84"/>
      <c r="AF999" s="84"/>
    </row>
    <row r="1000" spans="5:32" ht="42" customHeight="1">
      <c r="E1000" s="84"/>
      <c r="F1000" s="84"/>
      <c r="AE1000" s="84"/>
      <c r="AF1000" s="84"/>
    </row>
    <row r="1001" spans="5:32" ht="42" customHeight="1">
      <c r="E1001" s="84"/>
      <c r="F1001" s="84"/>
      <c r="AE1001" s="84"/>
      <c r="AF1001" s="84"/>
    </row>
    <row r="1002" spans="5:32" ht="42" customHeight="1">
      <c r="E1002" s="84"/>
      <c r="F1002" s="84"/>
      <c r="AE1002" s="84"/>
      <c r="AF1002" s="84"/>
    </row>
    <row r="1003" spans="5:32" ht="42" customHeight="1">
      <c r="E1003" s="84"/>
      <c r="F1003" s="84"/>
      <c r="AE1003" s="84"/>
      <c r="AF1003" s="84"/>
    </row>
    <row r="1004" spans="5:32" ht="42" customHeight="1">
      <c r="E1004" s="84"/>
      <c r="F1004" s="84"/>
      <c r="AE1004" s="84"/>
      <c r="AF1004" s="84"/>
    </row>
    <row r="1005" spans="5:32" ht="42" customHeight="1">
      <c r="E1005" s="84"/>
      <c r="F1005" s="84"/>
      <c r="AE1005" s="84"/>
      <c r="AF1005" s="84"/>
    </row>
    <row r="1006" spans="5:32" ht="42" customHeight="1">
      <c r="E1006" s="84"/>
      <c r="F1006" s="84"/>
      <c r="AE1006" s="84"/>
      <c r="AF1006" s="84"/>
    </row>
    <row r="1007" spans="5:32" ht="42" customHeight="1">
      <c r="E1007" s="84"/>
      <c r="F1007" s="84"/>
      <c r="AE1007" s="84"/>
      <c r="AF1007" s="84"/>
    </row>
    <row r="1008" spans="5:32" ht="42" customHeight="1">
      <c r="E1008" s="84"/>
      <c r="F1008" s="84"/>
      <c r="AE1008" s="84"/>
      <c r="AF1008" s="84"/>
    </row>
    <row r="1009" spans="5:32" ht="42" customHeight="1">
      <c r="E1009" s="84"/>
      <c r="F1009" s="84"/>
      <c r="AE1009" s="84"/>
      <c r="AF1009" s="84"/>
    </row>
    <row r="1010" spans="5:32" ht="42" customHeight="1">
      <c r="E1010" s="84"/>
      <c r="F1010" s="84"/>
      <c r="AE1010" s="84"/>
      <c r="AF1010" s="84"/>
    </row>
    <row r="1011" spans="5:32" ht="42" customHeight="1">
      <c r="E1011" s="84"/>
      <c r="F1011" s="84"/>
      <c r="AE1011" s="84"/>
      <c r="AF1011" s="84"/>
    </row>
    <row r="1012" spans="5:32" ht="42" customHeight="1">
      <c r="E1012" s="84"/>
      <c r="F1012" s="84"/>
      <c r="AE1012" s="84"/>
      <c r="AF1012" s="84"/>
    </row>
    <row r="1013" spans="5:32" ht="42" customHeight="1">
      <c r="E1013" s="84"/>
      <c r="F1013" s="84"/>
      <c r="AE1013" s="84"/>
      <c r="AF1013" s="84"/>
    </row>
    <row r="1014" spans="5:32" ht="42" customHeight="1">
      <c r="E1014" s="84"/>
      <c r="F1014" s="84"/>
      <c r="AE1014" s="84"/>
      <c r="AF1014" s="84"/>
    </row>
    <row r="1015" spans="5:32" ht="42" customHeight="1">
      <c r="E1015" s="84"/>
      <c r="F1015" s="84"/>
      <c r="AE1015" s="84"/>
      <c r="AF1015" s="84"/>
    </row>
    <row r="1016" spans="5:32" ht="42" customHeight="1">
      <c r="E1016" s="84"/>
      <c r="F1016" s="84"/>
      <c r="AE1016" s="84"/>
      <c r="AF1016" s="84"/>
    </row>
    <row r="1017" spans="5:32" ht="42" customHeight="1">
      <c r="E1017" s="84"/>
      <c r="F1017" s="84"/>
      <c r="AE1017" s="84"/>
      <c r="AF1017" s="84"/>
    </row>
    <row r="1018" spans="5:32" ht="42" customHeight="1">
      <c r="E1018" s="84"/>
      <c r="F1018" s="84"/>
      <c r="AE1018" s="84"/>
      <c r="AF1018" s="84"/>
    </row>
    <row r="1019" spans="5:32" ht="42" customHeight="1">
      <c r="E1019" s="84"/>
      <c r="F1019" s="84"/>
      <c r="AE1019" s="84"/>
      <c r="AF1019" s="84"/>
    </row>
    <row r="1020" spans="5:32" ht="42" customHeight="1">
      <c r="E1020" s="84"/>
      <c r="F1020" s="84"/>
      <c r="AE1020" s="84"/>
      <c r="AF1020" s="84"/>
    </row>
    <row r="1021" spans="5:32" ht="42" customHeight="1">
      <c r="E1021" s="84"/>
      <c r="F1021" s="84"/>
      <c r="AE1021" s="84"/>
      <c r="AF1021" s="84"/>
    </row>
    <row r="1022" spans="5:32" ht="42" customHeight="1">
      <c r="E1022" s="84"/>
      <c r="F1022" s="84"/>
      <c r="AE1022" s="84"/>
      <c r="AF1022" s="84"/>
    </row>
    <row r="1023" spans="5:32" ht="42" customHeight="1">
      <c r="E1023" s="84"/>
      <c r="F1023" s="84"/>
      <c r="AE1023" s="84"/>
      <c r="AF1023" s="84"/>
    </row>
    <row r="1024" spans="5:32" ht="42" customHeight="1">
      <c r="E1024" s="84"/>
      <c r="F1024" s="84"/>
      <c r="AE1024" s="84"/>
      <c r="AF1024" s="84"/>
    </row>
    <row r="1025" spans="5:32" ht="42" customHeight="1">
      <c r="E1025" s="84"/>
      <c r="F1025" s="84"/>
      <c r="AE1025" s="84"/>
      <c r="AF1025" s="84"/>
    </row>
    <row r="1026" spans="5:32" ht="42" customHeight="1">
      <c r="E1026" s="84"/>
      <c r="F1026" s="84"/>
      <c r="AE1026" s="84"/>
      <c r="AF1026" s="84"/>
    </row>
    <row r="1027" spans="5:32" ht="42" customHeight="1">
      <c r="E1027" s="84"/>
      <c r="F1027" s="84"/>
      <c r="AE1027" s="84"/>
      <c r="AF1027" s="84"/>
    </row>
    <row r="1028" spans="5:32" ht="42" customHeight="1">
      <c r="E1028" s="84"/>
      <c r="F1028" s="84"/>
      <c r="AE1028" s="84"/>
      <c r="AF1028" s="84"/>
    </row>
    <row r="1029" spans="5:32" ht="42" customHeight="1">
      <c r="E1029" s="84"/>
      <c r="F1029" s="84"/>
      <c r="AE1029" s="84"/>
      <c r="AF1029" s="84"/>
    </row>
    <row r="1030" spans="5:32" ht="42" customHeight="1">
      <c r="E1030" s="84"/>
      <c r="F1030" s="84"/>
      <c r="AE1030" s="84"/>
      <c r="AF1030" s="84"/>
    </row>
    <row r="1031" spans="5:32" ht="42" customHeight="1">
      <c r="E1031" s="84"/>
      <c r="F1031" s="84"/>
      <c r="AE1031" s="84"/>
      <c r="AF1031" s="84"/>
    </row>
    <row r="1032" spans="5:32" ht="42" customHeight="1">
      <c r="E1032" s="84"/>
      <c r="F1032" s="84"/>
      <c r="AE1032" s="84"/>
      <c r="AF1032" s="84"/>
    </row>
    <row r="1033" spans="5:32" ht="42" customHeight="1">
      <c r="E1033" s="84"/>
      <c r="F1033" s="84"/>
      <c r="AE1033" s="84"/>
      <c r="AF1033" s="84"/>
    </row>
    <row r="1034" spans="5:32" ht="42" customHeight="1">
      <c r="E1034" s="84"/>
      <c r="F1034" s="84"/>
      <c r="AE1034" s="84"/>
      <c r="AF1034" s="84"/>
    </row>
    <row r="1035" spans="5:32" ht="42" customHeight="1">
      <c r="E1035" s="84"/>
      <c r="F1035" s="84"/>
      <c r="AE1035" s="84"/>
      <c r="AF1035" s="84"/>
    </row>
    <row r="1036" spans="5:32" ht="42" customHeight="1">
      <c r="E1036" s="84"/>
      <c r="F1036" s="84"/>
      <c r="AE1036" s="84"/>
      <c r="AF1036" s="84"/>
    </row>
    <row r="1037" spans="5:32" ht="42" customHeight="1">
      <c r="E1037" s="84"/>
      <c r="F1037" s="84"/>
      <c r="AE1037" s="84"/>
      <c r="AF1037" s="84"/>
    </row>
    <row r="1038" spans="5:32" ht="42" customHeight="1">
      <c r="E1038" s="84"/>
      <c r="F1038" s="84"/>
      <c r="AE1038" s="84"/>
      <c r="AF1038" s="84"/>
    </row>
    <row r="1039" spans="5:32" ht="42" customHeight="1">
      <c r="E1039" s="84"/>
      <c r="F1039" s="84"/>
      <c r="AE1039" s="84"/>
      <c r="AF1039" s="84"/>
    </row>
    <row r="1040" spans="5:32" ht="42" customHeight="1">
      <c r="E1040" s="84"/>
      <c r="F1040" s="84"/>
      <c r="AE1040" s="84"/>
      <c r="AF1040" s="84"/>
    </row>
    <row r="1041" spans="5:32" ht="42" customHeight="1">
      <c r="E1041" s="84"/>
      <c r="F1041" s="84"/>
      <c r="AE1041" s="84"/>
      <c r="AF1041" s="84"/>
    </row>
    <row r="1042" spans="5:32" ht="42" customHeight="1">
      <c r="E1042" s="84"/>
      <c r="F1042" s="84"/>
      <c r="AE1042" s="84"/>
      <c r="AF1042" s="84"/>
    </row>
    <row r="1043" spans="5:32" ht="42" customHeight="1">
      <c r="E1043" s="84"/>
      <c r="F1043" s="84"/>
      <c r="AE1043" s="84"/>
      <c r="AF1043" s="84"/>
    </row>
    <row r="1044" spans="5:32" ht="42" customHeight="1">
      <c r="E1044" s="84"/>
      <c r="F1044" s="84"/>
      <c r="AE1044" s="84"/>
      <c r="AF1044" s="84"/>
    </row>
    <row r="1045" spans="5:32" ht="42" customHeight="1">
      <c r="E1045" s="84"/>
      <c r="F1045" s="84"/>
      <c r="AE1045" s="84"/>
      <c r="AF1045" s="84"/>
    </row>
    <row r="1046" spans="5:32" ht="42" customHeight="1">
      <c r="E1046" s="84"/>
      <c r="F1046" s="84"/>
      <c r="AE1046" s="84"/>
      <c r="AF1046" s="84"/>
    </row>
    <row r="1047" spans="5:32" ht="42" customHeight="1">
      <c r="E1047" s="84"/>
      <c r="F1047" s="84"/>
      <c r="AE1047" s="84"/>
      <c r="AF1047" s="84"/>
    </row>
    <row r="1048" spans="5:32" ht="42" customHeight="1">
      <c r="E1048" s="84"/>
      <c r="F1048" s="84"/>
      <c r="AE1048" s="84"/>
      <c r="AF1048" s="84"/>
    </row>
    <row r="1049" spans="5:32" ht="42" customHeight="1">
      <c r="E1049" s="84"/>
      <c r="F1049" s="84"/>
      <c r="AE1049" s="84"/>
      <c r="AF1049" s="84"/>
    </row>
    <row r="1050" spans="5:32" ht="42" customHeight="1">
      <c r="E1050" s="84"/>
      <c r="F1050" s="84"/>
      <c r="AE1050" s="84"/>
      <c r="AF1050" s="84"/>
    </row>
    <row r="1051" spans="5:32" ht="42" customHeight="1">
      <c r="E1051" s="84"/>
      <c r="F1051" s="84"/>
      <c r="AE1051" s="84"/>
      <c r="AF1051" s="84"/>
    </row>
    <row r="1052" spans="5:32" ht="42" customHeight="1">
      <c r="E1052" s="84"/>
      <c r="F1052" s="84"/>
      <c r="AE1052" s="84"/>
      <c r="AF1052" s="84"/>
    </row>
    <row r="1053" spans="5:32" ht="42" customHeight="1">
      <c r="E1053" s="84"/>
      <c r="F1053" s="84"/>
      <c r="AE1053" s="84"/>
      <c r="AF1053" s="84"/>
    </row>
    <row r="1054" spans="5:32" ht="42" customHeight="1">
      <c r="E1054" s="84"/>
      <c r="F1054" s="84"/>
      <c r="AE1054" s="84"/>
      <c r="AF1054" s="84"/>
    </row>
    <row r="1055" spans="5:32" ht="42" customHeight="1">
      <c r="E1055" s="84"/>
      <c r="F1055" s="84"/>
      <c r="AE1055" s="84"/>
      <c r="AF1055" s="84"/>
    </row>
    <row r="1056" spans="5:32" ht="42" customHeight="1">
      <c r="E1056" s="84"/>
      <c r="F1056" s="84"/>
      <c r="AE1056" s="84"/>
      <c r="AF1056" s="84"/>
    </row>
    <row r="1057" spans="5:32" ht="42" customHeight="1">
      <c r="E1057" s="84"/>
      <c r="F1057" s="84"/>
      <c r="AE1057" s="84"/>
      <c r="AF1057" s="84"/>
    </row>
    <row r="1058" spans="5:32" ht="42" customHeight="1">
      <c r="E1058" s="84"/>
      <c r="F1058" s="84"/>
      <c r="AE1058" s="84"/>
      <c r="AF1058" s="84"/>
    </row>
    <row r="1059" spans="5:32" ht="42" customHeight="1">
      <c r="E1059" s="84"/>
      <c r="F1059" s="84"/>
      <c r="AE1059" s="84"/>
      <c r="AF1059" s="84"/>
    </row>
    <row r="1060" spans="5:32" ht="42" customHeight="1">
      <c r="E1060" s="84"/>
      <c r="F1060" s="84"/>
      <c r="AE1060" s="84"/>
      <c r="AF1060" s="84"/>
    </row>
    <row r="1061" spans="5:32" ht="42" customHeight="1">
      <c r="E1061" s="84"/>
      <c r="F1061" s="84"/>
      <c r="AE1061" s="84"/>
      <c r="AF1061" s="84"/>
    </row>
    <row r="1062" spans="5:32" ht="42" customHeight="1">
      <c r="E1062" s="84"/>
      <c r="F1062" s="84"/>
      <c r="AE1062" s="84"/>
      <c r="AF1062" s="84"/>
    </row>
    <row r="1063" spans="5:32" ht="42" customHeight="1">
      <c r="E1063" s="84"/>
      <c r="F1063" s="84"/>
      <c r="AE1063" s="84"/>
      <c r="AF1063" s="84"/>
    </row>
    <row r="1064" spans="5:32" ht="42" customHeight="1">
      <c r="E1064" s="84"/>
      <c r="F1064" s="84"/>
      <c r="AE1064" s="84"/>
      <c r="AF1064" s="84"/>
    </row>
    <row r="1065" spans="5:32" ht="42" customHeight="1">
      <c r="E1065" s="84"/>
      <c r="F1065" s="84"/>
      <c r="AE1065" s="84"/>
      <c r="AF1065" s="84"/>
    </row>
    <row r="1066" spans="5:32" ht="42" customHeight="1">
      <c r="E1066" s="84"/>
      <c r="F1066" s="84"/>
      <c r="AE1066" s="84"/>
      <c r="AF1066" s="84"/>
    </row>
    <row r="1067" spans="5:32" ht="42" customHeight="1">
      <c r="E1067" s="84"/>
      <c r="F1067" s="84"/>
      <c r="AE1067" s="84"/>
      <c r="AF1067" s="84"/>
    </row>
    <row r="1068" spans="5:32" ht="42" customHeight="1">
      <c r="E1068" s="84"/>
      <c r="F1068" s="84"/>
      <c r="AE1068" s="84"/>
      <c r="AF1068" s="84"/>
    </row>
    <row r="1069" spans="5:32" ht="42" customHeight="1">
      <c r="E1069" s="84"/>
      <c r="F1069" s="84"/>
      <c r="AE1069" s="84"/>
      <c r="AF1069" s="84"/>
    </row>
    <row r="1070" spans="5:32" ht="42" customHeight="1">
      <c r="E1070" s="84"/>
      <c r="F1070" s="84"/>
      <c r="AE1070" s="84"/>
      <c r="AF1070" s="84"/>
    </row>
    <row r="1071" spans="5:32" ht="42" customHeight="1">
      <c r="E1071" s="84"/>
      <c r="F1071" s="84"/>
      <c r="AE1071" s="84"/>
      <c r="AF1071" s="84"/>
    </row>
    <row r="1072" spans="5:32" ht="42" customHeight="1">
      <c r="E1072" s="84"/>
      <c r="F1072" s="84"/>
      <c r="AE1072" s="84"/>
      <c r="AF1072" s="84"/>
    </row>
    <row r="1073" spans="5:32" ht="42" customHeight="1">
      <c r="E1073" s="84"/>
      <c r="F1073" s="84"/>
      <c r="AE1073" s="84"/>
      <c r="AF1073" s="84"/>
    </row>
    <row r="1074" spans="5:32" ht="42" customHeight="1">
      <c r="E1074" s="84"/>
      <c r="F1074" s="84"/>
      <c r="AE1074" s="84"/>
      <c r="AF1074" s="84"/>
    </row>
    <row r="1075" spans="5:32" ht="42" customHeight="1">
      <c r="E1075" s="84"/>
      <c r="F1075" s="84"/>
      <c r="AE1075" s="84"/>
      <c r="AF1075" s="84"/>
    </row>
    <row r="1076" spans="5:32" ht="42" customHeight="1">
      <c r="E1076" s="84"/>
      <c r="F1076" s="84"/>
      <c r="AE1076" s="84"/>
      <c r="AF1076" s="84"/>
    </row>
    <row r="1077" spans="5:32" ht="42" customHeight="1">
      <c r="E1077" s="84"/>
      <c r="F1077" s="84"/>
      <c r="AE1077" s="84"/>
      <c r="AF1077" s="84"/>
    </row>
    <row r="1078" spans="5:32" ht="42" customHeight="1">
      <c r="E1078" s="84"/>
      <c r="F1078" s="84"/>
      <c r="AE1078" s="84"/>
      <c r="AF1078" s="84"/>
    </row>
    <row r="1079" spans="5:32" ht="42" customHeight="1">
      <c r="E1079" s="84"/>
      <c r="F1079" s="84"/>
      <c r="AE1079" s="84"/>
      <c r="AF1079" s="84"/>
    </row>
    <row r="1080" spans="5:32" ht="42" customHeight="1">
      <c r="E1080" s="84"/>
      <c r="F1080" s="84"/>
      <c r="AE1080" s="84"/>
      <c r="AF1080" s="84"/>
    </row>
    <row r="1081" spans="5:32" ht="42" customHeight="1">
      <c r="E1081" s="84"/>
      <c r="F1081" s="84"/>
      <c r="AE1081" s="84"/>
      <c r="AF1081" s="84"/>
    </row>
    <row r="1082" spans="5:32" ht="42" customHeight="1">
      <c r="E1082" s="84"/>
      <c r="F1082" s="84"/>
      <c r="AE1082" s="84"/>
      <c r="AF1082" s="84"/>
    </row>
    <row r="1083" spans="5:32" ht="42" customHeight="1">
      <c r="E1083" s="84"/>
      <c r="F1083" s="84"/>
      <c r="AE1083" s="84"/>
      <c r="AF1083" s="84"/>
    </row>
    <row r="1084" spans="5:32" ht="42" customHeight="1">
      <c r="E1084" s="84"/>
      <c r="F1084" s="84"/>
      <c r="AE1084" s="84"/>
      <c r="AF1084" s="84"/>
    </row>
    <row r="1085" spans="5:32" ht="42" customHeight="1">
      <c r="E1085" s="84"/>
      <c r="F1085" s="84"/>
      <c r="AE1085" s="84"/>
      <c r="AF1085" s="84"/>
    </row>
    <row r="1086" spans="5:32" ht="42" customHeight="1">
      <c r="E1086" s="84"/>
      <c r="F1086" s="84"/>
      <c r="AE1086" s="84"/>
      <c r="AF1086" s="84"/>
    </row>
    <row r="1087" spans="5:32" ht="42" customHeight="1">
      <c r="E1087" s="84"/>
      <c r="F1087" s="84"/>
      <c r="AE1087" s="84"/>
      <c r="AF1087" s="84"/>
    </row>
    <row r="1088" spans="5:32" ht="42" customHeight="1">
      <c r="E1088" s="84"/>
      <c r="F1088" s="84"/>
      <c r="AE1088" s="84"/>
      <c r="AF1088" s="84"/>
    </row>
    <row r="1089" spans="5:32" ht="42" customHeight="1">
      <c r="E1089" s="84"/>
      <c r="F1089" s="84"/>
      <c r="AE1089" s="84"/>
      <c r="AF1089" s="84"/>
    </row>
    <row r="1090" spans="5:32" ht="42" customHeight="1">
      <c r="E1090" s="84"/>
      <c r="F1090" s="84"/>
      <c r="AE1090" s="84"/>
      <c r="AF1090" s="84"/>
    </row>
    <row r="1091" spans="5:32" ht="42" customHeight="1">
      <c r="E1091" s="84"/>
      <c r="F1091" s="84"/>
      <c r="AE1091" s="84"/>
      <c r="AF1091" s="84"/>
    </row>
    <row r="1092" spans="5:32" ht="42" customHeight="1">
      <c r="E1092" s="84"/>
      <c r="F1092" s="84"/>
      <c r="AE1092" s="84"/>
      <c r="AF1092" s="84"/>
    </row>
    <row r="1093" spans="5:32" ht="42" customHeight="1">
      <c r="E1093" s="84"/>
      <c r="F1093" s="84"/>
      <c r="AE1093" s="84"/>
      <c r="AF1093" s="84"/>
    </row>
    <row r="1094" spans="5:32" ht="42" customHeight="1">
      <c r="E1094" s="84"/>
      <c r="F1094" s="84"/>
      <c r="AE1094" s="84"/>
      <c r="AF1094" s="84"/>
    </row>
    <row r="1095" spans="5:32" ht="42" customHeight="1">
      <c r="E1095" s="84"/>
      <c r="F1095" s="84"/>
      <c r="AE1095" s="84"/>
      <c r="AF1095" s="84"/>
    </row>
    <row r="1096" spans="5:32" ht="42" customHeight="1">
      <c r="E1096" s="84"/>
      <c r="F1096" s="84"/>
      <c r="AE1096" s="84"/>
      <c r="AF1096" s="84"/>
    </row>
    <row r="1097" spans="5:32" ht="42" customHeight="1">
      <c r="E1097" s="84"/>
      <c r="F1097" s="84"/>
      <c r="AE1097" s="84"/>
      <c r="AF1097" s="84"/>
    </row>
    <row r="1098" spans="5:32" ht="42" customHeight="1">
      <c r="E1098" s="84"/>
      <c r="F1098" s="84"/>
      <c r="AE1098" s="84"/>
      <c r="AF1098" s="84"/>
    </row>
    <row r="1099" spans="5:32" ht="42" customHeight="1">
      <c r="E1099" s="84"/>
      <c r="F1099" s="84"/>
      <c r="AE1099" s="84"/>
      <c r="AF1099" s="84"/>
    </row>
    <row r="1100" spans="5:32" ht="42" customHeight="1">
      <c r="E1100" s="84"/>
      <c r="F1100" s="84"/>
      <c r="AE1100" s="84"/>
      <c r="AF1100" s="84"/>
    </row>
    <row r="1101" spans="5:32" ht="42" customHeight="1">
      <c r="E1101" s="84"/>
      <c r="F1101" s="84"/>
      <c r="AE1101" s="84"/>
      <c r="AF1101" s="84"/>
    </row>
    <row r="1102" spans="5:32" ht="42" customHeight="1">
      <c r="E1102" s="84"/>
      <c r="F1102" s="84"/>
      <c r="AE1102" s="84"/>
      <c r="AF1102" s="84"/>
    </row>
    <row r="1103" spans="5:32" ht="42" customHeight="1">
      <c r="E1103" s="84"/>
      <c r="F1103" s="84"/>
      <c r="AE1103" s="84"/>
      <c r="AF1103" s="84"/>
    </row>
    <row r="1104" spans="5:32" ht="42" customHeight="1">
      <c r="E1104" s="84"/>
      <c r="F1104" s="84"/>
      <c r="AE1104" s="84"/>
      <c r="AF1104" s="84"/>
    </row>
    <row r="1105" spans="5:32" ht="42" customHeight="1">
      <c r="E1105" s="84"/>
      <c r="F1105" s="84"/>
      <c r="AE1105" s="84"/>
      <c r="AF1105" s="84"/>
    </row>
    <row r="1106" spans="5:32" ht="42" customHeight="1">
      <c r="E1106" s="84"/>
      <c r="F1106" s="84"/>
      <c r="AE1106" s="84"/>
      <c r="AF1106" s="84"/>
    </row>
    <row r="1107" spans="5:32" ht="42" customHeight="1">
      <c r="E1107" s="84"/>
      <c r="F1107" s="84"/>
      <c r="AE1107" s="84"/>
      <c r="AF1107" s="84"/>
    </row>
    <row r="1108" spans="5:32" ht="42" customHeight="1">
      <c r="E1108" s="84"/>
      <c r="F1108" s="84"/>
      <c r="AE1108" s="84"/>
      <c r="AF1108" s="84"/>
    </row>
    <row r="1109" spans="5:32" ht="42" customHeight="1">
      <c r="E1109" s="84"/>
      <c r="F1109" s="84"/>
      <c r="AE1109" s="84"/>
      <c r="AF1109" s="84"/>
    </row>
    <row r="1110" spans="5:32" ht="42" customHeight="1">
      <c r="E1110" s="84"/>
      <c r="F1110" s="84"/>
      <c r="AE1110" s="84"/>
      <c r="AF1110" s="84"/>
    </row>
    <row r="1111" spans="5:32" ht="42" customHeight="1">
      <c r="E1111" s="84"/>
      <c r="F1111" s="84"/>
      <c r="AE1111" s="84"/>
      <c r="AF1111" s="84"/>
    </row>
    <row r="1112" spans="5:32" ht="42" customHeight="1">
      <c r="E1112" s="84"/>
      <c r="F1112" s="84"/>
      <c r="AE1112" s="84"/>
      <c r="AF1112" s="84"/>
    </row>
    <row r="1113" spans="5:32" ht="42" customHeight="1">
      <c r="E1113" s="84"/>
      <c r="F1113" s="84"/>
      <c r="AE1113" s="84"/>
      <c r="AF1113" s="84"/>
    </row>
    <row r="1114" spans="5:32" ht="42" customHeight="1">
      <c r="E1114" s="84"/>
      <c r="F1114" s="84"/>
      <c r="AE1114" s="84"/>
      <c r="AF1114" s="84"/>
    </row>
    <row r="1115" spans="5:32" ht="42" customHeight="1">
      <c r="E1115" s="84"/>
      <c r="F1115" s="84"/>
      <c r="AE1115" s="84"/>
      <c r="AF1115" s="84"/>
    </row>
    <row r="1116" spans="5:32" ht="42" customHeight="1">
      <c r="E1116" s="84"/>
      <c r="F1116" s="84"/>
      <c r="AE1116" s="84"/>
      <c r="AF1116" s="84"/>
    </row>
    <row r="1117" spans="5:32" ht="42" customHeight="1">
      <c r="E1117" s="84"/>
      <c r="F1117" s="84"/>
      <c r="AE1117" s="84"/>
      <c r="AF1117" s="84"/>
    </row>
    <row r="1118" spans="5:32" ht="42" customHeight="1">
      <c r="E1118" s="84"/>
      <c r="F1118" s="84"/>
      <c r="AE1118" s="84"/>
      <c r="AF1118" s="84"/>
    </row>
    <row r="1119" spans="5:32" ht="42" customHeight="1">
      <c r="E1119" s="84"/>
      <c r="F1119" s="84"/>
      <c r="AE1119" s="84"/>
      <c r="AF1119" s="84"/>
    </row>
    <row r="1120" spans="5:32" ht="42" customHeight="1">
      <c r="E1120" s="84"/>
      <c r="F1120" s="84"/>
      <c r="AE1120" s="84"/>
      <c r="AF1120" s="84"/>
    </row>
    <row r="1121" spans="5:32" ht="42" customHeight="1">
      <c r="E1121" s="84"/>
      <c r="F1121" s="84"/>
      <c r="AE1121" s="84"/>
      <c r="AF1121" s="84"/>
    </row>
    <row r="1122" spans="5:32" ht="42" customHeight="1">
      <c r="E1122" s="84"/>
      <c r="F1122" s="84"/>
      <c r="AE1122" s="84"/>
      <c r="AF1122" s="84"/>
    </row>
    <row r="1123" spans="5:32" ht="42" customHeight="1">
      <c r="E1123" s="84"/>
      <c r="F1123" s="84"/>
      <c r="AE1123" s="84"/>
      <c r="AF1123" s="84"/>
    </row>
    <row r="1124" spans="5:32" ht="42" customHeight="1">
      <c r="E1124" s="84"/>
      <c r="F1124" s="84"/>
      <c r="AE1124" s="84"/>
      <c r="AF1124" s="84"/>
    </row>
    <row r="1125" spans="5:32" ht="42" customHeight="1">
      <c r="E1125" s="84"/>
      <c r="F1125" s="84"/>
      <c r="AE1125" s="84"/>
      <c r="AF1125" s="84"/>
    </row>
    <row r="1126" spans="5:32" ht="42" customHeight="1">
      <c r="E1126" s="84"/>
      <c r="F1126" s="84"/>
      <c r="AE1126" s="84"/>
      <c r="AF1126" s="84"/>
    </row>
    <row r="1127" spans="5:32" ht="42" customHeight="1">
      <c r="E1127" s="84"/>
      <c r="F1127" s="84"/>
      <c r="AE1127" s="84"/>
      <c r="AF1127" s="84"/>
    </row>
    <row r="1128" spans="5:32" ht="42" customHeight="1">
      <c r="E1128" s="84"/>
      <c r="F1128" s="84"/>
      <c r="AE1128" s="84"/>
      <c r="AF1128" s="84"/>
    </row>
    <row r="1129" spans="5:32" ht="42" customHeight="1">
      <c r="E1129" s="84"/>
      <c r="F1129" s="84"/>
      <c r="AE1129" s="84"/>
      <c r="AF1129" s="84"/>
    </row>
    <row r="1130" spans="5:32" ht="42" customHeight="1">
      <c r="E1130" s="84"/>
      <c r="F1130" s="84"/>
      <c r="AE1130" s="84"/>
      <c r="AF1130" s="84"/>
    </row>
    <row r="1131" spans="5:32" ht="42" customHeight="1">
      <c r="E1131" s="84"/>
      <c r="F1131" s="84"/>
      <c r="AE1131" s="84"/>
      <c r="AF1131" s="84"/>
    </row>
    <row r="1132" spans="5:32" ht="42" customHeight="1">
      <c r="E1132" s="84"/>
      <c r="F1132" s="84"/>
      <c r="AE1132" s="84"/>
      <c r="AF1132" s="84"/>
    </row>
    <row r="1133" spans="5:32" ht="42" customHeight="1">
      <c r="E1133" s="84"/>
      <c r="F1133" s="84"/>
      <c r="AE1133" s="84"/>
      <c r="AF1133" s="84"/>
    </row>
    <row r="1134" spans="5:32" ht="42" customHeight="1">
      <c r="E1134" s="84"/>
      <c r="F1134" s="84"/>
      <c r="AE1134" s="84"/>
      <c r="AF1134" s="84"/>
    </row>
    <row r="1135" spans="5:32" ht="42" customHeight="1">
      <c r="E1135" s="84"/>
      <c r="F1135" s="84"/>
      <c r="AE1135" s="84"/>
      <c r="AF1135" s="84"/>
    </row>
    <row r="1136" spans="5:32" ht="42" customHeight="1">
      <c r="E1136" s="84"/>
      <c r="F1136" s="84"/>
      <c r="AE1136" s="84"/>
      <c r="AF1136" s="84"/>
    </row>
    <row r="1137" spans="5:32" ht="42" customHeight="1">
      <c r="E1137" s="84"/>
      <c r="F1137" s="84"/>
      <c r="AE1137" s="84"/>
      <c r="AF1137" s="84"/>
    </row>
    <row r="1138" spans="5:32" ht="42" customHeight="1">
      <c r="E1138" s="84"/>
      <c r="F1138" s="84"/>
      <c r="AE1138" s="84"/>
      <c r="AF1138" s="84"/>
    </row>
    <row r="1139" spans="5:32" ht="42" customHeight="1">
      <c r="E1139" s="84"/>
      <c r="F1139" s="84"/>
      <c r="AE1139" s="84"/>
      <c r="AF1139" s="84"/>
    </row>
    <row r="1140" spans="5:32" ht="42" customHeight="1">
      <c r="E1140" s="84"/>
      <c r="F1140" s="84"/>
      <c r="AE1140" s="84"/>
      <c r="AF1140" s="84"/>
    </row>
    <row r="1141" spans="5:32" ht="42" customHeight="1">
      <c r="E1141" s="84"/>
      <c r="F1141" s="84"/>
      <c r="AE1141" s="84"/>
      <c r="AF1141" s="84"/>
    </row>
    <row r="1142" spans="5:32" ht="42" customHeight="1">
      <c r="E1142" s="84"/>
      <c r="F1142" s="84"/>
      <c r="AE1142" s="84"/>
      <c r="AF1142" s="84"/>
    </row>
    <row r="1143" spans="5:32" ht="42" customHeight="1">
      <c r="E1143" s="84"/>
      <c r="F1143" s="84"/>
      <c r="AE1143" s="84"/>
      <c r="AF1143" s="84"/>
    </row>
    <row r="1144" spans="5:32" ht="42" customHeight="1">
      <c r="E1144" s="84"/>
      <c r="F1144" s="84"/>
      <c r="AE1144" s="84"/>
      <c r="AF1144" s="84"/>
    </row>
    <row r="1145" spans="5:32" ht="42" customHeight="1">
      <c r="E1145" s="84"/>
      <c r="F1145" s="84"/>
      <c r="AE1145" s="84"/>
      <c r="AF1145" s="84"/>
    </row>
    <row r="1146" spans="5:32" ht="42" customHeight="1">
      <c r="E1146" s="84"/>
      <c r="F1146" s="84"/>
      <c r="AE1146" s="84"/>
      <c r="AF1146" s="84"/>
    </row>
    <row r="1147" spans="5:32" ht="42" customHeight="1">
      <c r="E1147" s="84"/>
      <c r="F1147" s="84"/>
      <c r="AE1147" s="84"/>
      <c r="AF1147" s="84"/>
    </row>
    <row r="1148" spans="5:32" ht="42" customHeight="1">
      <c r="E1148" s="84"/>
      <c r="F1148" s="84"/>
      <c r="AE1148" s="84"/>
      <c r="AF1148" s="84"/>
    </row>
    <row r="1149" spans="5:32" ht="42" customHeight="1">
      <c r="E1149" s="84"/>
      <c r="F1149" s="84"/>
      <c r="AE1149" s="84"/>
      <c r="AF1149" s="84"/>
    </row>
    <row r="1150" spans="5:32" ht="42" customHeight="1">
      <c r="E1150" s="84"/>
      <c r="F1150" s="84"/>
      <c r="AE1150" s="84"/>
      <c r="AF1150" s="84"/>
    </row>
    <row r="1151" spans="5:32" ht="42" customHeight="1">
      <c r="E1151" s="84"/>
      <c r="F1151" s="84"/>
      <c r="AE1151" s="84"/>
      <c r="AF1151" s="84"/>
    </row>
    <row r="1152" spans="5:32" ht="42" customHeight="1">
      <c r="E1152" s="84"/>
      <c r="F1152" s="84"/>
      <c r="AE1152" s="84"/>
      <c r="AF1152" s="84"/>
    </row>
    <row r="1153" spans="5:32" ht="42" customHeight="1">
      <c r="E1153" s="84"/>
      <c r="F1153" s="84"/>
      <c r="AE1153" s="84"/>
      <c r="AF1153" s="84"/>
    </row>
    <row r="1154" spans="5:32" ht="42" customHeight="1">
      <c r="E1154" s="84"/>
      <c r="F1154" s="84"/>
      <c r="AE1154" s="84"/>
      <c r="AF1154" s="84"/>
    </row>
    <row r="1155" spans="5:32" ht="42" customHeight="1">
      <c r="E1155" s="84"/>
      <c r="F1155" s="84"/>
      <c r="AE1155" s="84"/>
      <c r="AF1155" s="84"/>
    </row>
    <row r="1156" spans="5:32" ht="42" customHeight="1">
      <c r="E1156" s="84"/>
      <c r="F1156" s="84"/>
      <c r="AE1156" s="84"/>
      <c r="AF1156" s="84"/>
    </row>
    <row r="1157" spans="5:32" ht="42" customHeight="1">
      <c r="E1157" s="84"/>
      <c r="F1157" s="84"/>
      <c r="AE1157" s="84"/>
      <c r="AF1157" s="84"/>
    </row>
    <row r="1158" spans="5:32" ht="42" customHeight="1">
      <c r="E1158" s="84"/>
      <c r="F1158" s="84"/>
      <c r="AE1158" s="84"/>
      <c r="AF1158" s="84"/>
    </row>
    <row r="1159" spans="5:32" ht="42" customHeight="1">
      <c r="E1159" s="84"/>
      <c r="F1159" s="84"/>
      <c r="AE1159" s="84"/>
      <c r="AF1159" s="84"/>
    </row>
    <row r="1160" spans="5:32" ht="42" customHeight="1">
      <c r="E1160" s="84"/>
      <c r="F1160" s="84"/>
      <c r="AE1160" s="84"/>
      <c r="AF1160" s="84"/>
    </row>
    <row r="1161" spans="5:32" ht="42" customHeight="1">
      <c r="E1161" s="84"/>
      <c r="F1161" s="84"/>
      <c r="AE1161" s="84"/>
      <c r="AF1161" s="84"/>
    </row>
    <row r="1162" spans="5:32" ht="42" customHeight="1">
      <c r="E1162" s="84"/>
      <c r="F1162" s="84"/>
      <c r="AE1162" s="84"/>
      <c r="AF1162" s="84"/>
    </row>
    <row r="1163" spans="5:32" ht="42" customHeight="1">
      <c r="E1163" s="84"/>
      <c r="F1163" s="84"/>
      <c r="AE1163" s="84"/>
      <c r="AF1163" s="84"/>
    </row>
    <row r="1164" spans="5:32" ht="42" customHeight="1">
      <c r="E1164" s="84"/>
      <c r="F1164" s="84"/>
      <c r="AE1164" s="84"/>
      <c r="AF1164" s="84"/>
    </row>
    <row r="1165" spans="5:32" ht="42" customHeight="1">
      <c r="E1165" s="84"/>
      <c r="F1165" s="84"/>
      <c r="AE1165" s="84"/>
      <c r="AF1165" s="84"/>
    </row>
    <row r="1166" spans="5:32" ht="42" customHeight="1">
      <c r="E1166" s="84"/>
      <c r="F1166" s="84"/>
      <c r="AE1166" s="84"/>
      <c r="AF1166" s="84"/>
    </row>
    <row r="1167" spans="5:32" ht="42" customHeight="1">
      <c r="E1167" s="84"/>
      <c r="F1167" s="84"/>
      <c r="AE1167" s="84"/>
      <c r="AF1167" s="84"/>
    </row>
    <row r="1168" spans="5:32" ht="42" customHeight="1">
      <c r="E1168" s="84"/>
      <c r="F1168" s="84"/>
      <c r="AE1168" s="84"/>
      <c r="AF1168" s="84"/>
    </row>
    <row r="1169" spans="5:32" ht="42" customHeight="1">
      <c r="E1169" s="84"/>
      <c r="F1169" s="84"/>
      <c r="AE1169" s="84"/>
      <c r="AF1169" s="84"/>
    </row>
    <row r="1170" spans="5:32" ht="42" customHeight="1">
      <c r="E1170" s="84"/>
      <c r="F1170" s="84"/>
      <c r="AE1170" s="84"/>
      <c r="AF1170" s="84"/>
    </row>
    <row r="1171" spans="5:32" ht="42" customHeight="1">
      <c r="E1171" s="84"/>
      <c r="F1171" s="84"/>
      <c r="AE1171" s="84"/>
      <c r="AF1171" s="84"/>
    </row>
    <row r="1172" spans="5:32" ht="42" customHeight="1">
      <c r="E1172" s="84"/>
      <c r="F1172" s="84"/>
      <c r="AE1172" s="84"/>
      <c r="AF1172" s="84"/>
    </row>
    <row r="1173" spans="5:32" ht="42" customHeight="1">
      <c r="E1173" s="84"/>
      <c r="F1173" s="84"/>
      <c r="AE1173" s="84"/>
      <c r="AF1173" s="84"/>
    </row>
    <row r="1174" spans="5:32" ht="42" customHeight="1">
      <c r="E1174" s="84"/>
      <c r="F1174" s="84"/>
      <c r="AE1174" s="84"/>
      <c r="AF1174" s="84"/>
    </row>
    <row r="1175" spans="5:32" ht="42" customHeight="1">
      <c r="E1175" s="84"/>
      <c r="F1175" s="84"/>
      <c r="AE1175" s="84"/>
      <c r="AF1175" s="84"/>
    </row>
    <row r="1176" spans="5:32" ht="42" customHeight="1">
      <c r="E1176" s="84"/>
      <c r="F1176" s="84"/>
      <c r="AE1176" s="84"/>
      <c r="AF1176" s="84"/>
    </row>
    <row r="1177" spans="5:32" ht="42" customHeight="1">
      <c r="E1177" s="84"/>
      <c r="F1177" s="84"/>
      <c r="AE1177" s="84"/>
      <c r="AF1177" s="84"/>
    </row>
    <row r="1178" spans="5:32" ht="42" customHeight="1">
      <c r="E1178" s="84"/>
      <c r="F1178" s="84"/>
      <c r="AE1178" s="84"/>
      <c r="AF1178" s="84"/>
    </row>
    <row r="1179" spans="5:32" ht="42" customHeight="1">
      <c r="E1179" s="84"/>
      <c r="F1179" s="84"/>
      <c r="AE1179" s="84"/>
      <c r="AF1179" s="84"/>
    </row>
    <row r="1180" spans="5:32" ht="42" customHeight="1">
      <c r="E1180" s="84"/>
      <c r="F1180" s="84"/>
      <c r="AE1180" s="84"/>
      <c r="AF1180" s="84"/>
    </row>
    <row r="1181" spans="5:32" ht="42" customHeight="1">
      <c r="E1181" s="84"/>
      <c r="F1181" s="84"/>
      <c r="AE1181" s="84"/>
      <c r="AF1181" s="84"/>
    </row>
    <row r="1182" spans="5:32" ht="42" customHeight="1">
      <c r="E1182" s="84"/>
      <c r="F1182" s="84"/>
      <c r="AE1182" s="84"/>
      <c r="AF1182" s="84"/>
    </row>
    <row r="1183" spans="5:32" ht="42" customHeight="1">
      <c r="E1183" s="84"/>
      <c r="F1183" s="84"/>
      <c r="AE1183" s="84"/>
      <c r="AF1183" s="84"/>
    </row>
    <row r="1184" spans="5:32" ht="42" customHeight="1">
      <c r="E1184" s="84"/>
      <c r="F1184" s="84"/>
      <c r="AE1184" s="84"/>
      <c r="AF1184" s="84"/>
    </row>
    <row r="1185" spans="5:32" ht="42" customHeight="1">
      <c r="E1185" s="84"/>
      <c r="F1185" s="84"/>
      <c r="AE1185" s="84"/>
      <c r="AF1185" s="84"/>
    </row>
    <row r="1186" spans="5:32" ht="42" customHeight="1">
      <c r="E1186" s="84"/>
      <c r="F1186" s="84"/>
      <c r="AE1186" s="84"/>
      <c r="AF1186" s="84"/>
    </row>
    <row r="1187" spans="5:32" ht="42" customHeight="1">
      <c r="E1187" s="84"/>
      <c r="F1187" s="84"/>
      <c r="AE1187" s="84"/>
      <c r="AF1187" s="84"/>
    </row>
    <row r="1188" spans="5:32" ht="42" customHeight="1">
      <c r="E1188" s="84"/>
      <c r="F1188" s="84"/>
      <c r="AE1188" s="84"/>
      <c r="AF1188" s="84"/>
    </row>
    <row r="1189" spans="5:32" ht="42" customHeight="1">
      <c r="E1189" s="84"/>
      <c r="F1189" s="84"/>
      <c r="AE1189" s="84"/>
      <c r="AF1189" s="84"/>
    </row>
    <row r="1190" spans="5:32" ht="42" customHeight="1">
      <c r="E1190" s="84"/>
      <c r="F1190" s="84"/>
      <c r="AE1190" s="84"/>
      <c r="AF1190" s="84"/>
    </row>
    <row r="1191" spans="5:32" ht="42" customHeight="1">
      <c r="E1191" s="84"/>
      <c r="F1191" s="84"/>
      <c r="AE1191" s="84"/>
      <c r="AF1191" s="84"/>
    </row>
    <row r="1192" spans="5:32" ht="42" customHeight="1">
      <c r="E1192" s="84"/>
      <c r="F1192" s="84"/>
      <c r="AE1192" s="84"/>
      <c r="AF1192" s="84"/>
    </row>
    <row r="1193" spans="5:32" ht="42" customHeight="1">
      <c r="E1193" s="84"/>
      <c r="F1193" s="84"/>
      <c r="AE1193" s="84"/>
      <c r="AF1193" s="84"/>
    </row>
    <row r="1194" spans="5:32" ht="42" customHeight="1">
      <c r="E1194" s="84"/>
      <c r="F1194" s="84"/>
      <c r="AE1194" s="84"/>
      <c r="AF1194" s="84"/>
    </row>
    <row r="1195" spans="5:32" ht="42" customHeight="1">
      <c r="E1195" s="84"/>
      <c r="F1195" s="84"/>
      <c r="AE1195" s="84"/>
      <c r="AF1195" s="84"/>
    </row>
    <row r="1196" spans="5:32" ht="42" customHeight="1">
      <c r="E1196" s="84"/>
      <c r="F1196" s="84"/>
      <c r="AE1196" s="84"/>
      <c r="AF1196" s="84"/>
    </row>
    <row r="1197" spans="5:32" ht="42" customHeight="1">
      <c r="E1197" s="84"/>
      <c r="F1197" s="84"/>
      <c r="AE1197" s="84"/>
      <c r="AF1197" s="84"/>
    </row>
    <row r="1198" spans="5:32" ht="42" customHeight="1">
      <c r="E1198" s="84"/>
      <c r="F1198" s="84"/>
      <c r="AE1198" s="84"/>
      <c r="AF1198" s="84"/>
    </row>
    <row r="1199" spans="5:32" ht="42" customHeight="1">
      <c r="E1199" s="84"/>
      <c r="F1199" s="84"/>
      <c r="AE1199" s="84"/>
      <c r="AF1199" s="84"/>
    </row>
    <row r="1200" spans="5:32" ht="42" customHeight="1">
      <c r="E1200" s="84"/>
      <c r="F1200" s="84"/>
      <c r="AE1200" s="84"/>
      <c r="AF1200" s="84"/>
    </row>
    <row r="1201" spans="5:32" ht="42" customHeight="1">
      <c r="E1201" s="84"/>
      <c r="F1201" s="84"/>
      <c r="AE1201" s="84"/>
      <c r="AF1201" s="84"/>
    </row>
    <row r="1202" spans="5:32" ht="42" customHeight="1">
      <c r="E1202" s="84"/>
      <c r="F1202" s="84"/>
      <c r="AE1202" s="84"/>
      <c r="AF1202" s="84"/>
    </row>
    <row r="1203" spans="5:32" ht="42" customHeight="1">
      <c r="E1203" s="84"/>
      <c r="F1203" s="84"/>
      <c r="AE1203" s="84"/>
      <c r="AF1203" s="84"/>
    </row>
    <row r="1204" spans="5:32" ht="42" customHeight="1">
      <c r="E1204" s="84"/>
      <c r="F1204" s="84"/>
      <c r="AE1204" s="84"/>
      <c r="AF1204" s="84"/>
    </row>
    <row r="1205" spans="5:32" ht="42" customHeight="1">
      <c r="E1205" s="84"/>
      <c r="F1205" s="84"/>
      <c r="AE1205" s="84"/>
      <c r="AF1205" s="84"/>
    </row>
    <row r="1206" spans="5:32" ht="42" customHeight="1">
      <c r="E1206" s="84"/>
      <c r="F1206" s="84"/>
      <c r="AE1206" s="84"/>
      <c r="AF1206" s="84"/>
    </row>
    <row r="1207" spans="5:32" ht="42" customHeight="1">
      <c r="E1207" s="84"/>
      <c r="F1207" s="84"/>
      <c r="AE1207" s="84"/>
      <c r="AF1207" s="84"/>
    </row>
    <row r="1208" spans="5:32" ht="42" customHeight="1">
      <c r="E1208" s="84"/>
      <c r="F1208" s="84"/>
      <c r="AE1208" s="84"/>
      <c r="AF1208" s="84"/>
    </row>
    <row r="1209" spans="5:32" ht="42" customHeight="1">
      <c r="E1209" s="84"/>
      <c r="F1209" s="84"/>
      <c r="AE1209" s="84"/>
      <c r="AF1209" s="84"/>
    </row>
    <row r="1210" spans="5:32" ht="42" customHeight="1">
      <c r="E1210" s="84"/>
      <c r="F1210" s="84"/>
      <c r="AE1210" s="84"/>
      <c r="AF1210" s="84"/>
    </row>
    <row r="1211" spans="5:32" ht="42" customHeight="1">
      <c r="E1211" s="84"/>
      <c r="F1211" s="84"/>
      <c r="AE1211" s="84"/>
      <c r="AF1211" s="84"/>
    </row>
    <row r="1212" spans="5:32" ht="42" customHeight="1">
      <c r="E1212" s="84"/>
      <c r="F1212" s="84"/>
      <c r="AE1212" s="84"/>
      <c r="AF1212" s="84"/>
    </row>
    <row r="1213" spans="5:32" ht="42" customHeight="1">
      <c r="E1213" s="84"/>
      <c r="F1213" s="84"/>
      <c r="AE1213" s="84"/>
      <c r="AF1213" s="84"/>
    </row>
    <row r="1214" spans="5:32" ht="42" customHeight="1">
      <c r="E1214" s="84"/>
      <c r="F1214" s="84"/>
      <c r="AE1214" s="84"/>
      <c r="AF1214" s="84"/>
    </row>
    <row r="1215" spans="5:32" ht="42" customHeight="1">
      <c r="E1215" s="84"/>
      <c r="F1215" s="84"/>
      <c r="AE1215" s="84"/>
      <c r="AF1215" s="84"/>
    </row>
    <row r="1216" spans="5:32" ht="42" customHeight="1">
      <c r="E1216" s="84"/>
      <c r="F1216" s="84"/>
      <c r="AE1216" s="84"/>
      <c r="AF1216" s="84"/>
    </row>
    <row r="1217" spans="5:32" ht="42" customHeight="1">
      <c r="E1217" s="84"/>
      <c r="F1217" s="84"/>
      <c r="AE1217" s="84"/>
      <c r="AF1217" s="84"/>
    </row>
    <row r="1218" spans="5:32" ht="42" customHeight="1">
      <c r="E1218" s="84"/>
      <c r="F1218" s="84"/>
      <c r="AE1218" s="84"/>
      <c r="AF1218" s="84"/>
    </row>
    <row r="1219" spans="5:32" ht="42" customHeight="1">
      <c r="E1219" s="84"/>
      <c r="F1219" s="84"/>
      <c r="AE1219" s="84"/>
      <c r="AF1219" s="84"/>
    </row>
    <row r="1220" spans="5:32" ht="42" customHeight="1">
      <c r="E1220" s="84"/>
      <c r="F1220" s="84"/>
      <c r="AE1220" s="84"/>
      <c r="AF1220" s="84"/>
    </row>
    <row r="1221" spans="5:32" ht="42" customHeight="1">
      <c r="E1221" s="84"/>
      <c r="F1221" s="84"/>
      <c r="AE1221" s="84"/>
      <c r="AF1221" s="84"/>
    </row>
    <row r="1222" spans="5:32" ht="42" customHeight="1">
      <c r="E1222" s="84"/>
      <c r="F1222" s="84"/>
      <c r="AE1222" s="84"/>
      <c r="AF1222" s="84"/>
    </row>
    <row r="1223" spans="5:32" ht="42" customHeight="1">
      <c r="E1223" s="84"/>
      <c r="F1223" s="84"/>
      <c r="AE1223" s="84"/>
      <c r="AF1223" s="84"/>
    </row>
    <row r="1224" spans="5:32" ht="42" customHeight="1">
      <c r="E1224" s="84"/>
      <c r="F1224" s="84"/>
      <c r="AE1224" s="84"/>
      <c r="AF1224" s="84"/>
    </row>
    <row r="1225" spans="5:32" ht="42" customHeight="1">
      <c r="E1225" s="84"/>
      <c r="F1225" s="84"/>
      <c r="AE1225" s="84"/>
      <c r="AF1225" s="84"/>
    </row>
    <row r="1226" spans="5:32" ht="42" customHeight="1">
      <c r="E1226" s="84"/>
      <c r="F1226" s="84"/>
      <c r="AE1226" s="84"/>
      <c r="AF1226" s="84"/>
    </row>
    <row r="1227" spans="5:32" ht="42" customHeight="1">
      <c r="E1227" s="84"/>
      <c r="F1227" s="84"/>
      <c r="AE1227" s="84"/>
      <c r="AF1227" s="84"/>
    </row>
    <row r="1228" spans="5:32" ht="42" customHeight="1">
      <c r="E1228" s="84"/>
      <c r="F1228" s="84"/>
      <c r="AE1228" s="84"/>
      <c r="AF1228" s="84"/>
    </row>
    <row r="1229" spans="5:32" ht="42" customHeight="1">
      <c r="E1229" s="84"/>
      <c r="F1229" s="84"/>
      <c r="AE1229" s="84"/>
      <c r="AF1229" s="84"/>
    </row>
    <row r="1230" spans="5:32" ht="42" customHeight="1">
      <c r="E1230" s="84"/>
      <c r="F1230" s="84"/>
      <c r="AE1230" s="84"/>
      <c r="AF1230" s="84"/>
    </row>
    <row r="1231" spans="5:32" ht="42" customHeight="1">
      <c r="E1231" s="84"/>
      <c r="F1231" s="84"/>
      <c r="AE1231" s="84"/>
      <c r="AF1231" s="84"/>
    </row>
    <row r="1232" spans="5:32" ht="42" customHeight="1">
      <c r="E1232" s="84"/>
      <c r="F1232" s="84"/>
      <c r="AE1232" s="84"/>
      <c r="AF1232" s="84"/>
    </row>
    <row r="1233" spans="5:32" ht="42" customHeight="1">
      <c r="E1233" s="84"/>
      <c r="F1233" s="84"/>
      <c r="AE1233" s="84"/>
      <c r="AF1233" s="84"/>
    </row>
    <row r="1234" spans="5:32" ht="42" customHeight="1">
      <c r="E1234" s="84"/>
      <c r="F1234" s="84"/>
      <c r="AE1234" s="84"/>
      <c r="AF1234" s="84"/>
    </row>
    <row r="1235" spans="5:32" ht="42" customHeight="1">
      <c r="E1235" s="84"/>
      <c r="F1235" s="84"/>
      <c r="AE1235" s="84"/>
      <c r="AF1235" s="84"/>
    </row>
    <row r="1236" spans="5:32" ht="42" customHeight="1">
      <c r="E1236" s="84"/>
      <c r="F1236" s="84"/>
      <c r="AE1236" s="84"/>
      <c r="AF1236" s="84"/>
    </row>
    <row r="1237" spans="5:32" ht="42" customHeight="1">
      <c r="E1237" s="84"/>
      <c r="F1237" s="84"/>
      <c r="AE1237" s="84"/>
      <c r="AF1237" s="84"/>
    </row>
    <row r="1238" spans="5:32" ht="42" customHeight="1">
      <c r="E1238" s="84"/>
      <c r="F1238" s="84"/>
      <c r="AE1238" s="84"/>
      <c r="AF1238" s="84"/>
    </row>
    <row r="1239" spans="5:32" ht="42" customHeight="1">
      <c r="E1239" s="84"/>
      <c r="F1239" s="84"/>
      <c r="AE1239" s="84"/>
      <c r="AF1239" s="84"/>
    </row>
    <row r="1240" spans="5:32" ht="42" customHeight="1">
      <c r="E1240" s="84"/>
      <c r="F1240" s="84"/>
      <c r="AE1240" s="84"/>
      <c r="AF1240" s="84"/>
    </row>
    <row r="1241" spans="5:32" ht="42" customHeight="1">
      <c r="E1241" s="84"/>
      <c r="F1241" s="84"/>
      <c r="AE1241" s="84"/>
      <c r="AF1241" s="84"/>
    </row>
    <row r="1242" spans="5:32" ht="42" customHeight="1">
      <c r="E1242" s="84"/>
      <c r="F1242" s="84"/>
      <c r="AE1242" s="84"/>
      <c r="AF1242" s="84"/>
    </row>
    <row r="1243" spans="5:32" ht="42" customHeight="1">
      <c r="E1243" s="84"/>
      <c r="F1243" s="84"/>
      <c r="AE1243" s="84"/>
      <c r="AF1243" s="84"/>
    </row>
    <row r="1244" spans="5:32" ht="42" customHeight="1">
      <c r="E1244" s="84"/>
      <c r="F1244" s="84"/>
      <c r="AE1244" s="84"/>
      <c r="AF1244" s="84"/>
    </row>
    <row r="1245" spans="5:32" ht="42" customHeight="1">
      <c r="E1245" s="84"/>
      <c r="F1245" s="84"/>
      <c r="AE1245" s="84"/>
      <c r="AF1245" s="84"/>
    </row>
    <row r="1246" spans="5:32" ht="42" customHeight="1">
      <c r="E1246" s="84"/>
      <c r="F1246" s="84"/>
      <c r="AE1246" s="84"/>
      <c r="AF1246" s="84"/>
    </row>
    <row r="1247" spans="5:32" ht="42" customHeight="1">
      <c r="E1247" s="84"/>
      <c r="F1247" s="84"/>
      <c r="AE1247" s="84"/>
      <c r="AF1247" s="84"/>
    </row>
    <row r="1248" spans="5:32" ht="42" customHeight="1">
      <c r="E1248" s="84"/>
      <c r="F1248" s="84"/>
      <c r="AE1248" s="84"/>
      <c r="AF1248" s="84"/>
    </row>
    <row r="1249" spans="5:32" ht="42" customHeight="1">
      <c r="E1249" s="84"/>
      <c r="F1249" s="84"/>
      <c r="AE1249" s="84"/>
      <c r="AF1249" s="84"/>
    </row>
    <row r="1250" spans="5:32" ht="42" customHeight="1">
      <c r="E1250" s="84"/>
      <c r="F1250" s="84"/>
      <c r="AE1250" s="84"/>
      <c r="AF1250" s="84"/>
    </row>
    <row r="1251" spans="5:32" ht="42" customHeight="1">
      <c r="E1251" s="84"/>
      <c r="F1251" s="84"/>
      <c r="AE1251" s="84"/>
      <c r="AF1251" s="84"/>
    </row>
    <row r="1252" spans="5:32" ht="42" customHeight="1">
      <c r="E1252" s="84"/>
      <c r="F1252" s="84"/>
      <c r="AE1252" s="84"/>
      <c r="AF1252" s="84"/>
    </row>
    <row r="1253" spans="5:32" ht="42" customHeight="1">
      <c r="E1253" s="84"/>
      <c r="F1253" s="84"/>
      <c r="AE1253" s="84"/>
      <c r="AF1253" s="84"/>
    </row>
    <row r="1254" spans="5:32" ht="42" customHeight="1">
      <c r="E1254" s="84"/>
      <c r="F1254" s="84"/>
      <c r="AE1254" s="84"/>
      <c r="AF1254" s="84"/>
    </row>
    <row r="1255" spans="5:32" ht="42" customHeight="1">
      <c r="E1255" s="84"/>
      <c r="F1255" s="84"/>
      <c r="AE1255" s="84"/>
      <c r="AF1255" s="84"/>
    </row>
    <row r="1256" spans="5:32" ht="42" customHeight="1">
      <c r="E1256" s="84"/>
      <c r="F1256" s="84"/>
      <c r="AE1256" s="84"/>
      <c r="AF1256" s="84"/>
    </row>
    <row r="1257" spans="5:32" ht="42" customHeight="1">
      <c r="E1257" s="84"/>
      <c r="F1257" s="84"/>
      <c r="AE1257" s="84"/>
      <c r="AF1257" s="84"/>
    </row>
    <row r="1258" spans="5:32" ht="42" customHeight="1">
      <c r="E1258" s="84"/>
      <c r="F1258" s="84"/>
      <c r="AE1258" s="84"/>
      <c r="AF1258" s="84"/>
    </row>
    <row r="1259" spans="5:32" ht="42" customHeight="1">
      <c r="E1259" s="84"/>
      <c r="F1259" s="84"/>
      <c r="AE1259" s="84"/>
      <c r="AF1259" s="84"/>
    </row>
    <row r="1260" spans="5:32" ht="42" customHeight="1">
      <c r="E1260" s="84"/>
      <c r="F1260" s="84"/>
      <c r="AE1260" s="84"/>
      <c r="AF1260" s="84"/>
    </row>
    <row r="1261" spans="5:32" ht="42" customHeight="1">
      <c r="E1261" s="84"/>
      <c r="F1261" s="84"/>
      <c r="AE1261" s="84"/>
      <c r="AF1261" s="84"/>
    </row>
    <row r="1262" spans="5:32" ht="42" customHeight="1">
      <c r="E1262" s="84"/>
      <c r="F1262" s="84"/>
      <c r="AE1262" s="84"/>
      <c r="AF1262" s="84"/>
    </row>
    <row r="1263" spans="5:32" ht="42" customHeight="1">
      <c r="E1263" s="84"/>
      <c r="F1263" s="84"/>
      <c r="AE1263" s="84"/>
      <c r="AF1263" s="84"/>
    </row>
    <row r="1264" spans="5:32" ht="42" customHeight="1">
      <c r="E1264" s="84"/>
      <c r="F1264" s="84"/>
      <c r="AE1264" s="84"/>
      <c r="AF1264" s="84"/>
    </row>
    <row r="1265" spans="5:32" ht="42" customHeight="1">
      <c r="E1265" s="84"/>
      <c r="F1265" s="84"/>
      <c r="AE1265" s="84"/>
      <c r="AF1265" s="84"/>
    </row>
    <row r="1266" spans="5:32" ht="42" customHeight="1">
      <c r="E1266" s="84"/>
      <c r="F1266" s="84"/>
      <c r="AE1266" s="84"/>
      <c r="AF1266" s="84"/>
    </row>
    <row r="1267" spans="5:32" ht="42" customHeight="1">
      <c r="E1267" s="84"/>
      <c r="F1267" s="84"/>
      <c r="AE1267" s="84"/>
      <c r="AF1267" s="84"/>
    </row>
    <row r="1268" spans="5:32" ht="42" customHeight="1">
      <c r="E1268" s="84"/>
      <c r="F1268" s="84"/>
      <c r="AE1268" s="84"/>
      <c r="AF1268" s="84"/>
    </row>
    <row r="1269" spans="5:32" ht="42" customHeight="1">
      <c r="E1269" s="84"/>
      <c r="F1269" s="84"/>
      <c r="AE1269" s="84"/>
      <c r="AF1269" s="84"/>
    </row>
    <row r="1270" spans="5:32" ht="42" customHeight="1">
      <c r="E1270" s="84"/>
      <c r="F1270" s="84"/>
      <c r="AE1270" s="84"/>
      <c r="AF1270" s="84"/>
    </row>
    <row r="1271" spans="5:32" ht="42" customHeight="1">
      <c r="E1271" s="84"/>
      <c r="F1271" s="84"/>
      <c r="AE1271" s="84"/>
      <c r="AF1271" s="84"/>
    </row>
    <row r="1272" spans="5:32" ht="42" customHeight="1">
      <c r="E1272" s="84"/>
      <c r="F1272" s="84"/>
      <c r="AE1272" s="84"/>
      <c r="AF1272" s="84"/>
    </row>
    <row r="1273" spans="5:32" ht="42" customHeight="1">
      <c r="E1273" s="84"/>
      <c r="F1273" s="84"/>
      <c r="AE1273" s="84"/>
      <c r="AF1273" s="84"/>
    </row>
    <row r="1274" spans="5:32" ht="42" customHeight="1">
      <c r="E1274" s="84"/>
      <c r="F1274" s="84"/>
      <c r="AE1274" s="84"/>
      <c r="AF1274" s="84"/>
    </row>
    <row r="1275" spans="5:32" ht="42" customHeight="1">
      <c r="E1275" s="84"/>
      <c r="F1275" s="84"/>
      <c r="AE1275" s="84"/>
      <c r="AF1275" s="84"/>
    </row>
    <row r="1276" spans="5:32" ht="42" customHeight="1">
      <c r="E1276" s="84"/>
      <c r="F1276" s="84"/>
      <c r="AE1276" s="84"/>
      <c r="AF1276" s="84"/>
    </row>
    <row r="1277" spans="5:32" ht="42" customHeight="1">
      <c r="E1277" s="84"/>
      <c r="F1277" s="84"/>
      <c r="AE1277" s="84"/>
      <c r="AF1277" s="84"/>
    </row>
    <row r="1278" spans="5:32" ht="42" customHeight="1">
      <c r="E1278" s="84"/>
      <c r="F1278" s="84"/>
      <c r="AE1278" s="84"/>
      <c r="AF1278" s="84"/>
    </row>
    <row r="1279" spans="5:32" ht="42" customHeight="1">
      <c r="E1279" s="84"/>
      <c r="F1279" s="84"/>
      <c r="AE1279" s="84"/>
      <c r="AF1279" s="84"/>
    </row>
    <row r="1280" spans="5:32" ht="42" customHeight="1">
      <c r="E1280" s="84"/>
      <c r="F1280" s="84"/>
      <c r="AE1280" s="84"/>
      <c r="AF1280" s="84"/>
    </row>
    <row r="1281" spans="5:32" ht="42" customHeight="1">
      <c r="E1281" s="84"/>
      <c r="F1281" s="84"/>
      <c r="AE1281" s="84"/>
      <c r="AF1281" s="84"/>
    </row>
    <row r="1282" spans="5:32" ht="42" customHeight="1">
      <c r="E1282" s="84"/>
      <c r="F1282" s="84"/>
      <c r="AE1282" s="84"/>
      <c r="AF1282" s="84"/>
    </row>
    <row r="1283" spans="5:32" ht="42" customHeight="1">
      <c r="E1283" s="84"/>
      <c r="F1283" s="84"/>
      <c r="AE1283" s="84"/>
      <c r="AF1283" s="84"/>
    </row>
    <row r="1284" spans="5:32" ht="42" customHeight="1">
      <c r="E1284" s="84"/>
      <c r="F1284" s="84"/>
      <c r="AE1284" s="84"/>
      <c r="AF1284" s="84"/>
    </row>
    <row r="1285" spans="5:32" ht="42" customHeight="1">
      <c r="E1285" s="84"/>
      <c r="F1285" s="84"/>
      <c r="AE1285" s="84"/>
      <c r="AF1285" s="84"/>
    </row>
    <row r="1286" spans="5:32" ht="42" customHeight="1">
      <c r="E1286" s="84"/>
      <c r="F1286" s="84"/>
      <c r="AE1286" s="84"/>
      <c r="AF1286" s="84"/>
    </row>
    <row r="1287" spans="5:32" ht="42" customHeight="1">
      <c r="E1287" s="84"/>
      <c r="F1287" s="84"/>
      <c r="AE1287" s="84"/>
      <c r="AF1287" s="84"/>
    </row>
    <row r="1288" spans="5:32" ht="42" customHeight="1">
      <c r="E1288" s="84"/>
      <c r="F1288" s="84"/>
      <c r="AE1288" s="84"/>
      <c r="AF1288" s="84"/>
    </row>
    <row r="1289" spans="5:32" ht="42" customHeight="1">
      <c r="E1289" s="84"/>
      <c r="F1289" s="84"/>
      <c r="AE1289" s="84"/>
      <c r="AF1289" s="84"/>
    </row>
    <row r="1290" spans="5:32" ht="42" customHeight="1">
      <c r="E1290" s="84"/>
      <c r="F1290" s="84"/>
      <c r="AE1290" s="84"/>
      <c r="AF1290" s="84"/>
    </row>
    <row r="1291" spans="5:32" ht="42" customHeight="1">
      <c r="E1291" s="84"/>
      <c r="F1291" s="84"/>
      <c r="AE1291" s="84"/>
      <c r="AF1291" s="84"/>
    </row>
    <row r="1292" spans="5:32" ht="42" customHeight="1">
      <c r="E1292" s="84"/>
      <c r="F1292" s="84"/>
      <c r="AE1292" s="84"/>
      <c r="AF1292" s="84"/>
    </row>
    <row r="1293" spans="5:32" ht="42" customHeight="1">
      <c r="E1293" s="84"/>
      <c r="F1293" s="84"/>
      <c r="AE1293" s="84"/>
      <c r="AF1293" s="84"/>
    </row>
    <row r="1294" spans="5:32" ht="42" customHeight="1">
      <c r="E1294" s="84"/>
      <c r="F1294" s="84"/>
      <c r="AE1294" s="84"/>
      <c r="AF1294" s="84"/>
    </row>
    <row r="1295" spans="5:32" ht="42" customHeight="1">
      <c r="E1295" s="84"/>
      <c r="F1295" s="84"/>
      <c r="AE1295" s="84"/>
      <c r="AF1295" s="84"/>
    </row>
    <row r="1296" spans="5:32" ht="42" customHeight="1">
      <c r="E1296" s="84"/>
      <c r="F1296" s="84"/>
      <c r="AE1296" s="84"/>
      <c r="AF1296" s="84"/>
    </row>
    <row r="1297" spans="5:32" ht="42" customHeight="1">
      <c r="E1297" s="84"/>
      <c r="F1297" s="84"/>
      <c r="AE1297" s="84"/>
      <c r="AF1297" s="84"/>
    </row>
    <row r="1298" spans="5:32" ht="42" customHeight="1">
      <c r="E1298" s="84"/>
      <c r="F1298" s="84"/>
      <c r="AE1298" s="84"/>
      <c r="AF1298" s="84"/>
    </row>
    <row r="1299" spans="5:32" ht="42" customHeight="1">
      <c r="E1299" s="84"/>
      <c r="F1299" s="84"/>
      <c r="AE1299" s="84"/>
      <c r="AF1299" s="84"/>
    </row>
    <row r="1300" spans="5:32" ht="42" customHeight="1">
      <c r="E1300" s="84"/>
      <c r="F1300" s="84"/>
      <c r="AE1300" s="84"/>
      <c r="AF1300" s="84"/>
    </row>
    <row r="1301" spans="5:32" ht="42" customHeight="1">
      <c r="E1301" s="84"/>
      <c r="F1301" s="84"/>
      <c r="AE1301" s="84"/>
      <c r="AF1301" s="84"/>
    </row>
    <row r="1302" spans="5:32" ht="42" customHeight="1">
      <c r="E1302" s="84"/>
      <c r="F1302" s="84"/>
      <c r="AE1302" s="84"/>
      <c r="AF1302" s="84"/>
    </row>
    <row r="1303" spans="5:32" ht="42" customHeight="1">
      <c r="E1303" s="84"/>
      <c r="F1303" s="84"/>
      <c r="AE1303" s="84"/>
      <c r="AF1303" s="84"/>
    </row>
    <row r="1304" spans="5:32" ht="42" customHeight="1">
      <c r="E1304" s="84"/>
      <c r="F1304" s="84"/>
      <c r="AE1304" s="84"/>
      <c r="AF1304" s="84"/>
    </row>
    <row r="1305" spans="5:32" ht="42" customHeight="1">
      <c r="E1305" s="84"/>
      <c r="F1305" s="84"/>
      <c r="AE1305" s="84"/>
      <c r="AF1305" s="84"/>
    </row>
    <row r="1306" spans="5:32" ht="42" customHeight="1">
      <c r="E1306" s="84"/>
      <c r="F1306" s="84"/>
      <c r="AE1306" s="84"/>
      <c r="AF1306" s="84"/>
    </row>
    <row r="1307" spans="5:32" ht="42" customHeight="1">
      <c r="E1307" s="84"/>
      <c r="F1307" s="84"/>
      <c r="AE1307" s="84"/>
      <c r="AF1307" s="84"/>
    </row>
    <row r="1308" spans="5:32" ht="42" customHeight="1">
      <c r="E1308" s="84"/>
      <c r="F1308" s="84"/>
      <c r="AE1308" s="84"/>
      <c r="AF1308" s="84"/>
    </row>
    <row r="1309" spans="5:32" ht="42" customHeight="1">
      <c r="E1309" s="84"/>
      <c r="F1309" s="84"/>
      <c r="AE1309" s="84"/>
      <c r="AF1309" s="84"/>
    </row>
    <row r="1310" spans="5:32" ht="42" customHeight="1">
      <c r="E1310" s="84"/>
      <c r="F1310" s="84"/>
      <c r="AE1310" s="84"/>
      <c r="AF1310" s="84"/>
    </row>
    <row r="1311" spans="5:32" ht="42" customHeight="1">
      <c r="E1311" s="84"/>
      <c r="F1311" s="84"/>
      <c r="AE1311" s="84"/>
      <c r="AF1311" s="84"/>
    </row>
    <row r="1312" spans="5:32" ht="42" customHeight="1">
      <c r="E1312" s="84"/>
      <c r="F1312" s="84"/>
      <c r="AE1312" s="84"/>
      <c r="AF1312" s="84"/>
    </row>
    <row r="1313" spans="5:32" ht="42" customHeight="1">
      <c r="E1313" s="84"/>
      <c r="F1313" s="84"/>
      <c r="AE1313" s="84"/>
      <c r="AF1313" s="84"/>
    </row>
    <row r="1314" spans="5:32" ht="42" customHeight="1">
      <c r="E1314" s="84"/>
      <c r="F1314" s="84"/>
      <c r="AE1314" s="84"/>
      <c r="AF1314" s="84"/>
    </row>
    <row r="1315" spans="5:32" ht="42" customHeight="1">
      <c r="E1315" s="84"/>
      <c r="F1315" s="84"/>
      <c r="AE1315" s="84"/>
      <c r="AF1315" s="84"/>
    </row>
    <row r="1316" spans="5:32" ht="42" customHeight="1">
      <c r="E1316" s="84"/>
      <c r="F1316" s="84"/>
      <c r="AE1316" s="84"/>
      <c r="AF1316" s="84"/>
    </row>
    <row r="1317" spans="5:32" ht="42" customHeight="1">
      <c r="E1317" s="84"/>
      <c r="F1317" s="84"/>
      <c r="AE1317" s="84"/>
      <c r="AF1317" s="84"/>
    </row>
    <row r="1318" spans="5:32" ht="42" customHeight="1">
      <c r="E1318" s="84"/>
      <c r="F1318" s="84"/>
      <c r="AE1318" s="84"/>
      <c r="AF1318" s="84"/>
    </row>
    <row r="1319" spans="5:32" ht="42" customHeight="1">
      <c r="E1319" s="84"/>
      <c r="F1319" s="84"/>
      <c r="AE1319" s="84"/>
      <c r="AF1319" s="84"/>
    </row>
    <row r="1320" spans="5:32" ht="42" customHeight="1">
      <c r="E1320" s="84"/>
      <c r="F1320" s="84"/>
      <c r="AE1320" s="84"/>
      <c r="AF1320" s="84"/>
    </row>
    <row r="1321" spans="5:32" ht="42" customHeight="1">
      <c r="E1321" s="84"/>
      <c r="F1321" s="84"/>
      <c r="AE1321" s="84"/>
      <c r="AF1321" s="84"/>
    </row>
    <row r="1322" spans="5:32" ht="42" customHeight="1">
      <c r="E1322" s="84"/>
      <c r="F1322" s="84"/>
      <c r="AE1322" s="84"/>
      <c r="AF1322" s="84"/>
    </row>
    <row r="1323" spans="5:32" ht="42" customHeight="1">
      <c r="E1323" s="84"/>
      <c r="F1323" s="84"/>
      <c r="AE1323" s="84"/>
      <c r="AF1323" s="84"/>
    </row>
    <row r="1324" spans="5:32" ht="42" customHeight="1">
      <c r="E1324" s="84"/>
      <c r="F1324" s="84"/>
      <c r="AE1324" s="84"/>
      <c r="AF1324" s="84"/>
    </row>
    <row r="1325" spans="5:32" ht="42" customHeight="1">
      <c r="E1325" s="84"/>
      <c r="F1325" s="84"/>
      <c r="AE1325" s="84"/>
      <c r="AF1325" s="84"/>
    </row>
    <row r="1326" spans="5:32" ht="42" customHeight="1">
      <c r="E1326" s="84"/>
      <c r="F1326" s="84"/>
      <c r="AE1326" s="84"/>
      <c r="AF1326" s="84"/>
    </row>
    <row r="1327" spans="5:32" ht="42" customHeight="1">
      <c r="E1327" s="84"/>
      <c r="F1327" s="84"/>
      <c r="AE1327" s="84"/>
      <c r="AF1327" s="84"/>
    </row>
    <row r="1328" spans="5:32" ht="42" customHeight="1">
      <c r="E1328" s="84"/>
      <c r="F1328" s="84"/>
      <c r="AE1328" s="84"/>
      <c r="AF1328" s="84"/>
    </row>
    <row r="1329" spans="5:32" ht="42" customHeight="1">
      <c r="E1329" s="84"/>
      <c r="F1329" s="84"/>
      <c r="AE1329" s="84"/>
      <c r="AF1329" s="84"/>
    </row>
    <row r="1330" spans="5:32" ht="42" customHeight="1">
      <c r="E1330" s="84"/>
      <c r="F1330" s="84"/>
      <c r="AE1330" s="84"/>
      <c r="AF1330" s="84"/>
    </row>
    <row r="1331" spans="5:32" ht="42" customHeight="1">
      <c r="E1331" s="84"/>
      <c r="F1331" s="84"/>
      <c r="AE1331" s="84"/>
      <c r="AF1331" s="84"/>
    </row>
    <row r="1332" spans="5:32" ht="42" customHeight="1">
      <c r="E1332" s="84"/>
      <c r="F1332" s="84"/>
      <c r="AE1332" s="84"/>
      <c r="AF1332" s="84"/>
    </row>
    <row r="1333" spans="5:32" ht="42" customHeight="1">
      <c r="E1333" s="84"/>
      <c r="F1333" s="84"/>
      <c r="AE1333" s="84"/>
      <c r="AF1333" s="84"/>
    </row>
    <row r="1334" spans="5:32" ht="42" customHeight="1">
      <c r="E1334" s="84"/>
      <c r="F1334" s="84"/>
      <c r="AE1334" s="84"/>
      <c r="AF1334" s="84"/>
    </row>
    <row r="1335" spans="5:32" ht="42" customHeight="1">
      <c r="E1335" s="84"/>
      <c r="F1335" s="84"/>
      <c r="AE1335" s="84"/>
      <c r="AF1335" s="84"/>
    </row>
  </sheetData>
  <sheetProtection algorithmName="SHA-512" hashValue="rxrmZo0r3ayYTseWjqncTlTPhw1eRjctbFuxOX+WOIg0cHv2E6NAV9eTqb3w6ZF0XOLX6bA7oXncJZXOCShs7g==" saltValue="15GmEmeMH/r2Jy779olm4Q==" spinCount="100000" sheet="1" objects="1" scenarios="1"/>
  <mergeCells count="728">
    <mergeCell ref="V270:V271"/>
    <mergeCell ref="Y270:Y271"/>
    <mergeCell ref="Z270:Z271"/>
    <mergeCell ref="AA270:AA271"/>
    <mergeCell ref="L312:L314"/>
    <mergeCell ref="Y284:Y287"/>
    <mergeCell ref="Z284:Z287"/>
    <mergeCell ref="AA284:AA287"/>
    <mergeCell ref="AB284:AB287"/>
    <mergeCell ref="W155:W157"/>
    <mergeCell ref="Y138:Y139"/>
    <mergeCell ref="Y95:Y96"/>
    <mergeCell ref="W145:W147"/>
    <mergeCell ref="X169:X172"/>
    <mergeCell ref="AA280:AA283"/>
    <mergeCell ref="AA195:AA196"/>
    <mergeCell ref="U284:U287"/>
    <mergeCell ref="V284:V287"/>
    <mergeCell ref="W284:W287"/>
    <mergeCell ref="X284:X287"/>
    <mergeCell ref="AA138:AA139"/>
    <mergeCell ref="AA143:AA144"/>
    <mergeCell ref="AA155:AA157"/>
    <mergeCell ref="AA175:AA178"/>
    <mergeCell ref="W143:W144"/>
    <mergeCell ref="W163:W168"/>
    <mergeCell ref="W148:W150"/>
    <mergeCell ref="W138:W139"/>
    <mergeCell ref="B292:D292"/>
    <mergeCell ref="Y25:Y26"/>
    <mergeCell ref="Z25:Z26"/>
    <mergeCell ref="AA25:AA26"/>
    <mergeCell ref="AB25:AB26"/>
    <mergeCell ref="AA36:AA37"/>
    <mergeCell ref="U70:U74"/>
    <mergeCell ref="U66:U69"/>
    <mergeCell ref="Y66:Y69"/>
    <mergeCell ref="V70:V74"/>
    <mergeCell ref="W70:W74"/>
    <mergeCell ref="W66:W69"/>
    <mergeCell ref="Y70:Y74"/>
    <mergeCell ref="Y84:Y89"/>
    <mergeCell ref="AA70:AA74"/>
    <mergeCell ref="X80:X81"/>
    <mergeCell ref="Y80:Y81"/>
    <mergeCell ref="X66:X69"/>
    <mergeCell ref="X84:X89"/>
    <mergeCell ref="W80:W81"/>
    <mergeCell ref="AA90:AA92"/>
    <mergeCell ref="AA95:AA96"/>
    <mergeCell ref="AA101:AA103"/>
    <mergeCell ref="AA115:AA119"/>
    <mergeCell ref="B296:D296"/>
    <mergeCell ref="B294:D294"/>
    <mergeCell ref="T138:T139"/>
    <mergeCell ref="S138:S139"/>
    <mergeCell ref="A143:A144"/>
    <mergeCell ref="V127:V131"/>
    <mergeCell ref="Z133:Z135"/>
    <mergeCell ref="AA133:AA135"/>
    <mergeCell ref="V163:V168"/>
    <mergeCell ref="U197:AB199"/>
    <mergeCell ref="U155:U157"/>
    <mergeCell ref="U163:U168"/>
    <mergeCell ref="V155:V157"/>
    <mergeCell ref="B195:B196"/>
    <mergeCell ref="T163:T168"/>
    <mergeCell ref="S163:S168"/>
    <mergeCell ref="S145:S147"/>
    <mergeCell ref="T145:T147"/>
    <mergeCell ref="W133:W135"/>
    <mergeCell ref="X145:X147"/>
    <mergeCell ref="W169:W172"/>
    <mergeCell ref="W175:W178"/>
    <mergeCell ref="X175:X178"/>
    <mergeCell ref="Y175:Y178"/>
    <mergeCell ref="U39:U41"/>
    <mergeCell ref="W60:W65"/>
    <mergeCell ref="V60:V61"/>
    <mergeCell ref="B145:B147"/>
    <mergeCell ref="C145:C147"/>
    <mergeCell ref="A138:A139"/>
    <mergeCell ref="B138:B139"/>
    <mergeCell ref="A136:A137"/>
    <mergeCell ref="B136:B137"/>
    <mergeCell ref="C143:C144"/>
    <mergeCell ref="C138:C139"/>
    <mergeCell ref="B143:B144"/>
    <mergeCell ref="V62:V65"/>
    <mergeCell ref="V66:V69"/>
    <mergeCell ref="W39:W41"/>
    <mergeCell ref="Z39:Z41"/>
    <mergeCell ref="X39:X41"/>
    <mergeCell ref="Y39:Y41"/>
    <mergeCell ref="Z45:Z46"/>
    <mergeCell ref="X45:X46"/>
    <mergeCell ref="Y45:Y46"/>
    <mergeCell ref="V39:V41"/>
    <mergeCell ref="Y163:Y168"/>
    <mergeCell ref="Y115:Y119"/>
    <mergeCell ref="Y107:Y109"/>
    <mergeCell ref="Y113:Y114"/>
    <mergeCell ref="Y155:Y157"/>
    <mergeCell ref="AB104:AB106"/>
    <mergeCell ref="AA39:AA41"/>
    <mergeCell ref="AA45:AA46"/>
    <mergeCell ref="AA48:AA53"/>
    <mergeCell ref="AA54:AA55"/>
    <mergeCell ref="AA56:AA59"/>
    <mergeCell ref="AA60:AA61"/>
    <mergeCell ref="AA62:AA65"/>
    <mergeCell ref="AB203:AB205"/>
    <mergeCell ref="AB215:AB216"/>
    <mergeCell ref="AB212:AB213"/>
    <mergeCell ref="Z206:Z208"/>
    <mergeCell ref="AA206:AA208"/>
    <mergeCell ref="AB206:AB208"/>
    <mergeCell ref="AB145:AB147"/>
    <mergeCell ref="Z101:Z103"/>
    <mergeCell ref="AB163:AB168"/>
    <mergeCell ref="Z155:Z157"/>
    <mergeCell ref="W203:W205"/>
    <mergeCell ref="X203:X205"/>
    <mergeCell ref="U209:U210"/>
    <mergeCell ref="V209:V210"/>
    <mergeCell ref="X209:X210"/>
    <mergeCell ref="W209:W210"/>
    <mergeCell ref="Y195:Y196"/>
    <mergeCell ref="AB222:AB223"/>
    <mergeCell ref="AA212:AA213"/>
    <mergeCell ref="AA222:AA223"/>
    <mergeCell ref="X200:X202"/>
    <mergeCell ref="X206:X208"/>
    <mergeCell ref="Z222:Z223"/>
    <mergeCell ref="Y222:Y223"/>
    <mergeCell ref="Y206:Y208"/>
    <mergeCell ref="Y200:Y202"/>
    <mergeCell ref="AB195:AB196"/>
    <mergeCell ref="Z212:Z213"/>
    <mergeCell ref="Z200:Z202"/>
    <mergeCell ref="AA200:AA202"/>
    <mergeCell ref="AB200:AB202"/>
    <mergeCell ref="Y203:Y205"/>
    <mergeCell ref="Z203:Z205"/>
    <mergeCell ref="AA203:AA205"/>
    <mergeCell ref="Y169:Y172"/>
    <mergeCell ref="AB110:AB112"/>
    <mergeCell ref="AB107:AB109"/>
    <mergeCell ref="V110:V112"/>
    <mergeCell ref="W101:W103"/>
    <mergeCell ref="T197:T199"/>
    <mergeCell ref="T200:T202"/>
    <mergeCell ref="U200:U202"/>
    <mergeCell ref="V200:V202"/>
    <mergeCell ref="W195:W196"/>
    <mergeCell ref="X163:X168"/>
    <mergeCell ref="V104:V106"/>
    <mergeCell ref="W136:W137"/>
    <mergeCell ref="X136:X137"/>
    <mergeCell ref="V136:V137"/>
    <mergeCell ref="W127:W131"/>
    <mergeCell ref="X155:X157"/>
    <mergeCell ref="X104:X106"/>
    <mergeCell ref="V145:V147"/>
    <mergeCell ref="U138:U139"/>
    <mergeCell ref="V138:V139"/>
    <mergeCell ref="W200:W202"/>
    <mergeCell ref="X195:X196"/>
    <mergeCell ref="U195:U196"/>
    <mergeCell ref="Y148:Y150"/>
    <mergeCell ref="AB148:AB150"/>
    <mergeCell ref="X148:X150"/>
    <mergeCell ref="AB155:AB157"/>
    <mergeCell ref="X110:X112"/>
    <mergeCell ref="Z115:Z119"/>
    <mergeCell ref="Y110:Y112"/>
    <mergeCell ref="Y145:Y147"/>
    <mergeCell ref="X113:X114"/>
    <mergeCell ref="X127:X131"/>
    <mergeCell ref="X115:X119"/>
    <mergeCell ref="X133:X135"/>
    <mergeCell ref="Y133:Y135"/>
    <mergeCell ref="Y136:Y137"/>
    <mergeCell ref="AB136:AB137"/>
    <mergeCell ref="X138:X139"/>
    <mergeCell ref="Z138:Z139"/>
    <mergeCell ref="Y127:Y131"/>
    <mergeCell ref="Y104:Y106"/>
    <mergeCell ref="Z143:Z144"/>
    <mergeCell ref="Y143:Y144"/>
    <mergeCell ref="AB143:AB144"/>
    <mergeCell ref="X143:X144"/>
    <mergeCell ref="B303:D303"/>
    <mergeCell ref="AB39:AB41"/>
    <mergeCell ref="AB45:AB46"/>
    <mergeCell ref="AB66:AB69"/>
    <mergeCell ref="AB70:AB74"/>
    <mergeCell ref="AB80:AB81"/>
    <mergeCell ref="AB82:AB83"/>
    <mergeCell ref="AB84:AB89"/>
    <mergeCell ref="AB90:AB92"/>
    <mergeCell ref="AB95:AB96"/>
    <mergeCell ref="AB98:AB100"/>
    <mergeCell ref="AB113:AB114"/>
    <mergeCell ref="AB115:AB119"/>
    <mergeCell ref="AB127:AB131"/>
    <mergeCell ref="AB133:AB135"/>
    <mergeCell ref="AB138:AB139"/>
    <mergeCell ref="W276:W278"/>
    <mergeCell ref="X276:X278"/>
    <mergeCell ref="W252:W253"/>
    <mergeCell ref="U254:U255"/>
    <mergeCell ref="W257:W258"/>
    <mergeCell ref="U232:U234"/>
    <mergeCell ref="AB169:AB172"/>
    <mergeCell ref="AB175:AB178"/>
    <mergeCell ref="W270:W272"/>
    <mergeCell ref="Y257:Y258"/>
    <mergeCell ref="W230:W231"/>
    <mergeCell ref="W262:W265"/>
    <mergeCell ref="X262:X265"/>
    <mergeCell ref="X254:X255"/>
    <mergeCell ref="Y254:Y255"/>
    <mergeCell ref="X250:X251"/>
    <mergeCell ref="X252:X253"/>
    <mergeCell ref="Y252:Y253"/>
    <mergeCell ref="X232:X234"/>
    <mergeCell ref="Y232:Y234"/>
    <mergeCell ref="X248:X249"/>
    <mergeCell ref="Y248:Y249"/>
    <mergeCell ref="X267:X268"/>
    <mergeCell ref="Y267:Y268"/>
    <mergeCell ref="W267:W268"/>
    <mergeCell ref="A212:A213"/>
    <mergeCell ref="X224:X225"/>
    <mergeCell ref="W224:W225"/>
    <mergeCell ref="X230:X231"/>
    <mergeCell ref="X226:X229"/>
    <mergeCell ref="U224:U225"/>
    <mergeCell ref="X212:X213"/>
    <mergeCell ref="X215:X216"/>
    <mergeCell ref="W222:W223"/>
    <mergeCell ref="V226:V229"/>
    <mergeCell ref="W215:W216"/>
    <mergeCell ref="V215:V216"/>
    <mergeCell ref="V224:V225"/>
    <mergeCell ref="T212:T213"/>
    <mergeCell ref="V230:V231"/>
    <mergeCell ref="U226:U229"/>
    <mergeCell ref="U230:U231"/>
    <mergeCell ref="X222:X223"/>
    <mergeCell ref="T224:T225"/>
    <mergeCell ref="U222:U223"/>
    <mergeCell ref="W226:W229"/>
    <mergeCell ref="W212:W213"/>
    <mergeCell ref="C206:C208"/>
    <mergeCell ref="T232:T234"/>
    <mergeCell ref="A1:H1"/>
    <mergeCell ref="C36:C37"/>
    <mergeCell ref="A36:A37"/>
    <mergeCell ref="B36:B37"/>
    <mergeCell ref="B22:B23"/>
    <mergeCell ref="A22:A23"/>
    <mergeCell ref="A2:AB2"/>
    <mergeCell ref="W1:AB1"/>
    <mergeCell ref="B11:S11"/>
    <mergeCell ref="T4:AB4"/>
    <mergeCell ref="T7:V7"/>
    <mergeCell ref="T36:T37"/>
    <mergeCell ref="U36:U37"/>
    <mergeCell ref="H22:H23"/>
    <mergeCell ref="G22:G23"/>
    <mergeCell ref="I22:I23"/>
    <mergeCell ref="A19:AB19"/>
    <mergeCell ref="W22:AA22"/>
    <mergeCell ref="A224:A225"/>
    <mergeCell ref="A222:A223"/>
    <mergeCell ref="B222:B223"/>
    <mergeCell ref="A215:A216"/>
    <mergeCell ref="B6:S6"/>
    <mergeCell ref="B10:S10"/>
    <mergeCell ref="B5:S5"/>
    <mergeCell ref="B12:S12"/>
    <mergeCell ref="B13:S13"/>
    <mergeCell ref="A21:AB21"/>
    <mergeCell ref="A18:E18"/>
    <mergeCell ref="W25:W37"/>
    <mergeCell ref="AB22:AB23"/>
    <mergeCell ref="X36:X37"/>
    <mergeCell ref="Y36:Y37"/>
    <mergeCell ref="Z36:Z37"/>
    <mergeCell ref="AB36:AB37"/>
    <mergeCell ref="K22:K23"/>
    <mergeCell ref="L22:L23"/>
    <mergeCell ref="T22:T23"/>
    <mergeCell ref="C22:C23"/>
    <mergeCell ref="D22:D23"/>
    <mergeCell ref="E22:E23"/>
    <mergeCell ref="F22:F23"/>
    <mergeCell ref="M22:M23"/>
    <mergeCell ref="P22:P23"/>
    <mergeCell ref="C25:C27"/>
    <mergeCell ref="T25:T27"/>
    <mergeCell ref="AB48:AB49"/>
    <mergeCell ref="AB62:AB65"/>
    <mergeCell ref="X48:X53"/>
    <mergeCell ref="X62:X65"/>
    <mergeCell ref="Y62:Y65"/>
    <mergeCell ref="Z62:Z65"/>
    <mergeCell ref="Y56:Y59"/>
    <mergeCell ref="Z56:Z59"/>
    <mergeCell ref="X60:X61"/>
    <mergeCell ref="Y60:Y61"/>
    <mergeCell ref="Z60:Z61"/>
    <mergeCell ref="X56:X59"/>
    <mergeCell ref="AB60:AB61"/>
    <mergeCell ref="AB56:AB59"/>
    <mergeCell ref="AB50:AB53"/>
    <mergeCell ref="Z48:Z53"/>
    <mergeCell ref="Y48:Y53"/>
    <mergeCell ref="Y54:Y55"/>
    <mergeCell ref="Z54:Z55"/>
    <mergeCell ref="AB54:AB55"/>
    <mergeCell ref="X54:X55"/>
    <mergeCell ref="A82:A83"/>
    <mergeCell ref="U25:U27"/>
    <mergeCell ref="U22:U23"/>
    <mergeCell ref="V22:V23"/>
    <mergeCell ref="A25:A27"/>
    <mergeCell ref="B25:B27"/>
    <mergeCell ref="S22:S23"/>
    <mergeCell ref="S25:S37"/>
    <mergeCell ref="J22:J23"/>
    <mergeCell ref="O22:O23"/>
    <mergeCell ref="K28:K31"/>
    <mergeCell ref="V36:V37"/>
    <mergeCell ref="N22:N23"/>
    <mergeCell ref="Q22:Q23"/>
    <mergeCell ref="R22:R23"/>
    <mergeCell ref="A33:A34"/>
    <mergeCell ref="B33:B34"/>
    <mergeCell ref="V25:V26"/>
    <mergeCell ref="B39:B41"/>
    <mergeCell ref="A39:A41"/>
    <mergeCell ref="S39:S41"/>
    <mergeCell ref="C39:C41"/>
    <mergeCell ref="T39:T41"/>
    <mergeCell ref="A60:A65"/>
    <mergeCell ref="B60:B65"/>
    <mergeCell ref="C60:C65"/>
    <mergeCell ref="B80:B81"/>
    <mergeCell ref="C80:C81"/>
    <mergeCell ref="T80:T81"/>
    <mergeCell ref="S80:S81"/>
    <mergeCell ref="A80:A81"/>
    <mergeCell ref="A66:A69"/>
    <mergeCell ref="C66:C69"/>
    <mergeCell ref="T66:T69"/>
    <mergeCell ref="S66:S69"/>
    <mergeCell ref="A70:A74"/>
    <mergeCell ref="B70:B74"/>
    <mergeCell ref="C70:C74"/>
    <mergeCell ref="T60:T65"/>
    <mergeCell ref="S133:S135"/>
    <mergeCell ref="V115:V119"/>
    <mergeCell ref="T113:T114"/>
    <mergeCell ref="S155:S157"/>
    <mergeCell ref="V143:V144"/>
    <mergeCell ref="U206:U208"/>
    <mergeCell ref="T82:T83"/>
    <mergeCell ref="T84:T89"/>
    <mergeCell ref="W90:W92"/>
    <mergeCell ref="V90:V92"/>
    <mergeCell ref="U90:U92"/>
    <mergeCell ref="S90:S92"/>
    <mergeCell ref="S95:S96"/>
    <mergeCell ref="T90:T92"/>
    <mergeCell ref="V84:V89"/>
    <mergeCell ref="W84:W89"/>
    <mergeCell ref="W206:W208"/>
    <mergeCell ref="U113:U114"/>
    <mergeCell ref="W110:W112"/>
    <mergeCell ref="V133:V135"/>
    <mergeCell ref="W115:W119"/>
    <mergeCell ref="T195:T196"/>
    <mergeCell ref="S175:S178"/>
    <mergeCell ref="V113:V114"/>
    <mergeCell ref="U148:U150"/>
    <mergeCell ref="V148:V150"/>
    <mergeCell ref="W113:W114"/>
    <mergeCell ref="U136:U137"/>
    <mergeCell ref="T143:T144"/>
    <mergeCell ref="T155:T157"/>
    <mergeCell ref="T169:T172"/>
    <mergeCell ref="T175:T178"/>
    <mergeCell ref="U145:U147"/>
    <mergeCell ref="V169:V172"/>
    <mergeCell ref="S200:S202"/>
    <mergeCell ref="V175:V178"/>
    <mergeCell ref="U169:U172"/>
    <mergeCell ref="T226:T229"/>
    <mergeCell ref="T203:T205"/>
    <mergeCell ref="S209:S210"/>
    <mergeCell ref="T209:T210"/>
    <mergeCell ref="U212:U213"/>
    <mergeCell ref="V206:V208"/>
    <mergeCell ref="V195:V196"/>
    <mergeCell ref="S206:S208"/>
    <mergeCell ref="T222:T223"/>
    <mergeCell ref="S222:S223"/>
    <mergeCell ref="T215:T216"/>
    <mergeCell ref="U203:U205"/>
    <mergeCell ref="S224:S249"/>
    <mergeCell ref="T206:T208"/>
    <mergeCell ref="V203:V205"/>
    <mergeCell ref="V222:V223"/>
    <mergeCell ref="U215:U216"/>
    <mergeCell ref="V232:V234"/>
    <mergeCell ref="V248:V249"/>
    <mergeCell ref="A252:A253"/>
    <mergeCell ref="B252:B253"/>
    <mergeCell ref="C250:C251"/>
    <mergeCell ref="B248:B249"/>
    <mergeCell ref="B175:B178"/>
    <mergeCell ref="B169:B172"/>
    <mergeCell ref="A248:A249"/>
    <mergeCell ref="A232:A234"/>
    <mergeCell ref="C232:C234"/>
    <mergeCell ref="C226:C229"/>
    <mergeCell ref="B230:B231"/>
    <mergeCell ref="A250:A251"/>
    <mergeCell ref="B250:B251"/>
    <mergeCell ref="A226:A229"/>
    <mergeCell ref="A230:A231"/>
    <mergeCell ref="A200:A202"/>
    <mergeCell ref="B200:B202"/>
    <mergeCell ref="A206:A208"/>
    <mergeCell ref="B206:B208"/>
    <mergeCell ref="B224:B225"/>
    <mergeCell ref="B215:B216"/>
    <mergeCell ref="C175:C178"/>
    <mergeCell ref="A209:A210"/>
    <mergeCell ref="B209:B210"/>
    <mergeCell ref="S113:S114"/>
    <mergeCell ref="C104:C106"/>
    <mergeCell ref="S104:S106"/>
    <mergeCell ref="T70:T74"/>
    <mergeCell ref="S70:S74"/>
    <mergeCell ref="T98:T100"/>
    <mergeCell ref="S98:S100"/>
    <mergeCell ref="B95:B96"/>
    <mergeCell ref="C95:C96"/>
    <mergeCell ref="C90:C92"/>
    <mergeCell ref="C107:C109"/>
    <mergeCell ref="B98:B100"/>
    <mergeCell ref="C98:C100"/>
    <mergeCell ref="T95:T96"/>
    <mergeCell ref="U98:U100"/>
    <mergeCell ref="U101:U103"/>
    <mergeCell ref="V101:V103"/>
    <mergeCell ref="Y101:Y103"/>
    <mergeCell ref="Y82:Y83"/>
    <mergeCell ref="X82:X83"/>
    <mergeCell ref="AA80:AA81"/>
    <mergeCell ref="B104:B106"/>
    <mergeCell ref="T101:T103"/>
    <mergeCell ref="S101:S103"/>
    <mergeCell ref="B101:B103"/>
    <mergeCell ref="C101:C103"/>
    <mergeCell ref="X98:X100"/>
    <mergeCell ref="U95:U96"/>
    <mergeCell ref="V95:V96"/>
    <mergeCell ref="W95:W96"/>
    <mergeCell ref="Z90:Z92"/>
    <mergeCell ref="X101:X103"/>
    <mergeCell ref="W104:W106"/>
    <mergeCell ref="Y98:Y100"/>
    <mergeCell ref="U80:U81"/>
    <mergeCell ref="V80:V81"/>
    <mergeCell ref="Z70:Z74"/>
    <mergeCell ref="Z80:Z81"/>
    <mergeCell ref="Z95:Z96"/>
    <mergeCell ref="AB101:AB103"/>
    <mergeCell ref="V82:V83"/>
    <mergeCell ref="W82:W83"/>
    <mergeCell ref="Y90:Y92"/>
    <mergeCell ref="W98:W100"/>
    <mergeCell ref="X90:X92"/>
    <mergeCell ref="X95:X96"/>
    <mergeCell ref="V98:V100"/>
    <mergeCell ref="X70:X74"/>
    <mergeCell ref="A203:A205"/>
    <mergeCell ref="B203:B205"/>
    <mergeCell ref="A163:A168"/>
    <mergeCell ref="C200:C202"/>
    <mergeCell ref="C203:C205"/>
    <mergeCell ref="A175:A178"/>
    <mergeCell ref="A195:A196"/>
    <mergeCell ref="A169:A172"/>
    <mergeCell ref="A155:A157"/>
    <mergeCell ref="B163:B168"/>
    <mergeCell ref="C163:C168"/>
    <mergeCell ref="C195:C196"/>
    <mergeCell ref="C169:C172"/>
    <mergeCell ref="U60:U65"/>
    <mergeCell ref="T127:T131"/>
    <mergeCell ref="U104:U106"/>
    <mergeCell ref="U82:U83"/>
    <mergeCell ref="T107:T109"/>
    <mergeCell ref="U107:U109"/>
    <mergeCell ref="B66:B69"/>
    <mergeCell ref="C110:C112"/>
    <mergeCell ref="S110:S112"/>
    <mergeCell ref="B107:B109"/>
    <mergeCell ref="S115:S119"/>
    <mergeCell ref="C113:C114"/>
    <mergeCell ref="S107:S109"/>
    <mergeCell ref="B113:B114"/>
    <mergeCell ref="B127:B131"/>
    <mergeCell ref="C127:C131"/>
    <mergeCell ref="T104:T106"/>
    <mergeCell ref="B82:B83"/>
    <mergeCell ref="C82:C83"/>
    <mergeCell ref="B84:B89"/>
    <mergeCell ref="C84:C89"/>
    <mergeCell ref="S82:S83"/>
    <mergeCell ref="B115:B119"/>
    <mergeCell ref="U76:AB79"/>
    <mergeCell ref="A98:A100"/>
    <mergeCell ref="B148:B150"/>
    <mergeCell ref="A95:A96"/>
    <mergeCell ref="A90:A92"/>
    <mergeCell ref="B90:B92"/>
    <mergeCell ref="U84:U89"/>
    <mergeCell ref="A133:A135"/>
    <mergeCell ref="B133:B135"/>
    <mergeCell ref="A127:A131"/>
    <mergeCell ref="A148:A150"/>
    <mergeCell ref="S148:S150"/>
    <mergeCell ref="A84:A89"/>
    <mergeCell ref="S84:S89"/>
    <mergeCell ref="U133:U135"/>
    <mergeCell ref="A107:A109"/>
    <mergeCell ref="A113:A114"/>
    <mergeCell ref="A115:A119"/>
    <mergeCell ref="A110:A112"/>
    <mergeCell ref="B110:B112"/>
    <mergeCell ref="A104:A106"/>
    <mergeCell ref="A101:A103"/>
    <mergeCell ref="T110:T112"/>
    <mergeCell ref="U110:U112"/>
    <mergeCell ref="A145:A147"/>
    <mergeCell ref="A45:A46"/>
    <mergeCell ref="B45:B46"/>
    <mergeCell ref="C45:C46"/>
    <mergeCell ref="W48:W53"/>
    <mergeCell ref="S48:S53"/>
    <mergeCell ref="S45:S46"/>
    <mergeCell ref="B54:B59"/>
    <mergeCell ref="C54:C59"/>
    <mergeCell ref="S54:S59"/>
    <mergeCell ref="T54:T59"/>
    <mergeCell ref="U54:U59"/>
    <mergeCell ref="W54:W59"/>
    <mergeCell ref="V56:V59"/>
    <mergeCell ref="A48:A53"/>
    <mergeCell ref="B48:B53"/>
    <mergeCell ref="C48:C53"/>
    <mergeCell ref="A54:A59"/>
    <mergeCell ref="T48:T53"/>
    <mergeCell ref="V48:V53"/>
    <mergeCell ref="W45:W46"/>
    <mergeCell ref="T45:T46"/>
    <mergeCell ref="U45:U46"/>
    <mergeCell ref="V45:V46"/>
    <mergeCell ref="U48:U53"/>
    <mergeCell ref="V54:V55"/>
    <mergeCell ref="B254:B255"/>
    <mergeCell ref="B226:B229"/>
    <mergeCell ref="S250:S255"/>
    <mergeCell ref="C254:C255"/>
    <mergeCell ref="V107:V109"/>
    <mergeCell ref="W107:W109"/>
    <mergeCell ref="X107:X109"/>
    <mergeCell ref="C115:C119"/>
    <mergeCell ref="T115:T119"/>
    <mergeCell ref="U115:U119"/>
    <mergeCell ref="U127:U131"/>
    <mergeCell ref="U143:U144"/>
    <mergeCell ref="S127:S131"/>
    <mergeCell ref="C133:C135"/>
    <mergeCell ref="T133:T135"/>
    <mergeCell ref="C136:C137"/>
    <mergeCell ref="T136:T137"/>
    <mergeCell ref="W248:W249"/>
    <mergeCell ref="B155:B157"/>
    <mergeCell ref="C155:C157"/>
    <mergeCell ref="T148:T150"/>
    <mergeCell ref="C148:C150"/>
    <mergeCell ref="S60:S65"/>
    <mergeCell ref="Z175:Z178"/>
    <mergeCell ref="Z195:Z196"/>
    <mergeCell ref="B232:B234"/>
    <mergeCell ref="C222:C223"/>
    <mergeCell ref="S215:S216"/>
    <mergeCell ref="V267:V268"/>
    <mergeCell ref="B212:B213"/>
    <mergeCell ref="S212:S213"/>
    <mergeCell ref="T254:T255"/>
    <mergeCell ref="V250:V251"/>
    <mergeCell ref="T250:T251"/>
    <mergeCell ref="V262:V265"/>
    <mergeCell ref="C262:C265"/>
    <mergeCell ref="B262:B265"/>
    <mergeCell ref="C257:C258"/>
    <mergeCell ref="T257:T258"/>
    <mergeCell ref="U257:U258"/>
    <mergeCell ref="V257:V258"/>
    <mergeCell ref="S195:S196"/>
    <mergeCell ref="U175:U178"/>
    <mergeCell ref="V212:V213"/>
    <mergeCell ref="S203:S205"/>
    <mergeCell ref="C209:C210"/>
    <mergeCell ref="W250:W251"/>
    <mergeCell ref="AB276:AB278"/>
    <mergeCell ref="AB270:AB272"/>
    <mergeCell ref="Z230:Z231"/>
    <mergeCell ref="Z232:Z234"/>
    <mergeCell ref="Y276:Y278"/>
    <mergeCell ref="Z276:Z278"/>
    <mergeCell ref="AA276:AA278"/>
    <mergeCell ref="X270:X272"/>
    <mergeCell ref="Y262:Y265"/>
    <mergeCell ref="AB224:AB255"/>
    <mergeCell ref="AB257:AB265"/>
    <mergeCell ref="X257:X258"/>
    <mergeCell ref="Z262:Z265"/>
    <mergeCell ref="Z267:Z268"/>
    <mergeCell ref="Z248:Z249"/>
    <mergeCell ref="AA267:AA268"/>
    <mergeCell ref="Z252:Z253"/>
    <mergeCell ref="Z257:Z258"/>
    <mergeCell ref="AA262:AA265"/>
    <mergeCell ref="AA252:AA253"/>
    <mergeCell ref="AA257:AA258"/>
    <mergeCell ref="AB266:AB268"/>
    <mergeCell ref="Y250:Y251"/>
    <mergeCell ref="AA230:AA231"/>
    <mergeCell ref="AA232:AA234"/>
    <mergeCell ref="AA248:AA249"/>
    <mergeCell ref="Y215:Y216"/>
    <mergeCell ref="Y212:Y213"/>
    <mergeCell ref="Y226:Y229"/>
    <mergeCell ref="Y224:Y225"/>
    <mergeCell ref="Y230:Y231"/>
    <mergeCell ref="B257:B258"/>
    <mergeCell ref="C230:C231"/>
    <mergeCell ref="T230:T231"/>
    <mergeCell ref="S257:S265"/>
    <mergeCell ref="T262:T265"/>
    <mergeCell ref="T252:T253"/>
    <mergeCell ref="U252:U253"/>
    <mergeCell ref="U248:U249"/>
    <mergeCell ref="T248:T249"/>
    <mergeCell ref="U250:U251"/>
    <mergeCell ref="C215:C216"/>
    <mergeCell ref="C212:C213"/>
    <mergeCell ref="W232:W234"/>
    <mergeCell ref="V252:V253"/>
    <mergeCell ref="V254:V255"/>
    <mergeCell ref="B291:D291"/>
    <mergeCell ref="S267:S268"/>
    <mergeCell ref="S276:S278"/>
    <mergeCell ref="C252:C253"/>
    <mergeCell ref="C248:C249"/>
    <mergeCell ref="C270:C272"/>
    <mergeCell ref="B284:B287"/>
    <mergeCell ref="C284:C287"/>
    <mergeCell ref="S284:S287"/>
    <mergeCell ref="B270:B272"/>
    <mergeCell ref="T284:T287"/>
    <mergeCell ref="A262:A265"/>
    <mergeCell ref="T276:T278"/>
    <mergeCell ref="C224:C225"/>
    <mergeCell ref="C267:C268"/>
    <mergeCell ref="B293:D293"/>
    <mergeCell ref="A288:D288"/>
    <mergeCell ref="B289:D289"/>
    <mergeCell ref="A254:A255"/>
    <mergeCell ref="A257:A258"/>
    <mergeCell ref="A276:A278"/>
    <mergeCell ref="B276:B278"/>
    <mergeCell ref="C276:C278"/>
    <mergeCell ref="A280:A283"/>
    <mergeCell ref="B280:B283"/>
    <mergeCell ref="A289:A299"/>
    <mergeCell ref="B299:D299"/>
    <mergeCell ref="B297:D297"/>
    <mergeCell ref="B295:D295"/>
    <mergeCell ref="B290:D290"/>
    <mergeCell ref="B298:D298"/>
    <mergeCell ref="A284:A287"/>
    <mergeCell ref="C280:C283"/>
    <mergeCell ref="T267:T268"/>
    <mergeCell ref="T270:T272"/>
    <mergeCell ref="A267:A268"/>
    <mergeCell ref="B267:B268"/>
    <mergeCell ref="Y209:Y210"/>
    <mergeCell ref="Z209:Z210"/>
    <mergeCell ref="AA209:AA210"/>
    <mergeCell ref="AB209:AB210"/>
    <mergeCell ref="W254:W255"/>
    <mergeCell ref="S280:S283"/>
    <mergeCell ref="T280:T283"/>
    <mergeCell ref="U280:U283"/>
    <mergeCell ref="V280:V283"/>
    <mergeCell ref="W280:W283"/>
    <mergeCell ref="U276:U278"/>
    <mergeCell ref="U262:U265"/>
    <mergeCell ref="U267:U268"/>
    <mergeCell ref="U270:U272"/>
    <mergeCell ref="AB280:AB283"/>
    <mergeCell ref="X280:X283"/>
    <mergeCell ref="Y280:Y283"/>
    <mergeCell ref="Z280:Z283"/>
    <mergeCell ref="V276:V278"/>
    <mergeCell ref="S270:S272"/>
    <mergeCell ref="A270:A272"/>
  </mergeCells>
  <conditionalFormatting sqref="E22:H22 G23:H23 S22:T22">
    <cfRule type="dataBar" priority="14">
      <dataBar>
        <cfvo type="min"/>
        <cfvo type="max"/>
        <color rgb="FF638EC6"/>
      </dataBar>
      <extLst>
        <ext xmlns:x14="http://schemas.microsoft.com/office/spreadsheetml/2009/9/main" uri="{B025F937-C7B1-47D3-B67F-A62EFF666E3E}">
          <x14:id>{CF8FBDAE-E7EE-4922-B9B0-2498BC9C0C7F}</x14:id>
        </ext>
      </extLst>
    </cfRule>
  </conditionalFormatting>
  <conditionalFormatting sqref="I22:J22">
    <cfRule type="dataBar" priority="13">
      <dataBar>
        <cfvo type="min"/>
        <cfvo type="max"/>
        <color rgb="FF638EC6"/>
      </dataBar>
      <extLst>
        <ext xmlns:x14="http://schemas.microsoft.com/office/spreadsheetml/2009/9/main" uri="{B025F937-C7B1-47D3-B67F-A62EFF666E3E}">
          <x14:id>{59D2B288-5F3C-4FA4-9369-A24656962B87}</x14:id>
        </ext>
      </extLst>
    </cfRule>
  </conditionalFormatting>
  <conditionalFormatting sqref="J23">
    <cfRule type="dataBar" priority="12">
      <dataBar>
        <cfvo type="min"/>
        <cfvo type="max"/>
        <color rgb="FF638EC6"/>
      </dataBar>
      <extLst>
        <ext xmlns:x14="http://schemas.microsoft.com/office/spreadsheetml/2009/9/main" uri="{B025F937-C7B1-47D3-B67F-A62EFF666E3E}">
          <x14:id>{46552895-8251-4D53-8816-83D124C6417B}</x14:id>
        </ext>
      </extLst>
    </cfRule>
  </conditionalFormatting>
  <conditionalFormatting sqref="K22:L23">
    <cfRule type="dataBar" priority="11">
      <dataBar>
        <cfvo type="min"/>
        <cfvo type="max"/>
        <color rgb="FF638EC6"/>
      </dataBar>
      <extLst>
        <ext xmlns:x14="http://schemas.microsoft.com/office/spreadsheetml/2009/9/main" uri="{B025F937-C7B1-47D3-B67F-A62EFF666E3E}">
          <x14:id>{3D6F43ED-5E1A-4749-9115-9551F0A43110}</x14:id>
        </ext>
      </extLst>
    </cfRule>
  </conditionalFormatting>
  <conditionalFormatting sqref="M23">
    <cfRule type="dataBar" priority="7">
      <dataBar>
        <cfvo type="min"/>
        <cfvo type="max"/>
        <color rgb="FF638EC6"/>
      </dataBar>
      <extLst>
        <ext xmlns:x14="http://schemas.microsoft.com/office/spreadsheetml/2009/9/main" uri="{B025F937-C7B1-47D3-B67F-A62EFF666E3E}">
          <x14:id>{02B45950-A977-478D-8B3B-E9A15FF61290}</x14:id>
        </ext>
      </extLst>
    </cfRule>
  </conditionalFormatting>
  <conditionalFormatting sqref="M22:N22">
    <cfRule type="dataBar" priority="8">
      <dataBar>
        <cfvo type="min"/>
        <cfvo type="max"/>
        <color rgb="FF638EC6"/>
      </dataBar>
      <extLst>
        <ext xmlns:x14="http://schemas.microsoft.com/office/spreadsheetml/2009/9/main" uri="{B025F937-C7B1-47D3-B67F-A62EFF666E3E}">
          <x14:id>{54E7B944-9CC4-4949-9213-F62B8EDF4FB9}</x14:id>
        </ext>
      </extLst>
    </cfRule>
  </conditionalFormatting>
  <conditionalFormatting sqref="O22">
    <cfRule type="dataBar" priority="10">
      <dataBar>
        <cfvo type="min"/>
        <cfvo type="max"/>
        <color rgb="FF638EC6"/>
      </dataBar>
      <extLst>
        <ext xmlns:x14="http://schemas.microsoft.com/office/spreadsheetml/2009/9/main" uri="{B025F937-C7B1-47D3-B67F-A62EFF666E3E}">
          <x14:id>{908149C9-0498-49D1-A1BE-A449BCAA9EF7}</x14:id>
        </ext>
      </extLst>
    </cfRule>
  </conditionalFormatting>
  <conditionalFormatting sqref="O23">
    <cfRule type="dataBar" priority="9">
      <dataBar>
        <cfvo type="min"/>
        <cfvo type="max"/>
        <color rgb="FF638EC6"/>
      </dataBar>
      <extLst>
        <ext xmlns:x14="http://schemas.microsoft.com/office/spreadsheetml/2009/9/main" uri="{B025F937-C7B1-47D3-B67F-A62EFF666E3E}">
          <x14:id>{AB7F5D3D-CF56-44C2-8462-1387785B87CB}</x14:id>
        </ext>
      </extLst>
    </cfRule>
  </conditionalFormatting>
  <conditionalFormatting sqref="P22">
    <cfRule type="dataBar" priority="6">
      <dataBar>
        <cfvo type="min"/>
        <cfvo type="max"/>
        <color rgb="FF638EC6"/>
      </dataBar>
      <extLst>
        <ext xmlns:x14="http://schemas.microsoft.com/office/spreadsheetml/2009/9/main" uri="{B025F937-C7B1-47D3-B67F-A62EFF666E3E}">
          <x14:id>{AADB64BB-C1E9-4B40-984E-E624DCB75847}</x14:id>
        </ext>
      </extLst>
    </cfRule>
  </conditionalFormatting>
  <conditionalFormatting sqref="P23">
    <cfRule type="dataBar" priority="5">
      <dataBar>
        <cfvo type="min"/>
        <cfvo type="max"/>
        <color rgb="FF638EC6"/>
      </dataBar>
      <extLst>
        <ext xmlns:x14="http://schemas.microsoft.com/office/spreadsheetml/2009/9/main" uri="{B025F937-C7B1-47D3-B67F-A62EFF666E3E}">
          <x14:id>{D98F880D-6EEA-444B-9C5C-AEC1D7B44B2B}</x14:id>
        </ext>
      </extLst>
    </cfRule>
  </conditionalFormatting>
  <conditionalFormatting sqref="Q22">
    <cfRule type="dataBar" priority="4">
      <dataBar>
        <cfvo type="min"/>
        <cfvo type="max"/>
        <color rgb="FF638EC6"/>
      </dataBar>
      <extLst>
        <ext xmlns:x14="http://schemas.microsoft.com/office/spreadsheetml/2009/9/main" uri="{B025F937-C7B1-47D3-B67F-A62EFF666E3E}">
          <x14:id>{2482F651-0C77-41D6-AF44-38A87AB932B5}</x14:id>
        </ext>
      </extLst>
    </cfRule>
  </conditionalFormatting>
  <conditionalFormatting sqref="Q23">
    <cfRule type="dataBar" priority="3">
      <dataBar>
        <cfvo type="min"/>
        <cfvo type="max"/>
        <color rgb="FF638EC6"/>
      </dataBar>
      <extLst>
        <ext xmlns:x14="http://schemas.microsoft.com/office/spreadsheetml/2009/9/main" uri="{B025F937-C7B1-47D3-B67F-A62EFF666E3E}">
          <x14:id>{C655B9DF-103C-4FDC-9BEA-2662D4F7396A}</x14:id>
        </ext>
      </extLst>
    </cfRule>
  </conditionalFormatting>
  <conditionalFormatting sqref="R22">
    <cfRule type="dataBar" priority="2">
      <dataBar>
        <cfvo type="min"/>
        <cfvo type="max"/>
        <color rgb="FF638EC6"/>
      </dataBar>
      <extLst>
        <ext xmlns:x14="http://schemas.microsoft.com/office/spreadsheetml/2009/9/main" uri="{B025F937-C7B1-47D3-B67F-A62EFF666E3E}">
          <x14:id>{EF5382E4-F4D7-42F2-9A4F-4F077AA8E771}</x14:id>
        </ext>
      </extLst>
    </cfRule>
  </conditionalFormatting>
  <conditionalFormatting sqref="R23">
    <cfRule type="dataBar" priority="1">
      <dataBar>
        <cfvo type="min"/>
        <cfvo type="max"/>
        <color rgb="FF638EC6"/>
      </dataBar>
      <extLst>
        <ext xmlns:x14="http://schemas.microsoft.com/office/spreadsheetml/2009/9/main" uri="{B025F937-C7B1-47D3-B67F-A62EFF666E3E}">
          <x14:id>{20790BA7-3275-4BF5-BFDE-859B58054061}</x14:id>
        </ext>
      </extLst>
    </cfRule>
  </conditionalFormatting>
  <pageMargins left="0.70866141732283472" right="0.70866141732283472" top="0.74803149606299213" bottom="0.74803149606299213" header="0.31496062992125984" footer="0.31496062992125984"/>
  <pageSetup paperSize="8" scale="55" fitToHeight="0" pageOrder="overThenDown" orientation="landscape" r:id="rId1"/>
  <rowBreaks count="3" manualBreakCount="3">
    <brk id="46" max="16383" man="1"/>
    <brk id="265" max="16383" man="1"/>
    <brk id="287" max="16383" man="1"/>
  </rowBreaks>
  <legacyDrawing r:id="rId2"/>
  <extLst>
    <ext xmlns:x14="http://schemas.microsoft.com/office/spreadsheetml/2009/9/main" uri="{78C0D931-6437-407d-A8EE-F0AAD7539E65}">
      <x14:conditionalFormattings>
        <x14:conditionalFormatting xmlns:xm="http://schemas.microsoft.com/office/excel/2006/main">
          <x14:cfRule type="dataBar" id="{CF8FBDAE-E7EE-4922-B9B0-2498BC9C0C7F}">
            <x14:dataBar minLength="0" maxLength="100" border="1" negativeBarBorderColorSameAsPositive="0">
              <x14:cfvo type="autoMin"/>
              <x14:cfvo type="autoMax"/>
              <x14:borderColor rgb="FF638EC6"/>
              <x14:negativeFillColor rgb="FFFF0000"/>
              <x14:negativeBorderColor rgb="FFFF0000"/>
              <x14:axisColor rgb="FF000000"/>
            </x14:dataBar>
          </x14:cfRule>
          <xm:sqref>E22:H22 G23:H23 S22:T22</xm:sqref>
        </x14:conditionalFormatting>
        <x14:conditionalFormatting xmlns:xm="http://schemas.microsoft.com/office/excel/2006/main">
          <x14:cfRule type="dataBar" id="{59D2B288-5F3C-4FA4-9369-A24656962B87}">
            <x14:dataBar minLength="0" maxLength="100" border="1" negativeBarBorderColorSameAsPositive="0">
              <x14:cfvo type="autoMin"/>
              <x14:cfvo type="autoMax"/>
              <x14:borderColor rgb="FF638EC6"/>
              <x14:negativeFillColor rgb="FFFF0000"/>
              <x14:negativeBorderColor rgb="FFFF0000"/>
              <x14:axisColor rgb="FF000000"/>
            </x14:dataBar>
          </x14:cfRule>
          <xm:sqref>I22:J22</xm:sqref>
        </x14:conditionalFormatting>
        <x14:conditionalFormatting xmlns:xm="http://schemas.microsoft.com/office/excel/2006/main">
          <x14:cfRule type="dataBar" id="{46552895-8251-4D53-8816-83D124C6417B}">
            <x14:dataBar minLength="0" maxLength="100" border="1" negativeBarBorderColorSameAsPositive="0">
              <x14:cfvo type="autoMin"/>
              <x14:cfvo type="autoMax"/>
              <x14:borderColor rgb="FF638EC6"/>
              <x14:negativeFillColor rgb="FFFF0000"/>
              <x14:negativeBorderColor rgb="FFFF0000"/>
              <x14:axisColor rgb="FF000000"/>
            </x14:dataBar>
          </x14:cfRule>
          <xm:sqref>J23</xm:sqref>
        </x14:conditionalFormatting>
        <x14:conditionalFormatting xmlns:xm="http://schemas.microsoft.com/office/excel/2006/main">
          <x14:cfRule type="dataBar" id="{3D6F43ED-5E1A-4749-9115-9551F0A43110}">
            <x14:dataBar minLength="0" maxLength="100" border="1" negativeBarBorderColorSameAsPositive="0">
              <x14:cfvo type="autoMin"/>
              <x14:cfvo type="autoMax"/>
              <x14:borderColor rgb="FF638EC6"/>
              <x14:negativeFillColor rgb="FFFF0000"/>
              <x14:negativeBorderColor rgb="FFFF0000"/>
              <x14:axisColor rgb="FF000000"/>
            </x14:dataBar>
          </x14:cfRule>
          <xm:sqref>K22:L23</xm:sqref>
        </x14:conditionalFormatting>
        <x14:conditionalFormatting xmlns:xm="http://schemas.microsoft.com/office/excel/2006/main">
          <x14:cfRule type="dataBar" id="{02B45950-A977-478D-8B3B-E9A15FF61290}">
            <x14:dataBar minLength="0" maxLength="100" border="1" negativeBarBorderColorSameAsPositive="0">
              <x14:cfvo type="autoMin"/>
              <x14:cfvo type="autoMax"/>
              <x14:borderColor rgb="FF638EC6"/>
              <x14:negativeFillColor rgb="FFFF0000"/>
              <x14:negativeBorderColor rgb="FFFF0000"/>
              <x14:axisColor rgb="FF000000"/>
            </x14:dataBar>
          </x14:cfRule>
          <xm:sqref>M23</xm:sqref>
        </x14:conditionalFormatting>
        <x14:conditionalFormatting xmlns:xm="http://schemas.microsoft.com/office/excel/2006/main">
          <x14:cfRule type="dataBar" id="{54E7B944-9CC4-4949-9213-F62B8EDF4FB9}">
            <x14:dataBar minLength="0" maxLength="100" border="1" negativeBarBorderColorSameAsPositive="0">
              <x14:cfvo type="autoMin"/>
              <x14:cfvo type="autoMax"/>
              <x14:borderColor rgb="FF638EC6"/>
              <x14:negativeFillColor rgb="FFFF0000"/>
              <x14:negativeBorderColor rgb="FFFF0000"/>
              <x14:axisColor rgb="FF000000"/>
            </x14:dataBar>
          </x14:cfRule>
          <xm:sqref>M22:N22</xm:sqref>
        </x14:conditionalFormatting>
        <x14:conditionalFormatting xmlns:xm="http://schemas.microsoft.com/office/excel/2006/main">
          <x14:cfRule type="dataBar" id="{908149C9-0498-49D1-A1BE-A449BCAA9EF7}">
            <x14:dataBar minLength="0" maxLength="100" border="1" negativeBarBorderColorSameAsPositive="0">
              <x14:cfvo type="autoMin"/>
              <x14:cfvo type="autoMax"/>
              <x14:borderColor rgb="FF638EC6"/>
              <x14:negativeFillColor rgb="FFFF0000"/>
              <x14:negativeBorderColor rgb="FFFF0000"/>
              <x14:axisColor rgb="FF000000"/>
            </x14:dataBar>
          </x14:cfRule>
          <xm:sqref>O22</xm:sqref>
        </x14:conditionalFormatting>
        <x14:conditionalFormatting xmlns:xm="http://schemas.microsoft.com/office/excel/2006/main">
          <x14:cfRule type="dataBar" id="{AB7F5D3D-CF56-44C2-8462-1387785B87CB}">
            <x14:dataBar minLength="0" maxLength="100" border="1" negativeBarBorderColorSameAsPositive="0">
              <x14:cfvo type="autoMin"/>
              <x14:cfvo type="autoMax"/>
              <x14:borderColor rgb="FF638EC6"/>
              <x14:negativeFillColor rgb="FFFF0000"/>
              <x14:negativeBorderColor rgb="FFFF0000"/>
              <x14:axisColor rgb="FF000000"/>
            </x14:dataBar>
          </x14:cfRule>
          <xm:sqref>O23</xm:sqref>
        </x14:conditionalFormatting>
        <x14:conditionalFormatting xmlns:xm="http://schemas.microsoft.com/office/excel/2006/main">
          <x14:cfRule type="dataBar" id="{AADB64BB-C1E9-4B40-984E-E624DCB75847}">
            <x14:dataBar minLength="0" maxLength="100" border="1" negativeBarBorderColorSameAsPositive="0">
              <x14:cfvo type="autoMin"/>
              <x14:cfvo type="autoMax"/>
              <x14:borderColor rgb="FF638EC6"/>
              <x14:negativeFillColor rgb="FFFF0000"/>
              <x14:negativeBorderColor rgb="FFFF0000"/>
              <x14:axisColor rgb="FF000000"/>
            </x14:dataBar>
          </x14:cfRule>
          <xm:sqref>P22</xm:sqref>
        </x14:conditionalFormatting>
        <x14:conditionalFormatting xmlns:xm="http://schemas.microsoft.com/office/excel/2006/main">
          <x14:cfRule type="dataBar" id="{D98F880D-6EEA-444B-9C5C-AEC1D7B44B2B}">
            <x14:dataBar minLength="0" maxLength="100" border="1" negativeBarBorderColorSameAsPositive="0">
              <x14:cfvo type="autoMin"/>
              <x14:cfvo type="autoMax"/>
              <x14:borderColor rgb="FF638EC6"/>
              <x14:negativeFillColor rgb="FFFF0000"/>
              <x14:negativeBorderColor rgb="FFFF0000"/>
              <x14:axisColor rgb="FF000000"/>
            </x14:dataBar>
          </x14:cfRule>
          <xm:sqref>P23</xm:sqref>
        </x14:conditionalFormatting>
        <x14:conditionalFormatting xmlns:xm="http://schemas.microsoft.com/office/excel/2006/main">
          <x14:cfRule type="dataBar" id="{2482F651-0C77-41D6-AF44-38A87AB932B5}">
            <x14:dataBar minLength="0" maxLength="100" border="1" negativeBarBorderColorSameAsPositive="0">
              <x14:cfvo type="autoMin"/>
              <x14:cfvo type="autoMax"/>
              <x14:borderColor rgb="FF638EC6"/>
              <x14:negativeFillColor rgb="FFFF0000"/>
              <x14:negativeBorderColor rgb="FFFF0000"/>
              <x14:axisColor rgb="FF000000"/>
            </x14:dataBar>
          </x14:cfRule>
          <xm:sqref>Q22</xm:sqref>
        </x14:conditionalFormatting>
        <x14:conditionalFormatting xmlns:xm="http://schemas.microsoft.com/office/excel/2006/main">
          <x14:cfRule type="dataBar" id="{C655B9DF-103C-4FDC-9BEA-2662D4F7396A}">
            <x14:dataBar minLength="0" maxLength="100" border="1" negativeBarBorderColorSameAsPositive="0">
              <x14:cfvo type="autoMin"/>
              <x14:cfvo type="autoMax"/>
              <x14:borderColor rgb="FF638EC6"/>
              <x14:negativeFillColor rgb="FFFF0000"/>
              <x14:negativeBorderColor rgb="FFFF0000"/>
              <x14:axisColor rgb="FF000000"/>
            </x14:dataBar>
          </x14:cfRule>
          <xm:sqref>Q23</xm:sqref>
        </x14:conditionalFormatting>
        <x14:conditionalFormatting xmlns:xm="http://schemas.microsoft.com/office/excel/2006/main">
          <x14:cfRule type="dataBar" id="{EF5382E4-F4D7-42F2-9A4F-4F077AA8E771}">
            <x14:dataBar minLength="0" maxLength="100" border="1" negativeBarBorderColorSameAsPositive="0">
              <x14:cfvo type="autoMin"/>
              <x14:cfvo type="autoMax"/>
              <x14:borderColor rgb="FF638EC6"/>
              <x14:negativeFillColor rgb="FFFF0000"/>
              <x14:negativeBorderColor rgb="FFFF0000"/>
              <x14:axisColor rgb="FF000000"/>
            </x14:dataBar>
          </x14:cfRule>
          <xm:sqref>R22</xm:sqref>
        </x14:conditionalFormatting>
        <x14:conditionalFormatting xmlns:xm="http://schemas.microsoft.com/office/excel/2006/main">
          <x14:cfRule type="dataBar" id="{20790BA7-3275-4BF5-BFDE-859B58054061}">
            <x14:dataBar minLength="0" maxLength="100" border="1" negativeBarBorderColorSameAsPositive="0">
              <x14:cfvo type="autoMin"/>
              <x14:cfvo type="autoMax"/>
              <x14:borderColor rgb="FF638EC6"/>
              <x14:negativeFillColor rgb="FFFF0000"/>
              <x14:negativeBorderColor rgb="FFFF0000"/>
              <x14:axisColor rgb="FF000000"/>
            </x14:dataBar>
          </x14:cfRule>
          <xm:sqref>R23</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C5A6B-838E-42D6-85DD-C63DC50AA0CF}">
  <dimension ref="C1:J187"/>
  <sheetViews>
    <sheetView zoomScale="75" zoomScaleNormal="75" zoomScaleSheetLayoutView="110" workbookViewId="0">
      <pane xSplit="2" ySplit="5" topLeftCell="C9" activePane="bottomRight" state="frozen"/>
      <selection pane="topRight" activeCell="C1" sqref="C1"/>
      <selection pane="bottomLeft" activeCell="A3" sqref="A3"/>
      <selection pane="bottomRight" activeCell="AJ23" sqref="AJ23"/>
    </sheetView>
  </sheetViews>
  <sheetFormatPr defaultColWidth="8.88671875" defaultRowHeight="34.950000000000003" customHeight="1"/>
  <cols>
    <col min="1" max="1" width="0" style="100" hidden="1" customWidth="1"/>
    <col min="2" max="2" width="8.88671875" style="100"/>
    <col min="3" max="3" width="6.6640625" style="100" customWidth="1"/>
    <col min="4" max="4" width="18.109375" style="230" customWidth="1"/>
    <col min="5" max="5" width="43.6640625" style="100" customWidth="1"/>
    <col min="6" max="6" width="16.44140625" style="230" hidden="1" customWidth="1"/>
    <col min="7" max="7" width="18.5546875" style="230" hidden="1" customWidth="1"/>
    <col min="8" max="9" width="16.6640625" style="230" customWidth="1"/>
    <col min="10" max="10" width="16.6640625" style="1424" customWidth="1"/>
    <col min="11" max="16384" width="8.88671875" style="100"/>
  </cols>
  <sheetData>
    <row r="1" spans="3:10" ht="24.75" hidden="1" customHeight="1"/>
    <row r="2" spans="3:10" ht="34.950000000000003" customHeight="1">
      <c r="C2" s="3602" t="s">
        <v>3623</v>
      </c>
      <c r="D2" s="3602"/>
      <c r="E2" s="3602"/>
      <c r="F2" s="3603"/>
      <c r="G2" s="3603"/>
      <c r="H2" s="3603"/>
      <c r="I2" s="547"/>
      <c r="J2" s="1425"/>
    </row>
    <row r="3" spans="3:10" ht="70.2" customHeight="1">
      <c r="C3" s="110" t="s">
        <v>718</v>
      </c>
      <c r="D3" s="110" t="s">
        <v>1676</v>
      </c>
      <c r="E3" s="110" t="s">
        <v>732</v>
      </c>
      <c r="F3" s="3625" t="s">
        <v>733</v>
      </c>
      <c r="G3" s="3626"/>
      <c r="H3" s="3626"/>
      <c r="I3" s="3626"/>
      <c r="J3" s="3627"/>
    </row>
    <row r="4" spans="3:10" ht="34.950000000000003" customHeight="1">
      <c r="C4" s="110"/>
      <c r="D4" s="110"/>
      <c r="E4" s="110"/>
      <c r="F4" s="110">
        <v>2024</v>
      </c>
      <c r="G4" s="110">
        <v>2025</v>
      </c>
      <c r="H4" s="110">
        <v>2026</v>
      </c>
      <c r="I4" s="110">
        <v>2027</v>
      </c>
      <c r="J4" s="110">
        <v>2028</v>
      </c>
    </row>
    <row r="5" spans="3:10" ht="12.6" customHeight="1">
      <c r="C5" s="111">
        <v>1</v>
      </c>
      <c r="D5" s="111">
        <v>2</v>
      </c>
      <c r="E5" s="111">
        <v>3</v>
      </c>
      <c r="F5" s="111">
        <v>4</v>
      </c>
      <c r="G5" s="111">
        <v>5</v>
      </c>
      <c r="H5" s="111">
        <v>6</v>
      </c>
      <c r="I5" s="111">
        <v>6</v>
      </c>
      <c r="J5" s="111">
        <v>6</v>
      </c>
    </row>
    <row r="6" spans="3:10" ht="70.2" hidden="1" customHeight="1">
      <c r="C6" s="105" t="s">
        <v>718</v>
      </c>
      <c r="D6" s="105" t="s">
        <v>1676</v>
      </c>
      <c r="E6" s="105" t="s">
        <v>732</v>
      </c>
      <c r="F6" s="3629" t="s">
        <v>733</v>
      </c>
      <c r="G6" s="3629"/>
      <c r="H6" s="3629"/>
      <c r="I6" s="105"/>
      <c r="J6" s="1426"/>
    </row>
    <row r="7" spans="3:10" ht="34.950000000000003" hidden="1" customHeight="1">
      <c r="C7" s="105"/>
      <c r="D7" s="105"/>
      <c r="E7" s="105"/>
      <c r="F7" s="105">
        <v>2024</v>
      </c>
      <c r="G7" s="105">
        <v>2025</v>
      </c>
      <c r="H7" s="105">
        <v>2026</v>
      </c>
      <c r="I7" s="105">
        <v>2026</v>
      </c>
      <c r="J7" s="1426">
        <v>2026</v>
      </c>
    </row>
    <row r="8" spans="3:10" ht="12.6" hidden="1" customHeight="1">
      <c r="C8" s="106">
        <v>1</v>
      </c>
      <c r="D8" s="106">
        <v>2</v>
      </c>
      <c r="E8" s="106">
        <v>3</v>
      </c>
      <c r="F8" s="106">
        <v>4</v>
      </c>
      <c r="G8" s="106">
        <v>5</v>
      </c>
      <c r="H8" s="106">
        <v>6</v>
      </c>
      <c r="I8" s="106">
        <v>6</v>
      </c>
      <c r="J8" s="551">
        <v>6</v>
      </c>
    </row>
    <row r="9" spans="3:10" ht="34.950000000000003" customHeight="1">
      <c r="C9" s="3600" t="s">
        <v>1677</v>
      </c>
      <c r="D9" s="3600"/>
      <c r="E9" s="3600"/>
      <c r="F9" s="3600"/>
      <c r="G9" s="3600"/>
      <c r="H9" s="3600"/>
      <c r="I9" s="546"/>
      <c r="J9" s="1427"/>
    </row>
    <row r="10" spans="3:10" ht="34.950000000000003" customHeight="1">
      <c r="C10" s="3598">
        <v>1</v>
      </c>
      <c r="D10" s="3598" t="s">
        <v>2545</v>
      </c>
      <c r="E10" s="107" t="s">
        <v>735</v>
      </c>
      <c r="F10" s="106">
        <v>675</v>
      </c>
      <c r="G10" s="106">
        <v>480</v>
      </c>
      <c r="H10" s="106">
        <v>464</v>
      </c>
      <c r="I10" s="106">
        <v>468</v>
      </c>
      <c r="J10" s="106">
        <v>470</v>
      </c>
    </row>
    <row r="11" spans="3:10" ht="61.5" hidden="1" customHeight="1">
      <c r="C11" s="3598"/>
      <c r="D11" s="3598"/>
      <c r="E11" s="107" t="s">
        <v>736</v>
      </c>
      <c r="F11" s="106" t="s">
        <v>737</v>
      </c>
      <c r="G11" s="106" t="s">
        <v>1675</v>
      </c>
      <c r="H11" s="106" t="s">
        <v>2297</v>
      </c>
      <c r="I11" s="106" t="s">
        <v>2297</v>
      </c>
      <c r="J11" s="106" t="s">
        <v>2297</v>
      </c>
    </row>
    <row r="12" spans="3:10" ht="34.950000000000003" customHeight="1">
      <c r="C12" s="3598"/>
      <c r="D12" s="3598"/>
      <c r="E12" s="107" t="s">
        <v>3810</v>
      </c>
      <c r="F12" s="106">
        <v>320</v>
      </c>
      <c r="G12" s="106">
        <v>340</v>
      </c>
      <c r="H12" s="106">
        <v>350</v>
      </c>
      <c r="I12" s="106">
        <v>350</v>
      </c>
      <c r="J12" s="106">
        <v>350</v>
      </c>
    </row>
    <row r="13" spans="3:10" ht="34.950000000000003" customHeight="1">
      <c r="C13" s="3598"/>
      <c r="D13" s="3598"/>
      <c r="E13" s="107" t="s">
        <v>739</v>
      </c>
      <c r="F13" s="106">
        <v>10</v>
      </c>
      <c r="G13" s="106">
        <v>10</v>
      </c>
      <c r="H13" s="106">
        <v>9</v>
      </c>
      <c r="I13" s="106">
        <v>9</v>
      </c>
      <c r="J13" s="106">
        <v>9</v>
      </c>
    </row>
    <row r="14" spans="3:10" ht="34.950000000000003" customHeight="1">
      <c r="C14" s="3598"/>
      <c r="D14" s="3598"/>
      <c r="E14" s="107" t="s">
        <v>740</v>
      </c>
      <c r="F14" s="106">
        <v>12</v>
      </c>
      <c r="G14" s="106">
        <v>10</v>
      </c>
      <c r="H14" s="106">
        <v>9</v>
      </c>
      <c r="I14" s="106">
        <v>9</v>
      </c>
      <c r="J14" s="106">
        <v>9</v>
      </c>
    </row>
    <row r="15" spans="3:10" ht="34.950000000000003" customHeight="1">
      <c r="C15" s="3598"/>
      <c r="D15" s="3598"/>
      <c r="E15" s="107" t="s">
        <v>741</v>
      </c>
      <c r="F15" s="106">
        <v>0</v>
      </c>
      <c r="G15" s="106">
        <v>0</v>
      </c>
      <c r="H15" s="106">
        <v>1</v>
      </c>
      <c r="I15" s="106">
        <v>1</v>
      </c>
      <c r="J15" s="106">
        <v>1</v>
      </c>
    </row>
    <row r="16" spans="3:10" ht="34.950000000000003" customHeight="1">
      <c r="C16" s="3598"/>
      <c r="D16" s="3598"/>
      <c r="E16" s="107" t="s">
        <v>742</v>
      </c>
      <c r="F16" s="106" t="s">
        <v>743</v>
      </c>
      <c r="G16" s="106" t="s">
        <v>744</v>
      </c>
      <c r="H16" s="106" t="s">
        <v>745</v>
      </c>
      <c r="I16" s="106" t="s">
        <v>745</v>
      </c>
      <c r="J16" s="106" t="s">
        <v>745</v>
      </c>
    </row>
    <row r="17" spans="3:10" ht="34.950000000000003" customHeight="1">
      <c r="C17" s="3598"/>
      <c r="D17" s="3598"/>
      <c r="E17" s="107" t="s">
        <v>746</v>
      </c>
      <c r="F17" s="106" t="s">
        <v>2298</v>
      </c>
      <c r="G17" s="106" t="s">
        <v>743</v>
      </c>
      <c r="H17" s="106" t="s">
        <v>744</v>
      </c>
      <c r="I17" s="106" t="s">
        <v>744</v>
      </c>
      <c r="J17" s="106" t="s">
        <v>744</v>
      </c>
    </row>
    <row r="18" spans="3:10" ht="34.950000000000003" customHeight="1">
      <c r="C18" s="3598"/>
      <c r="D18" s="3598"/>
      <c r="E18" s="107" t="s">
        <v>748</v>
      </c>
      <c r="F18" s="106">
        <v>1</v>
      </c>
      <c r="G18" s="106">
        <v>1</v>
      </c>
      <c r="H18" s="106">
        <v>1</v>
      </c>
      <c r="I18" s="106">
        <v>1</v>
      </c>
      <c r="J18" s="106">
        <v>1</v>
      </c>
    </row>
    <row r="19" spans="3:10" ht="34.950000000000003" customHeight="1">
      <c r="C19" s="3598"/>
      <c r="D19" s="3598"/>
      <c r="E19" s="107" t="s">
        <v>3785</v>
      </c>
      <c r="F19" s="106" t="s">
        <v>750</v>
      </c>
      <c r="G19" s="106" t="s">
        <v>750</v>
      </c>
      <c r="H19" s="106" t="s">
        <v>751</v>
      </c>
      <c r="I19" s="106" t="s">
        <v>751</v>
      </c>
      <c r="J19" s="106" t="s">
        <v>751</v>
      </c>
    </row>
    <row r="20" spans="3:10" ht="34.950000000000003" customHeight="1">
      <c r="C20" s="3598"/>
      <c r="D20" s="3598"/>
      <c r="E20" s="107" t="s">
        <v>752</v>
      </c>
      <c r="F20" s="106">
        <v>45</v>
      </c>
      <c r="G20" s="106">
        <v>50</v>
      </c>
      <c r="H20" s="106">
        <v>50</v>
      </c>
      <c r="I20" s="106">
        <v>50</v>
      </c>
      <c r="J20" s="106">
        <v>50</v>
      </c>
    </row>
    <row r="21" spans="3:10" ht="34.950000000000003" customHeight="1">
      <c r="C21" s="3598"/>
      <c r="D21" s="3598"/>
      <c r="E21" s="107" t="s">
        <v>753</v>
      </c>
      <c r="F21" s="106">
        <v>34</v>
      </c>
      <c r="G21" s="106">
        <v>40</v>
      </c>
      <c r="H21" s="106">
        <v>45</v>
      </c>
      <c r="I21" s="106">
        <v>45</v>
      </c>
      <c r="J21" s="106">
        <v>45</v>
      </c>
    </row>
    <row r="22" spans="3:10" ht="18.75" customHeight="1">
      <c r="C22" s="3609"/>
      <c r="D22" s="3609"/>
      <c r="E22" s="3609"/>
      <c r="F22" s="3609"/>
      <c r="G22" s="3609"/>
      <c r="H22" s="3609"/>
      <c r="I22" s="549"/>
      <c r="J22" s="1428"/>
    </row>
    <row r="23" spans="3:10" ht="34.950000000000003" customHeight="1">
      <c r="C23" s="3598">
        <v>2</v>
      </c>
      <c r="D23" s="3598" t="s">
        <v>2546</v>
      </c>
      <c r="E23" s="107" t="s">
        <v>3250</v>
      </c>
      <c r="F23" s="106">
        <v>60</v>
      </c>
      <c r="G23" s="106">
        <v>60</v>
      </c>
      <c r="H23" s="106">
        <v>60</v>
      </c>
      <c r="I23" s="106">
        <v>65</v>
      </c>
      <c r="J23" s="106">
        <v>65</v>
      </c>
    </row>
    <row r="24" spans="3:10" ht="34.950000000000003" customHeight="1">
      <c r="C24" s="3598"/>
      <c r="D24" s="3598"/>
      <c r="E24" s="107" t="s">
        <v>2421</v>
      </c>
      <c r="F24" s="106">
        <v>1</v>
      </c>
      <c r="G24" s="106">
        <v>1</v>
      </c>
      <c r="H24" s="106">
        <v>2</v>
      </c>
      <c r="I24" s="106">
        <v>3</v>
      </c>
      <c r="J24" s="106">
        <v>3</v>
      </c>
    </row>
    <row r="25" spans="3:10" ht="34.950000000000003" customHeight="1">
      <c r="C25" s="3598"/>
      <c r="D25" s="3598"/>
      <c r="E25" s="107" t="s">
        <v>754</v>
      </c>
      <c r="F25" s="106">
        <v>9</v>
      </c>
      <c r="G25" s="106">
        <v>9</v>
      </c>
      <c r="H25" s="106">
        <v>9</v>
      </c>
      <c r="I25" s="106">
        <v>10</v>
      </c>
      <c r="J25" s="106">
        <v>10</v>
      </c>
    </row>
    <row r="26" spans="3:10" ht="34.950000000000003" customHeight="1">
      <c r="C26" s="3598"/>
      <c r="D26" s="3598"/>
      <c r="E26" s="107" t="s">
        <v>740</v>
      </c>
      <c r="F26" s="106">
        <v>1</v>
      </c>
      <c r="G26" s="106">
        <v>1</v>
      </c>
      <c r="H26" s="106">
        <v>1</v>
      </c>
      <c r="I26" s="106">
        <v>2</v>
      </c>
      <c r="J26" s="106">
        <v>2</v>
      </c>
    </row>
    <row r="27" spans="3:10" ht="34.950000000000003" customHeight="1">
      <c r="C27" s="3598"/>
      <c r="D27" s="3598"/>
      <c r="E27" s="107" t="s">
        <v>741</v>
      </c>
      <c r="F27" s="106">
        <v>3</v>
      </c>
      <c r="G27" s="106">
        <v>3</v>
      </c>
      <c r="H27" s="106">
        <v>3</v>
      </c>
      <c r="I27" s="106">
        <v>3</v>
      </c>
      <c r="J27" s="106">
        <v>3</v>
      </c>
    </row>
    <row r="28" spans="3:10" ht="34.950000000000003" customHeight="1">
      <c r="C28" s="3598"/>
      <c r="D28" s="3598"/>
      <c r="E28" s="107" t="s">
        <v>742</v>
      </c>
      <c r="F28" s="106" t="s">
        <v>755</v>
      </c>
      <c r="G28" s="106" t="s">
        <v>755</v>
      </c>
      <c r="H28" s="106" t="s">
        <v>756</v>
      </c>
      <c r="I28" s="106" t="s">
        <v>2422</v>
      </c>
      <c r="J28" s="106" t="s">
        <v>2422</v>
      </c>
    </row>
    <row r="29" spans="3:10" ht="34.950000000000003" customHeight="1">
      <c r="C29" s="3598"/>
      <c r="D29" s="3598"/>
      <c r="E29" s="107" t="s">
        <v>746</v>
      </c>
      <c r="F29" s="106" t="s">
        <v>764</v>
      </c>
      <c r="G29" s="106" t="s">
        <v>764</v>
      </c>
      <c r="H29" s="106" t="s">
        <v>764</v>
      </c>
      <c r="I29" s="106" t="s">
        <v>764</v>
      </c>
      <c r="J29" s="106" t="s">
        <v>764</v>
      </c>
    </row>
    <row r="30" spans="3:10" ht="34.950000000000003" customHeight="1">
      <c r="C30" s="3598"/>
      <c r="D30" s="3598"/>
      <c r="E30" s="107" t="s">
        <v>748</v>
      </c>
      <c r="F30" s="106">
        <v>4</v>
      </c>
      <c r="G30" s="106">
        <v>4</v>
      </c>
      <c r="H30" s="106">
        <v>4</v>
      </c>
      <c r="I30" s="106">
        <v>5</v>
      </c>
      <c r="J30" s="106">
        <v>5</v>
      </c>
    </row>
    <row r="31" spans="3:10" ht="34.950000000000003" customHeight="1">
      <c r="C31" s="3598"/>
      <c r="D31" s="3598"/>
      <c r="E31" s="107" t="s">
        <v>3785</v>
      </c>
      <c r="F31" s="106" t="s">
        <v>758</v>
      </c>
      <c r="G31" s="106" t="s">
        <v>758</v>
      </c>
      <c r="H31" s="106" t="s">
        <v>4179</v>
      </c>
      <c r="I31" s="106" t="s">
        <v>759</v>
      </c>
      <c r="J31" s="106" t="s">
        <v>759</v>
      </c>
    </row>
    <row r="32" spans="3:10" ht="34.950000000000003" customHeight="1">
      <c r="C32" s="3598"/>
      <c r="D32" s="3598"/>
      <c r="E32" s="107" t="s">
        <v>752</v>
      </c>
      <c r="F32" s="106">
        <v>30</v>
      </c>
      <c r="G32" s="106">
        <v>30</v>
      </c>
      <c r="H32" s="106">
        <v>40</v>
      </c>
      <c r="I32" s="106">
        <v>50</v>
      </c>
      <c r="J32" s="106">
        <v>50</v>
      </c>
    </row>
    <row r="33" spans="3:10" ht="34.950000000000003" customHeight="1">
      <c r="C33" s="3598"/>
      <c r="D33" s="3598"/>
      <c r="E33" s="107" t="s">
        <v>2423</v>
      </c>
      <c r="F33" s="106">
        <v>0</v>
      </c>
      <c r="G33" s="106">
        <v>0</v>
      </c>
      <c r="H33" s="106">
        <v>1</v>
      </c>
      <c r="I33" s="106">
        <v>2</v>
      </c>
      <c r="J33" s="106">
        <v>2</v>
      </c>
    </row>
    <row r="34" spans="3:10" ht="34.950000000000003" customHeight="1">
      <c r="C34" s="3598"/>
      <c r="D34" s="3598"/>
      <c r="E34" s="107" t="s">
        <v>2424</v>
      </c>
      <c r="F34" s="106">
        <v>0</v>
      </c>
      <c r="G34" s="106">
        <v>0</v>
      </c>
      <c r="H34" s="106">
        <v>0</v>
      </c>
      <c r="I34" s="106">
        <v>2</v>
      </c>
      <c r="J34" s="106">
        <v>2</v>
      </c>
    </row>
    <row r="35" spans="3:10" ht="20.25" customHeight="1">
      <c r="C35" s="3609"/>
      <c r="D35" s="3609"/>
      <c r="E35" s="3609"/>
      <c r="F35" s="3609"/>
      <c r="G35" s="3609"/>
      <c r="H35" s="3609"/>
      <c r="I35" s="549"/>
      <c r="J35" s="1428"/>
    </row>
    <row r="36" spans="3:10" ht="34.950000000000003" customHeight="1">
      <c r="C36" s="3598">
        <v>3</v>
      </c>
      <c r="D36" s="3598" t="s">
        <v>1678</v>
      </c>
      <c r="E36" s="107" t="s">
        <v>3811</v>
      </c>
      <c r="F36" s="106">
        <v>50</v>
      </c>
      <c r="G36" s="106">
        <v>70</v>
      </c>
      <c r="H36" s="106" t="s">
        <v>3251</v>
      </c>
      <c r="I36" s="106" t="s">
        <v>3251</v>
      </c>
      <c r="J36" s="106" t="s">
        <v>4180</v>
      </c>
    </row>
    <row r="37" spans="3:10" ht="34.950000000000003" hidden="1" customHeight="1">
      <c r="C37" s="3598"/>
      <c r="D37" s="3598"/>
      <c r="E37" s="107" t="s">
        <v>736</v>
      </c>
      <c r="F37" s="106" t="s">
        <v>762</v>
      </c>
      <c r="G37" s="106" t="s">
        <v>738</v>
      </c>
      <c r="H37" s="106" t="s">
        <v>738</v>
      </c>
      <c r="I37" s="106" t="s">
        <v>738</v>
      </c>
      <c r="J37" s="551" t="s">
        <v>738</v>
      </c>
    </row>
    <row r="38" spans="3:10" ht="34.950000000000003" customHeight="1">
      <c r="C38" s="3598"/>
      <c r="D38" s="3598"/>
      <c r="E38" s="107" t="s">
        <v>3812</v>
      </c>
      <c r="F38" s="106">
        <v>50</v>
      </c>
      <c r="G38" s="106" t="s">
        <v>3252</v>
      </c>
      <c r="H38" s="106">
        <v>7</v>
      </c>
      <c r="I38" s="106">
        <v>7</v>
      </c>
      <c r="J38" s="106">
        <v>7</v>
      </c>
    </row>
    <row r="39" spans="3:10" ht="34.950000000000003" hidden="1" customHeight="1">
      <c r="C39" s="3598"/>
      <c r="D39" s="3598"/>
      <c r="E39" s="107" t="s">
        <v>3253</v>
      </c>
      <c r="F39" s="106">
        <v>0</v>
      </c>
      <c r="G39" s="106">
        <v>1</v>
      </c>
      <c r="H39" s="106">
        <v>1</v>
      </c>
      <c r="I39" s="106"/>
      <c r="J39" s="551"/>
    </row>
    <row r="40" spans="3:10" ht="34.950000000000003" customHeight="1">
      <c r="C40" s="3598"/>
      <c r="D40" s="3598"/>
      <c r="E40" s="107" t="s">
        <v>3254</v>
      </c>
      <c r="F40" s="106">
        <v>0</v>
      </c>
      <c r="G40" s="106">
        <v>1</v>
      </c>
      <c r="H40" s="106">
        <v>1</v>
      </c>
      <c r="I40" s="106"/>
      <c r="J40" s="551"/>
    </row>
    <row r="41" spans="3:10" ht="34.950000000000003" customHeight="1">
      <c r="C41" s="3598"/>
      <c r="D41" s="3598"/>
      <c r="E41" s="107" t="s">
        <v>3783</v>
      </c>
      <c r="F41" s="106">
        <v>0</v>
      </c>
      <c r="G41" s="106">
        <v>1</v>
      </c>
      <c r="H41" s="106">
        <v>1</v>
      </c>
      <c r="I41" s="106">
        <v>1</v>
      </c>
      <c r="J41" s="106">
        <v>1</v>
      </c>
    </row>
    <row r="42" spans="3:10" ht="34.950000000000003" customHeight="1">
      <c r="C42" s="3598"/>
      <c r="D42" s="3598"/>
      <c r="E42" s="107" t="s">
        <v>3255</v>
      </c>
      <c r="F42" s="106">
        <v>0</v>
      </c>
      <c r="G42" s="106">
        <v>0</v>
      </c>
      <c r="H42" s="106">
        <v>1</v>
      </c>
      <c r="I42" s="106">
        <v>1</v>
      </c>
      <c r="J42" s="106">
        <v>1</v>
      </c>
    </row>
    <row r="43" spans="3:10" ht="34.950000000000003" customHeight="1">
      <c r="C43" s="3598"/>
      <c r="D43" s="3598"/>
      <c r="E43" s="107" t="s">
        <v>3256</v>
      </c>
      <c r="F43" s="106">
        <v>0</v>
      </c>
      <c r="G43" s="106">
        <v>0</v>
      </c>
      <c r="H43" s="106">
        <v>2</v>
      </c>
      <c r="I43" s="106">
        <v>2</v>
      </c>
      <c r="J43" s="106">
        <v>2</v>
      </c>
    </row>
    <row r="44" spans="3:10" ht="34.950000000000003" customHeight="1">
      <c r="C44" s="3598"/>
      <c r="D44" s="3598"/>
      <c r="E44" s="107" t="s">
        <v>3784</v>
      </c>
      <c r="F44" s="106">
        <v>0</v>
      </c>
      <c r="G44" s="106" t="s">
        <v>761</v>
      </c>
      <c r="H44" s="106">
        <v>70</v>
      </c>
      <c r="I44" s="106">
        <v>90</v>
      </c>
      <c r="J44" s="106">
        <v>90</v>
      </c>
    </row>
    <row r="45" spans="3:10" ht="34.950000000000003" customHeight="1">
      <c r="C45" s="3598"/>
      <c r="D45" s="3598"/>
      <c r="E45" s="107" t="s">
        <v>3257</v>
      </c>
      <c r="F45" s="106">
        <v>0</v>
      </c>
      <c r="G45" s="106">
        <v>2</v>
      </c>
      <c r="H45" s="106">
        <v>2</v>
      </c>
      <c r="I45" s="106">
        <v>2</v>
      </c>
      <c r="J45" s="106">
        <v>2</v>
      </c>
    </row>
    <row r="46" spans="3:10" ht="34.950000000000003" customHeight="1">
      <c r="C46" s="3598"/>
      <c r="D46" s="3598"/>
      <c r="E46" s="107" t="s">
        <v>2185</v>
      </c>
      <c r="F46" s="106">
        <v>0</v>
      </c>
      <c r="G46" s="106">
        <v>0</v>
      </c>
      <c r="H46" s="106" t="s">
        <v>3258</v>
      </c>
      <c r="I46" s="106" t="s">
        <v>3259</v>
      </c>
      <c r="J46" s="106" t="s">
        <v>3259</v>
      </c>
    </row>
    <row r="47" spans="3:10" ht="28.5" customHeight="1">
      <c r="C47" s="3605"/>
      <c r="D47" s="3605"/>
      <c r="E47" s="3605"/>
      <c r="F47" s="3605"/>
      <c r="G47" s="3605"/>
      <c r="H47" s="3605"/>
      <c r="I47" s="550"/>
      <c r="J47" s="1428"/>
    </row>
    <row r="48" spans="3:10" ht="34.950000000000003" customHeight="1">
      <c r="C48" s="3604">
        <v>4</v>
      </c>
      <c r="D48" s="3598" t="s">
        <v>2727</v>
      </c>
      <c r="E48" s="107" t="s">
        <v>735</v>
      </c>
      <c r="F48" s="106">
        <v>350</v>
      </c>
      <c r="G48" s="106">
        <v>350</v>
      </c>
      <c r="H48" s="106">
        <v>400</v>
      </c>
      <c r="I48" s="106">
        <v>420</v>
      </c>
      <c r="J48" s="106">
        <v>420</v>
      </c>
    </row>
    <row r="49" spans="3:10" ht="34.950000000000003" customHeight="1">
      <c r="C49" s="3604"/>
      <c r="D49" s="3598"/>
      <c r="E49" s="107" t="s">
        <v>760</v>
      </c>
      <c r="F49" s="106">
        <v>9</v>
      </c>
      <c r="G49" s="106">
        <v>9</v>
      </c>
      <c r="H49" s="106">
        <v>10</v>
      </c>
      <c r="I49" s="106">
        <v>11</v>
      </c>
      <c r="J49" s="106">
        <v>11</v>
      </c>
    </row>
    <row r="50" spans="3:10" ht="34.950000000000003" customHeight="1">
      <c r="C50" s="3604"/>
      <c r="D50" s="3598"/>
      <c r="E50" s="107" t="s">
        <v>754</v>
      </c>
      <c r="F50" s="106">
        <v>4</v>
      </c>
      <c r="G50" s="106">
        <v>4</v>
      </c>
      <c r="H50" s="106">
        <v>4</v>
      </c>
      <c r="I50" s="106">
        <v>4</v>
      </c>
      <c r="J50" s="106">
        <v>4</v>
      </c>
    </row>
    <row r="51" spans="3:10" ht="34.950000000000003" customHeight="1">
      <c r="C51" s="3604"/>
      <c r="D51" s="3598"/>
      <c r="E51" s="107" t="s">
        <v>740</v>
      </c>
      <c r="F51" s="106">
        <v>1</v>
      </c>
      <c r="G51" s="106">
        <v>1</v>
      </c>
      <c r="H51" s="106">
        <v>1</v>
      </c>
      <c r="I51" s="106">
        <v>1</v>
      </c>
      <c r="J51" s="106">
        <v>1</v>
      </c>
    </row>
    <row r="52" spans="3:10" ht="34.950000000000003" customHeight="1">
      <c r="C52" s="3604"/>
      <c r="D52" s="3598"/>
      <c r="E52" s="107" t="s">
        <v>763</v>
      </c>
      <c r="F52" s="106">
        <v>1</v>
      </c>
      <c r="G52" s="106">
        <v>1</v>
      </c>
      <c r="H52" s="106">
        <v>1</v>
      </c>
      <c r="I52" s="106">
        <v>1</v>
      </c>
      <c r="J52" s="106">
        <v>1</v>
      </c>
    </row>
    <row r="53" spans="3:10" ht="34.950000000000003" customHeight="1">
      <c r="C53" s="3604"/>
      <c r="D53" s="3598"/>
      <c r="E53" s="107" t="s">
        <v>742</v>
      </c>
      <c r="F53" s="106" t="s">
        <v>756</v>
      </c>
      <c r="G53" s="106" t="s">
        <v>756</v>
      </c>
      <c r="H53" s="106" t="s">
        <v>756</v>
      </c>
      <c r="I53" s="106" t="s">
        <v>756</v>
      </c>
      <c r="J53" s="106" t="s">
        <v>756</v>
      </c>
    </row>
    <row r="54" spans="3:10" ht="34.950000000000003" customHeight="1">
      <c r="C54" s="3604"/>
      <c r="D54" s="3598"/>
      <c r="E54" s="107" t="s">
        <v>746</v>
      </c>
      <c r="F54" s="106" t="s">
        <v>757</v>
      </c>
      <c r="G54" s="106" t="s">
        <v>757</v>
      </c>
      <c r="H54" s="106" t="s">
        <v>2499</v>
      </c>
      <c r="I54" s="106" t="s">
        <v>2499</v>
      </c>
      <c r="J54" s="106" t="s">
        <v>2499</v>
      </c>
    </row>
    <row r="55" spans="3:10" ht="34.950000000000003" customHeight="1">
      <c r="C55" s="3604"/>
      <c r="D55" s="3598"/>
      <c r="E55" s="107" t="s">
        <v>748</v>
      </c>
      <c r="F55" s="106">
        <v>1</v>
      </c>
      <c r="G55" s="106">
        <v>1</v>
      </c>
      <c r="H55" s="106">
        <v>1</v>
      </c>
      <c r="I55" s="106">
        <v>1</v>
      </c>
      <c r="J55" s="106">
        <v>1</v>
      </c>
    </row>
    <row r="56" spans="3:10" ht="34.950000000000003" customHeight="1">
      <c r="C56" s="3604"/>
      <c r="D56" s="3598"/>
      <c r="E56" s="107" t="s">
        <v>749</v>
      </c>
      <c r="F56" s="106" t="s">
        <v>759</v>
      </c>
      <c r="G56" s="106" t="s">
        <v>751</v>
      </c>
      <c r="H56" s="106" t="s">
        <v>759</v>
      </c>
      <c r="I56" s="106" t="s">
        <v>759</v>
      </c>
      <c r="J56" s="106" t="s">
        <v>759</v>
      </c>
    </row>
    <row r="57" spans="3:10" ht="34.950000000000003" customHeight="1">
      <c r="C57" s="3604"/>
      <c r="D57" s="3598"/>
      <c r="E57" s="107" t="s">
        <v>752</v>
      </c>
      <c r="F57" s="106">
        <v>40</v>
      </c>
      <c r="G57" s="106">
        <v>40</v>
      </c>
      <c r="H57" s="106">
        <v>40</v>
      </c>
      <c r="I57" s="106">
        <v>40</v>
      </c>
      <c r="J57" s="106">
        <v>40</v>
      </c>
    </row>
    <row r="58" spans="3:10" ht="28.5" customHeight="1">
      <c r="C58" s="3605"/>
      <c r="D58" s="3605"/>
      <c r="E58" s="3605"/>
      <c r="F58" s="3605"/>
      <c r="G58" s="3605"/>
      <c r="H58" s="3605"/>
      <c r="I58" s="550"/>
      <c r="J58" s="1428"/>
    </row>
    <row r="59" spans="3:10" ht="34.950000000000003" customHeight="1">
      <c r="C59" s="3604">
        <v>5</v>
      </c>
      <c r="D59" s="3598" t="s">
        <v>3262</v>
      </c>
      <c r="E59" s="107" t="s">
        <v>735</v>
      </c>
      <c r="F59" s="106">
        <v>350</v>
      </c>
      <c r="G59" s="106">
        <v>36</v>
      </c>
      <c r="H59" s="106">
        <v>50</v>
      </c>
      <c r="I59" s="106">
        <v>100</v>
      </c>
      <c r="J59" s="2239">
        <v>100</v>
      </c>
    </row>
    <row r="60" spans="3:10" ht="34.950000000000003" customHeight="1">
      <c r="C60" s="3604"/>
      <c r="D60" s="3598"/>
      <c r="E60" s="107" t="s">
        <v>760</v>
      </c>
      <c r="F60" s="106">
        <v>9</v>
      </c>
      <c r="G60" s="106">
        <v>1</v>
      </c>
      <c r="H60" s="106">
        <v>1</v>
      </c>
      <c r="I60" s="106">
        <v>1</v>
      </c>
      <c r="J60" s="2239">
        <v>1</v>
      </c>
    </row>
    <row r="61" spans="3:10" ht="34.950000000000003" customHeight="1">
      <c r="C61" s="3604"/>
      <c r="D61" s="3598"/>
      <c r="E61" s="107" t="s">
        <v>754</v>
      </c>
      <c r="F61" s="106">
        <v>4</v>
      </c>
      <c r="G61" s="106">
        <v>2</v>
      </c>
      <c r="H61" s="106">
        <v>4</v>
      </c>
      <c r="I61" s="106">
        <v>6</v>
      </c>
      <c r="J61" s="2239">
        <v>6</v>
      </c>
    </row>
    <row r="62" spans="3:10" ht="34.950000000000003" customHeight="1">
      <c r="C62" s="3604"/>
      <c r="D62" s="3598"/>
      <c r="E62" s="107" t="s">
        <v>740</v>
      </c>
      <c r="F62" s="106">
        <v>1</v>
      </c>
      <c r="G62" s="106">
        <v>2</v>
      </c>
      <c r="H62" s="106">
        <v>2</v>
      </c>
      <c r="I62" s="106">
        <v>2</v>
      </c>
      <c r="J62" s="2239">
        <v>2</v>
      </c>
    </row>
    <row r="63" spans="3:10" ht="34.950000000000003" customHeight="1">
      <c r="C63" s="3604"/>
      <c r="D63" s="3598"/>
      <c r="E63" s="107" t="s">
        <v>763</v>
      </c>
      <c r="F63" s="106">
        <v>1</v>
      </c>
      <c r="G63" s="106">
        <v>0</v>
      </c>
      <c r="H63" s="106">
        <v>1</v>
      </c>
      <c r="I63" s="106">
        <v>1</v>
      </c>
      <c r="J63" s="2239">
        <v>1</v>
      </c>
    </row>
    <row r="64" spans="3:10" ht="34.950000000000003" customHeight="1">
      <c r="C64" s="3604"/>
      <c r="D64" s="3598"/>
      <c r="E64" s="107" t="s">
        <v>742</v>
      </c>
      <c r="F64" s="106" t="s">
        <v>756</v>
      </c>
      <c r="G64" s="106" t="s">
        <v>764</v>
      </c>
      <c r="H64" s="106" t="s">
        <v>758</v>
      </c>
      <c r="I64" s="106" t="s">
        <v>764</v>
      </c>
      <c r="J64" s="2239" t="s">
        <v>764</v>
      </c>
    </row>
    <row r="65" spans="3:10" ht="34.950000000000003" customHeight="1">
      <c r="C65" s="3604"/>
      <c r="D65" s="3598"/>
      <c r="E65" s="107" t="s">
        <v>746</v>
      </c>
      <c r="F65" s="106" t="s">
        <v>757</v>
      </c>
      <c r="G65" s="106" t="s">
        <v>3263</v>
      </c>
      <c r="H65" s="106" t="s">
        <v>3264</v>
      </c>
      <c r="I65" s="106" t="s">
        <v>3265</v>
      </c>
      <c r="J65" s="2239" t="s">
        <v>3265</v>
      </c>
    </row>
    <row r="66" spans="3:10" ht="34.950000000000003" customHeight="1">
      <c r="C66" s="3604"/>
      <c r="D66" s="3598"/>
      <c r="E66" s="107" t="s">
        <v>748</v>
      </c>
      <c r="F66" s="106">
        <v>1</v>
      </c>
      <c r="G66" s="106">
        <v>1</v>
      </c>
      <c r="H66" s="106">
        <v>1</v>
      </c>
      <c r="I66" s="106">
        <v>1</v>
      </c>
      <c r="J66" s="2239">
        <v>1</v>
      </c>
    </row>
    <row r="67" spans="3:10" ht="34.950000000000003" customHeight="1">
      <c r="C67" s="3604"/>
      <c r="D67" s="3598"/>
      <c r="E67" s="107" t="s">
        <v>3785</v>
      </c>
      <c r="F67" s="106" t="s">
        <v>759</v>
      </c>
      <c r="G67" s="106" t="s">
        <v>751</v>
      </c>
      <c r="H67" s="106" t="s">
        <v>759</v>
      </c>
      <c r="I67" s="106" t="s">
        <v>759</v>
      </c>
      <c r="J67" s="2239" t="s">
        <v>759</v>
      </c>
    </row>
    <row r="68" spans="3:10" ht="34.950000000000003" customHeight="1">
      <c r="C68" s="3604"/>
      <c r="D68" s="3598"/>
      <c r="E68" s="107" t="s">
        <v>752</v>
      </c>
      <c r="F68" s="106">
        <v>40</v>
      </c>
      <c r="G68" s="106">
        <v>2</v>
      </c>
      <c r="H68" s="106">
        <v>6</v>
      </c>
      <c r="I68" s="106">
        <v>10</v>
      </c>
      <c r="J68" s="2239">
        <v>10</v>
      </c>
    </row>
    <row r="69" spans="3:10" ht="34.950000000000003" customHeight="1">
      <c r="C69" s="654"/>
      <c r="D69" s="654"/>
      <c r="E69" s="1953"/>
      <c r="F69" s="1954"/>
      <c r="G69" s="1954"/>
      <c r="H69" s="1954"/>
      <c r="I69" s="1954"/>
      <c r="J69" s="1955"/>
    </row>
    <row r="70" spans="3:10" ht="34.950000000000003" customHeight="1">
      <c r="C70" s="3604">
        <v>6</v>
      </c>
      <c r="D70" s="3608" t="s">
        <v>4181</v>
      </c>
      <c r="E70" s="107" t="s">
        <v>735</v>
      </c>
      <c r="F70" s="107"/>
      <c r="G70" s="107"/>
      <c r="H70" s="107">
        <v>55</v>
      </c>
      <c r="I70" s="107">
        <v>60</v>
      </c>
      <c r="J70" s="107">
        <v>70</v>
      </c>
    </row>
    <row r="71" spans="3:10" ht="34.950000000000003" customHeight="1">
      <c r="C71" s="3604"/>
      <c r="D71" s="3608"/>
      <c r="E71" s="107" t="s">
        <v>4387</v>
      </c>
      <c r="F71" s="107"/>
      <c r="G71" s="107"/>
      <c r="H71" s="107">
        <v>2</v>
      </c>
      <c r="I71" s="107">
        <v>3</v>
      </c>
      <c r="J71" s="107">
        <v>3</v>
      </c>
    </row>
    <row r="72" spans="3:10" ht="34.950000000000003" customHeight="1">
      <c r="C72" s="3604"/>
      <c r="D72" s="3608"/>
      <c r="E72" s="107" t="s">
        <v>4388</v>
      </c>
      <c r="F72" s="107"/>
      <c r="G72" s="107"/>
      <c r="H72" s="107">
        <v>25</v>
      </c>
      <c r="I72" s="107">
        <v>30</v>
      </c>
      <c r="J72" s="107">
        <v>40</v>
      </c>
    </row>
    <row r="73" spans="3:10" ht="34.950000000000003" customHeight="1">
      <c r="C73" s="3604"/>
      <c r="D73" s="3608"/>
      <c r="E73" s="107" t="s">
        <v>4389</v>
      </c>
      <c r="F73" s="107"/>
      <c r="G73" s="107"/>
      <c r="H73" s="107">
        <v>1</v>
      </c>
      <c r="I73" s="107">
        <v>2</v>
      </c>
      <c r="J73" s="107">
        <v>2</v>
      </c>
    </row>
    <row r="74" spans="3:10" ht="28.5" customHeight="1">
      <c r="C74" s="3605"/>
      <c r="D74" s="3605"/>
      <c r="E74" s="3605"/>
      <c r="F74" s="3605"/>
      <c r="G74" s="3605"/>
      <c r="H74" s="3622"/>
      <c r="I74" s="654"/>
      <c r="J74" s="1429"/>
    </row>
    <row r="75" spans="3:10" ht="27.75" customHeight="1">
      <c r="C75" s="3610">
        <v>7</v>
      </c>
      <c r="D75" s="3598" t="s">
        <v>2726</v>
      </c>
      <c r="E75" s="605" t="s">
        <v>741</v>
      </c>
      <c r="F75" s="563">
        <v>1</v>
      </c>
      <c r="G75" s="563">
        <v>1</v>
      </c>
      <c r="H75" s="563">
        <v>1</v>
      </c>
      <c r="I75" s="570">
        <v>1</v>
      </c>
      <c r="J75" s="570">
        <v>1</v>
      </c>
    </row>
    <row r="76" spans="3:10" ht="34.950000000000003" customHeight="1">
      <c r="C76" s="3610"/>
      <c r="D76" s="3598"/>
      <c r="E76" s="107" t="s">
        <v>742</v>
      </c>
      <c r="F76" s="106" t="s">
        <v>765</v>
      </c>
      <c r="G76" s="106" t="s">
        <v>765</v>
      </c>
      <c r="H76" s="106" t="s">
        <v>747</v>
      </c>
      <c r="I76" s="106" t="s">
        <v>747</v>
      </c>
      <c r="J76" s="106" t="s">
        <v>747</v>
      </c>
    </row>
    <row r="77" spans="3:10" ht="34.950000000000003" customHeight="1">
      <c r="C77" s="3610"/>
      <c r="D77" s="3598"/>
      <c r="E77" s="107" t="s">
        <v>746</v>
      </c>
      <c r="F77" s="106" t="s">
        <v>766</v>
      </c>
      <c r="G77" s="106" t="s">
        <v>767</v>
      </c>
      <c r="H77" s="106" t="s">
        <v>3427</v>
      </c>
      <c r="I77" s="106" t="s">
        <v>3427</v>
      </c>
      <c r="J77" s="106" t="s">
        <v>3427</v>
      </c>
    </row>
    <row r="78" spans="3:10" ht="45.75" customHeight="1">
      <c r="C78" s="3610"/>
      <c r="D78" s="3598"/>
      <c r="E78" s="107" t="s">
        <v>3686</v>
      </c>
      <c r="F78" s="106">
        <v>1</v>
      </c>
      <c r="G78" s="106" t="s">
        <v>751</v>
      </c>
      <c r="H78" s="106" t="s">
        <v>751</v>
      </c>
      <c r="I78" s="106" t="s">
        <v>751</v>
      </c>
      <c r="J78" s="106" t="s">
        <v>751</v>
      </c>
    </row>
    <row r="79" spans="3:10" ht="82.8" customHeight="1">
      <c r="C79" s="3610"/>
      <c r="D79" s="3598"/>
      <c r="E79" s="107" t="s">
        <v>4183</v>
      </c>
      <c r="F79" s="106" t="s">
        <v>759</v>
      </c>
      <c r="G79" s="106" t="s">
        <v>751</v>
      </c>
      <c r="H79" s="106">
        <v>5</v>
      </c>
      <c r="I79" s="106">
        <v>10</v>
      </c>
      <c r="J79" s="106">
        <v>25</v>
      </c>
    </row>
    <row r="80" spans="3:10" ht="34.950000000000003" customHeight="1">
      <c r="C80" s="3610"/>
      <c r="D80" s="3598"/>
      <c r="E80" s="107" t="s">
        <v>752</v>
      </c>
      <c r="F80" s="106">
        <v>10</v>
      </c>
      <c r="G80" s="106">
        <v>10</v>
      </c>
      <c r="H80" s="106">
        <v>4</v>
      </c>
      <c r="I80" s="106">
        <v>4</v>
      </c>
      <c r="J80" s="106">
        <v>4</v>
      </c>
    </row>
    <row r="81" spans="3:10" ht="34.950000000000003" customHeight="1">
      <c r="C81" s="3610"/>
      <c r="D81" s="3598"/>
      <c r="E81" s="107" t="s">
        <v>4184</v>
      </c>
      <c r="F81" s="106">
        <v>4</v>
      </c>
      <c r="G81" s="106">
        <v>4</v>
      </c>
      <c r="H81" s="106">
        <v>3</v>
      </c>
      <c r="I81" s="106">
        <v>3</v>
      </c>
      <c r="J81" s="106">
        <v>3</v>
      </c>
    </row>
    <row r="82" spans="3:10" ht="34.950000000000003" customHeight="1">
      <c r="C82" s="3610"/>
      <c r="D82" s="3598"/>
      <c r="E82" s="107" t="s">
        <v>4185</v>
      </c>
      <c r="F82" s="106">
        <v>4</v>
      </c>
      <c r="G82" s="106">
        <v>4</v>
      </c>
      <c r="H82" s="106">
        <v>1000</v>
      </c>
      <c r="I82" s="106">
        <v>1300</v>
      </c>
      <c r="J82" s="106">
        <v>1600</v>
      </c>
    </row>
    <row r="83" spans="3:10" ht="24.75" customHeight="1">
      <c r="C83" s="3605"/>
      <c r="D83" s="3605"/>
      <c r="E83" s="3605"/>
      <c r="F83" s="3605"/>
      <c r="G83" s="3605"/>
      <c r="H83" s="3605"/>
      <c r="I83" s="550"/>
      <c r="J83" s="1428"/>
    </row>
    <row r="84" spans="3:10" ht="34.950000000000003" customHeight="1">
      <c r="C84" s="3593">
        <v>8</v>
      </c>
      <c r="D84" s="3593" t="s">
        <v>2725</v>
      </c>
      <c r="E84" s="107" t="s">
        <v>3786</v>
      </c>
      <c r="F84" s="106">
        <v>4</v>
      </c>
      <c r="G84" s="106">
        <v>5</v>
      </c>
      <c r="H84" s="106">
        <v>6</v>
      </c>
      <c r="I84" s="106">
        <v>5</v>
      </c>
      <c r="J84" s="106">
        <v>5</v>
      </c>
    </row>
    <row r="85" spans="3:10" ht="34.950000000000003" customHeight="1">
      <c r="C85" s="3594"/>
      <c r="D85" s="3594"/>
      <c r="E85" s="107" t="s">
        <v>2286</v>
      </c>
      <c r="F85" s="106" t="s">
        <v>2287</v>
      </c>
      <c r="G85" s="106">
        <v>1700</v>
      </c>
      <c r="H85" s="106">
        <v>1700</v>
      </c>
      <c r="I85" s="106">
        <v>1750</v>
      </c>
      <c r="J85" s="106">
        <v>1800</v>
      </c>
    </row>
    <row r="86" spans="3:10" ht="49.5" customHeight="1">
      <c r="C86" s="3594"/>
      <c r="D86" s="3594"/>
      <c r="E86" s="107" t="s">
        <v>3787</v>
      </c>
      <c r="F86" s="106" t="s">
        <v>2290</v>
      </c>
      <c r="G86" s="106">
        <v>3</v>
      </c>
      <c r="H86" s="106">
        <v>4</v>
      </c>
      <c r="I86" s="106">
        <v>4</v>
      </c>
      <c r="J86" s="106">
        <v>4</v>
      </c>
    </row>
    <row r="87" spans="3:10" ht="34.950000000000003" customHeight="1">
      <c r="C87" s="3594"/>
      <c r="D87" s="3594"/>
      <c r="E87" s="107" t="s">
        <v>2291</v>
      </c>
      <c r="F87" s="106" t="s">
        <v>2290</v>
      </c>
      <c r="G87" s="106">
        <v>1</v>
      </c>
      <c r="H87" s="106">
        <v>1</v>
      </c>
      <c r="I87" s="106">
        <v>1</v>
      </c>
      <c r="J87" s="106">
        <v>1</v>
      </c>
    </row>
    <row r="88" spans="3:10" ht="57.75" customHeight="1">
      <c r="C88" s="3594"/>
      <c r="D88" s="3594"/>
      <c r="E88" s="107" t="s">
        <v>2292</v>
      </c>
      <c r="F88" s="106" t="s">
        <v>2293</v>
      </c>
      <c r="G88" s="106">
        <v>5</v>
      </c>
      <c r="H88" s="106">
        <v>10</v>
      </c>
      <c r="I88" s="106">
        <v>8</v>
      </c>
      <c r="J88" s="106">
        <v>8</v>
      </c>
    </row>
    <row r="89" spans="3:10" ht="45" customHeight="1">
      <c r="C89" s="3594"/>
      <c r="D89" s="3594"/>
      <c r="E89" s="107" t="s">
        <v>3788</v>
      </c>
      <c r="F89" s="106" t="s">
        <v>2290</v>
      </c>
      <c r="G89" s="106">
        <v>2</v>
      </c>
      <c r="H89" s="106">
        <v>4</v>
      </c>
      <c r="I89" s="106">
        <v>2</v>
      </c>
      <c r="J89" s="106">
        <v>2</v>
      </c>
    </row>
    <row r="90" spans="3:10" ht="45" customHeight="1">
      <c r="C90" s="3594"/>
      <c r="D90" s="3594"/>
      <c r="E90" s="107" t="s">
        <v>3260</v>
      </c>
      <c r="F90" s="106"/>
      <c r="G90" s="106">
        <v>6000</v>
      </c>
      <c r="H90" s="106">
        <v>12000</v>
      </c>
      <c r="I90" s="106">
        <v>12000</v>
      </c>
      <c r="J90" s="106">
        <v>13000</v>
      </c>
    </row>
    <row r="91" spans="3:10" ht="45" customHeight="1">
      <c r="C91" s="3594"/>
      <c r="D91" s="3594"/>
      <c r="E91" s="107" t="s">
        <v>3261</v>
      </c>
      <c r="F91" s="106"/>
      <c r="G91" s="106">
        <v>31000</v>
      </c>
      <c r="H91" s="106">
        <v>36000</v>
      </c>
      <c r="I91" s="106">
        <v>36000</v>
      </c>
      <c r="J91" s="106">
        <v>37000</v>
      </c>
    </row>
    <row r="92" spans="3:10" ht="56.25" customHeight="1">
      <c r="C92" s="3595"/>
      <c r="D92" s="3595"/>
      <c r="E92" s="107" t="s">
        <v>2294</v>
      </c>
      <c r="F92" s="106" t="s">
        <v>2290</v>
      </c>
      <c r="G92" s="106">
        <v>2</v>
      </c>
      <c r="H92" s="106">
        <v>2</v>
      </c>
      <c r="I92" s="106">
        <v>2</v>
      </c>
      <c r="J92" s="106">
        <v>2</v>
      </c>
    </row>
    <row r="93" spans="3:10" ht="24" customHeight="1">
      <c r="C93" s="3605"/>
      <c r="D93" s="3605"/>
      <c r="E93" s="3605"/>
      <c r="F93" s="3605"/>
      <c r="G93" s="3605"/>
      <c r="H93" s="3605"/>
      <c r="I93" s="550"/>
      <c r="J93" s="1428"/>
    </row>
    <row r="94" spans="3:10" ht="34.950000000000003" customHeight="1">
      <c r="C94" s="3604">
        <v>9</v>
      </c>
      <c r="D94" s="3598" t="s">
        <v>768</v>
      </c>
      <c r="E94" s="107" t="s">
        <v>3562</v>
      </c>
      <c r="F94" s="106"/>
      <c r="G94" s="106">
        <v>1</v>
      </c>
      <c r="H94" s="106">
        <v>1</v>
      </c>
      <c r="I94" s="106">
        <v>1</v>
      </c>
      <c r="J94" s="2239">
        <v>1</v>
      </c>
    </row>
    <row r="95" spans="3:10" ht="34.950000000000003" customHeight="1">
      <c r="C95" s="3604"/>
      <c r="D95" s="3598"/>
      <c r="E95" s="107" t="s">
        <v>3767</v>
      </c>
      <c r="F95" s="106"/>
      <c r="G95" s="106">
        <v>120</v>
      </c>
      <c r="H95" s="106">
        <v>130</v>
      </c>
      <c r="I95" s="106">
        <v>130</v>
      </c>
      <c r="J95" s="2239">
        <v>130</v>
      </c>
    </row>
    <row r="96" spans="3:10" ht="47.25" customHeight="1">
      <c r="C96" s="3604"/>
      <c r="D96" s="3598"/>
      <c r="E96" s="107" t="s">
        <v>3563</v>
      </c>
      <c r="F96" s="106"/>
      <c r="G96" s="106">
        <v>25</v>
      </c>
      <c r="H96" s="106">
        <v>27</v>
      </c>
      <c r="I96" s="106">
        <v>28</v>
      </c>
      <c r="J96" s="2239">
        <v>28</v>
      </c>
    </row>
    <row r="97" spans="3:10" ht="34.950000000000003" customHeight="1">
      <c r="C97" s="3604"/>
      <c r="D97" s="3598"/>
      <c r="E97" s="107" t="s">
        <v>3789</v>
      </c>
      <c r="F97" s="106"/>
      <c r="G97" s="106">
        <v>10</v>
      </c>
      <c r="H97" s="106">
        <v>10</v>
      </c>
      <c r="I97" s="106">
        <v>0</v>
      </c>
      <c r="J97" s="2239">
        <v>0</v>
      </c>
    </row>
    <row r="98" spans="3:10" ht="34.950000000000003" customHeight="1">
      <c r="C98" s="3604"/>
      <c r="D98" s="3598"/>
      <c r="E98" s="107" t="s">
        <v>3790</v>
      </c>
      <c r="F98" s="106"/>
      <c r="G98" s="106">
        <v>120</v>
      </c>
      <c r="H98" s="106">
        <v>1130</v>
      </c>
      <c r="I98" s="106">
        <v>0</v>
      </c>
      <c r="J98" s="2239">
        <v>0</v>
      </c>
    </row>
    <row r="99" spans="3:10" ht="34.950000000000003" customHeight="1">
      <c r="C99" s="3604"/>
      <c r="D99" s="3598"/>
      <c r="E99" s="107" t="s">
        <v>3564</v>
      </c>
      <c r="F99" s="106"/>
      <c r="G99" s="106">
        <v>3</v>
      </c>
      <c r="H99" s="106">
        <v>3</v>
      </c>
      <c r="I99" s="106">
        <v>0</v>
      </c>
      <c r="J99" s="2239">
        <v>0</v>
      </c>
    </row>
    <row r="100" spans="3:10" ht="34.950000000000003" customHeight="1">
      <c r="C100" s="3604"/>
      <c r="D100" s="3598"/>
      <c r="E100" s="107" t="s">
        <v>3565</v>
      </c>
      <c r="F100" s="106"/>
      <c r="G100" s="106">
        <v>1</v>
      </c>
      <c r="H100" s="106">
        <v>1</v>
      </c>
      <c r="I100" s="106">
        <v>0</v>
      </c>
      <c r="J100" s="2239">
        <v>0</v>
      </c>
    </row>
    <row r="101" spans="3:10" ht="34.950000000000003" customHeight="1">
      <c r="C101" s="3604"/>
      <c r="D101" s="3598"/>
      <c r="E101" s="107" t="s">
        <v>3566</v>
      </c>
      <c r="F101" s="106"/>
      <c r="G101" s="106">
        <v>4</v>
      </c>
      <c r="H101" s="106">
        <v>4</v>
      </c>
      <c r="I101" s="106">
        <v>0</v>
      </c>
      <c r="J101" s="2239">
        <v>0</v>
      </c>
    </row>
    <row r="102" spans="3:10" ht="34.950000000000003" customHeight="1">
      <c r="C102" s="3604"/>
      <c r="D102" s="3598"/>
      <c r="E102" s="107" t="s">
        <v>3567</v>
      </c>
      <c r="F102" s="106"/>
      <c r="G102" s="106">
        <v>1</v>
      </c>
      <c r="H102" s="106">
        <v>1</v>
      </c>
      <c r="I102" s="106">
        <v>0</v>
      </c>
      <c r="J102" s="2239">
        <v>0</v>
      </c>
    </row>
    <row r="103" spans="3:10" ht="34.950000000000003" customHeight="1">
      <c r="C103" s="3604"/>
      <c r="D103" s="3598"/>
      <c r="E103" s="107" t="s">
        <v>3568</v>
      </c>
      <c r="F103" s="106"/>
      <c r="G103" s="106">
        <v>5</v>
      </c>
      <c r="H103" s="106">
        <v>6</v>
      </c>
      <c r="I103" s="106">
        <v>7</v>
      </c>
      <c r="J103" s="2239">
        <v>7</v>
      </c>
    </row>
    <row r="104" spans="3:10" ht="34.950000000000003" customHeight="1">
      <c r="C104" s="3604"/>
      <c r="D104" s="3598"/>
      <c r="E104" s="107" t="s">
        <v>3569</v>
      </c>
      <c r="F104" s="106"/>
      <c r="G104" s="106">
        <v>0</v>
      </c>
      <c r="H104" s="106">
        <v>1</v>
      </c>
      <c r="I104" s="106">
        <v>1</v>
      </c>
      <c r="J104" s="2239">
        <v>1</v>
      </c>
    </row>
    <row r="105" spans="3:10" ht="27" customHeight="1">
      <c r="C105" s="3605"/>
      <c r="D105" s="3605"/>
      <c r="E105" s="3605"/>
      <c r="F105" s="3605"/>
      <c r="G105" s="3605"/>
      <c r="H105" s="3605"/>
      <c r="I105" s="550"/>
      <c r="J105" s="1428"/>
    </row>
    <row r="106" spans="3:10" ht="34.950000000000003" hidden="1" customHeight="1">
      <c r="C106" s="3593">
        <v>10</v>
      </c>
      <c r="D106" s="3593" t="s">
        <v>2721</v>
      </c>
      <c r="E106" s="3614" t="s">
        <v>3791</v>
      </c>
      <c r="F106" s="3606" t="s">
        <v>2459</v>
      </c>
      <c r="G106" s="3606">
        <v>3</v>
      </c>
      <c r="H106" s="3611">
        <v>3</v>
      </c>
      <c r="I106" s="3611">
        <v>3</v>
      </c>
      <c r="J106" s="3628">
        <v>3</v>
      </c>
    </row>
    <row r="107" spans="3:10" ht="9" hidden="1" customHeight="1">
      <c r="C107" s="3594"/>
      <c r="D107" s="3594"/>
      <c r="E107" s="3615"/>
      <c r="F107" s="3607"/>
      <c r="G107" s="3607"/>
      <c r="H107" s="3611"/>
      <c r="I107" s="3611"/>
      <c r="J107" s="3628"/>
    </row>
    <row r="108" spans="3:10" ht="28.95" hidden="1" customHeight="1">
      <c r="C108" s="3594"/>
      <c r="D108" s="3594"/>
      <c r="E108" s="3623" t="s">
        <v>3308</v>
      </c>
      <c r="F108" s="3611" t="s">
        <v>2460</v>
      </c>
      <c r="G108" s="3611">
        <v>24</v>
      </c>
      <c r="H108" s="3611">
        <v>4</v>
      </c>
      <c r="I108" s="3611">
        <v>18</v>
      </c>
      <c r="J108" s="3628">
        <v>18</v>
      </c>
    </row>
    <row r="109" spans="3:10" ht="6" hidden="1" customHeight="1">
      <c r="C109" s="3594"/>
      <c r="D109" s="3594"/>
      <c r="E109" s="3623"/>
      <c r="F109" s="3611"/>
      <c r="G109" s="3611"/>
      <c r="H109" s="3611"/>
      <c r="I109" s="3611"/>
      <c r="J109" s="3628"/>
    </row>
    <row r="110" spans="3:10" ht="28.95" hidden="1" customHeight="1">
      <c r="C110" s="3594"/>
      <c r="D110" s="3594"/>
      <c r="E110" s="3614" t="s">
        <v>3792</v>
      </c>
      <c r="F110" s="3606" t="s">
        <v>2461</v>
      </c>
      <c r="G110" s="3606" t="s">
        <v>3325</v>
      </c>
      <c r="H110" s="3606" t="s">
        <v>3793</v>
      </c>
      <c r="I110" s="3606" t="s">
        <v>3794</v>
      </c>
      <c r="J110" s="3620" t="s">
        <v>3794</v>
      </c>
    </row>
    <row r="111" spans="3:10" ht="12.6" hidden="1" customHeight="1">
      <c r="C111" s="3594"/>
      <c r="D111" s="3594"/>
      <c r="E111" s="3615" t="s">
        <v>2462</v>
      </c>
      <c r="F111" s="3607"/>
      <c r="G111" s="3607"/>
      <c r="H111" s="3607"/>
      <c r="I111" s="3607"/>
      <c r="J111" s="3621"/>
    </row>
    <row r="112" spans="3:10" ht="33.6" hidden="1" customHeight="1">
      <c r="C112" s="3594"/>
      <c r="D112" s="3594"/>
      <c r="E112" s="573" t="s">
        <v>3326</v>
      </c>
      <c r="F112" s="570"/>
      <c r="G112" s="570" t="s">
        <v>2463</v>
      </c>
      <c r="H112" s="570" t="s">
        <v>2463</v>
      </c>
      <c r="I112" s="570" t="s">
        <v>2463</v>
      </c>
      <c r="J112" s="1430" t="s">
        <v>2463</v>
      </c>
    </row>
    <row r="113" spans="3:10" ht="23.4" hidden="1" customHeight="1">
      <c r="C113" s="3594"/>
      <c r="D113" s="3594"/>
      <c r="E113" s="3614" t="s">
        <v>3327</v>
      </c>
      <c r="F113" s="3606" t="s">
        <v>2463</v>
      </c>
      <c r="G113" s="3606" t="s">
        <v>3328</v>
      </c>
      <c r="H113" s="3620"/>
      <c r="I113" s="3620"/>
      <c r="J113" s="3620"/>
    </row>
    <row r="114" spans="3:10" ht="17.399999999999999" hidden="1" customHeight="1">
      <c r="C114" s="3594"/>
      <c r="D114" s="3594"/>
      <c r="E114" s="3615" t="s">
        <v>2464</v>
      </c>
      <c r="F114" s="3607"/>
      <c r="G114" s="3607"/>
      <c r="H114" s="3621"/>
      <c r="I114" s="3621"/>
      <c r="J114" s="3621"/>
    </row>
    <row r="115" spans="3:10" ht="43.2" hidden="1" customHeight="1">
      <c r="C115" s="3594"/>
      <c r="D115" s="3594"/>
      <c r="E115" s="107" t="s">
        <v>2465</v>
      </c>
      <c r="F115" s="563" t="s">
        <v>2466</v>
      </c>
      <c r="G115" s="563" t="s">
        <v>2467</v>
      </c>
      <c r="H115" s="563" t="s">
        <v>2468</v>
      </c>
      <c r="I115" s="563" t="s">
        <v>3324</v>
      </c>
      <c r="J115" s="1420" t="s">
        <v>3324</v>
      </c>
    </row>
    <row r="116" spans="3:10" ht="58.95" hidden="1" customHeight="1">
      <c r="C116" s="3594"/>
      <c r="D116" s="3594"/>
      <c r="E116" s="571" t="s">
        <v>2469</v>
      </c>
      <c r="F116" s="566" t="s">
        <v>2470</v>
      </c>
      <c r="G116" s="566" t="s">
        <v>3321</v>
      </c>
      <c r="H116" s="566" t="s">
        <v>3322</v>
      </c>
      <c r="I116" s="566" t="s">
        <v>3323</v>
      </c>
      <c r="J116" s="1431" t="s">
        <v>3323</v>
      </c>
    </row>
    <row r="117" spans="3:10" ht="59.4" hidden="1" customHeight="1">
      <c r="C117" s="3594"/>
      <c r="D117" s="3594"/>
      <c r="E117" s="572" t="s">
        <v>3795</v>
      </c>
      <c r="F117" s="566" t="s">
        <v>2471</v>
      </c>
      <c r="G117" s="566" t="s">
        <v>3318</v>
      </c>
      <c r="H117" s="566" t="s">
        <v>3319</v>
      </c>
      <c r="I117" s="566" t="s">
        <v>3320</v>
      </c>
      <c r="J117" s="1431" t="s">
        <v>3320</v>
      </c>
    </row>
    <row r="118" spans="3:10" ht="37.200000000000003" hidden="1" customHeight="1">
      <c r="C118" s="3594"/>
      <c r="D118" s="3594"/>
      <c r="E118" s="571" t="s">
        <v>2472</v>
      </c>
      <c r="F118" s="566" t="s">
        <v>2473</v>
      </c>
      <c r="G118" s="566" t="s">
        <v>771</v>
      </c>
      <c r="H118" s="566" t="s">
        <v>2476</v>
      </c>
      <c r="I118" s="566" t="s">
        <v>3317</v>
      </c>
      <c r="J118" s="1431" t="s">
        <v>3317</v>
      </c>
    </row>
    <row r="119" spans="3:10" ht="60.6" hidden="1" customHeight="1">
      <c r="C119" s="3594"/>
      <c r="D119" s="3594"/>
      <c r="E119" s="571" t="s">
        <v>3796</v>
      </c>
      <c r="F119" s="566" t="s">
        <v>2474</v>
      </c>
      <c r="G119" s="566" t="s">
        <v>3312</v>
      </c>
      <c r="H119" s="566" t="s">
        <v>3313</v>
      </c>
      <c r="I119" s="566" t="s">
        <v>3314</v>
      </c>
      <c r="J119" s="1431" t="s">
        <v>3314</v>
      </c>
    </row>
    <row r="120" spans="3:10" ht="49.2" hidden="1" customHeight="1">
      <c r="C120" s="3594"/>
      <c r="D120" s="3594"/>
      <c r="E120" s="571" t="s">
        <v>2475</v>
      </c>
      <c r="F120" s="566" t="s">
        <v>771</v>
      </c>
      <c r="G120" s="566" t="s">
        <v>3315</v>
      </c>
      <c r="H120" s="566" t="s">
        <v>2473</v>
      </c>
      <c r="I120" s="566" t="s">
        <v>3316</v>
      </c>
      <c r="J120" s="1431" t="s">
        <v>3316</v>
      </c>
    </row>
    <row r="121" spans="3:10" ht="78" hidden="1" customHeight="1">
      <c r="C121" s="3594"/>
      <c r="D121" s="3594"/>
      <c r="E121" s="571" t="s">
        <v>2477</v>
      </c>
      <c r="F121" s="566" t="s">
        <v>2478</v>
      </c>
      <c r="G121" s="566" t="s">
        <v>2479</v>
      </c>
      <c r="H121" s="566" t="s">
        <v>2480</v>
      </c>
      <c r="I121" s="566" t="s">
        <v>3311</v>
      </c>
      <c r="J121" s="1431" t="s">
        <v>3311</v>
      </c>
    </row>
    <row r="122" spans="3:10" ht="91.95" hidden="1" customHeight="1">
      <c r="C122" s="3594"/>
      <c r="D122" s="3594"/>
      <c r="E122" s="3616" t="s">
        <v>2481</v>
      </c>
      <c r="F122" s="566" t="s">
        <v>772</v>
      </c>
      <c r="G122" s="566" t="s">
        <v>772</v>
      </c>
      <c r="H122" s="566" t="s">
        <v>772</v>
      </c>
      <c r="I122" s="566" t="s">
        <v>772</v>
      </c>
      <c r="J122" s="1431" t="s">
        <v>772</v>
      </c>
    </row>
    <row r="123" spans="3:10" ht="139.19999999999999" hidden="1" customHeight="1">
      <c r="C123" s="3594"/>
      <c r="D123" s="3594"/>
      <c r="E123" s="3617"/>
      <c r="F123" s="566" t="s">
        <v>2482</v>
      </c>
      <c r="G123" s="566" t="s">
        <v>2482</v>
      </c>
      <c r="H123" s="566" t="s">
        <v>2482</v>
      </c>
      <c r="I123" s="566" t="s">
        <v>2482</v>
      </c>
      <c r="J123" s="1431" t="s">
        <v>2482</v>
      </c>
    </row>
    <row r="124" spans="3:10" ht="66" hidden="1" customHeight="1">
      <c r="C124" s="3594"/>
      <c r="D124" s="3594"/>
      <c r="E124" s="3606" t="s">
        <v>2483</v>
      </c>
      <c r="F124" s="3619" t="s">
        <v>3799</v>
      </c>
      <c r="G124" s="3619"/>
      <c r="H124" s="3619"/>
      <c r="I124" s="566"/>
      <c r="J124" s="1431"/>
    </row>
    <row r="125" spans="3:10" ht="63.6" hidden="1" customHeight="1">
      <c r="C125" s="3594"/>
      <c r="D125" s="3594"/>
      <c r="E125" s="3624"/>
      <c r="F125" s="3619" t="s">
        <v>2484</v>
      </c>
      <c r="G125" s="3619"/>
      <c r="H125" s="3619"/>
      <c r="I125" s="566"/>
      <c r="J125" s="1431"/>
    </row>
    <row r="126" spans="3:10" ht="55.2" hidden="1" customHeight="1">
      <c r="C126" s="3594"/>
      <c r="D126" s="3594"/>
      <c r="E126" s="3624"/>
      <c r="F126" s="3619" t="s">
        <v>3797</v>
      </c>
      <c r="G126" s="3619"/>
      <c r="H126" s="3619"/>
      <c r="I126" s="566"/>
      <c r="J126" s="1431"/>
    </row>
    <row r="127" spans="3:10" ht="70.5" hidden="1" customHeight="1">
      <c r="C127" s="3594"/>
      <c r="D127" s="3594"/>
      <c r="E127" s="3607"/>
      <c r="F127" s="3619" t="s">
        <v>3798</v>
      </c>
      <c r="G127" s="3619"/>
      <c r="H127" s="3619"/>
      <c r="I127" s="566"/>
      <c r="J127" s="1431"/>
    </row>
    <row r="128" spans="3:10" ht="101.4" hidden="1" customHeight="1">
      <c r="C128" s="3594"/>
      <c r="D128" s="3594"/>
      <c r="E128" s="106" t="s">
        <v>2485</v>
      </c>
      <c r="F128" s="566" t="s">
        <v>2486</v>
      </c>
      <c r="G128" s="566" t="s">
        <v>3800</v>
      </c>
      <c r="H128" s="566" t="s">
        <v>3801</v>
      </c>
      <c r="I128" s="566" t="s">
        <v>3802</v>
      </c>
      <c r="J128" s="1431" t="s">
        <v>3802</v>
      </c>
    </row>
    <row r="129" spans="3:10" ht="59.25" hidden="1" customHeight="1">
      <c r="C129" s="3594"/>
      <c r="D129" s="3594"/>
      <c r="E129" s="569" t="s">
        <v>3803</v>
      </c>
      <c r="F129" s="566" t="s">
        <v>2487</v>
      </c>
      <c r="G129" s="566" t="s">
        <v>2487</v>
      </c>
      <c r="H129" s="566" t="s">
        <v>2487</v>
      </c>
      <c r="I129" s="566" t="s">
        <v>2487</v>
      </c>
      <c r="J129" s="1431" t="s">
        <v>2487</v>
      </c>
    </row>
    <row r="130" spans="3:10" ht="52.2" hidden="1" customHeight="1">
      <c r="C130" s="3594"/>
      <c r="D130" s="3594"/>
      <c r="E130" s="565" t="s">
        <v>2488</v>
      </c>
      <c r="F130" s="568">
        <v>0.8</v>
      </c>
      <c r="G130" s="568">
        <v>0.82</v>
      </c>
      <c r="H130" s="568">
        <v>0.84</v>
      </c>
      <c r="I130" s="568">
        <v>0.86</v>
      </c>
      <c r="J130" s="1432">
        <v>0.86</v>
      </c>
    </row>
    <row r="131" spans="3:10" ht="89.4" hidden="1" customHeight="1">
      <c r="C131" s="3594"/>
      <c r="D131" s="3594"/>
      <c r="E131" s="569" t="s">
        <v>3310</v>
      </c>
      <c r="F131" s="568">
        <v>0.15</v>
      </c>
      <c r="G131" s="568">
        <v>0.16</v>
      </c>
      <c r="H131" s="568">
        <v>0.17</v>
      </c>
      <c r="I131" s="568">
        <v>0.18</v>
      </c>
      <c r="J131" s="1432">
        <v>0.18</v>
      </c>
    </row>
    <row r="132" spans="3:10" ht="82.5" hidden="1" customHeight="1">
      <c r="C132" s="3594"/>
      <c r="D132" s="3594"/>
      <c r="E132" s="106" t="s">
        <v>2489</v>
      </c>
      <c r="F132" s="564" t="s">
        <v>2490</v>
      </c>
      <c r="G132" s="56" t="s">
        <v>116</v>
      </c>
      <c r="H132" s="56" t="s">
        <v>116</v>
      </c>
      <c r="I132" s="56" t="s">
        <v>116</v>
      </c>
      <c r="J132" s="1433" t="s">
        <v>116</v>
      </c>
    </row>
    <row r="133" spans="3:10" ht="41.4" hidden="1" customHeight="1">
      <c r="C133" s="3594"/>
      <c r="D133" s="3594"/>
      <c r="E133" s="3606" t="s">
        <v>2498</v>
      </c>
      <c r="F133" s="567" t="s">
        <v>2487</v>
      </c>
      <c r="G133" s="574" t="s">
        <v>2487</v>
      </c>
      <c r="H133" s="574" t="s">
        <v>2487</v>
      </c>
      <c r="I133" s="574" t="s">
        <v>2487</v>
      </c>
      <c r="J133" s="1434" t="s">
        <v>2487</v>
      </c>
    </row>
    <row r="134" spans="3:10" ht="57.6" hidden="1" customHeight="1">
      <c r="C134" s="3594"/>
      <c r="D134" s="3594"/>
      <c r="E134" s="3618"/>
      <c r="F134" s="568" t="s">
        <v>2496</v>
      </c>
      <c r="G134" s="568" t="s">
        <v>3309</v>
      </c>
      <c r="H134" s="568"/>
      <c r="I134" s="568"/>
      <c r="J134" s="1432"/>
    </row>
    <row r="135" spans="3:10" ht="49.95" hidden="1" customHeight="1">
      <c r="C135" s="3594"/>
      <c r="D135" s="3594"/>
      <c r="E135" s="3616" t="s">
        <v>2491</v>
      </c>
      <c r="F135" s="566" t="s">
        <v>2492</v>
      </c>
      <c r="G135" s="566" t="s">
        <v>2493</v>
      </c>
      <c r="H135" s="566" t="s">
        <v>2493</v>
      </c>
      <c r="I135" s="566" t="s">
        <v>2493</v>
      </c>
      <c r="J135" s="1431" t="s">
        <v>2493</v>
      </c>
    </row>
    <row r="136" spans="3:10" ht="66" hidden="1" customHeight="1">
      <c r="C136" s="3594"/>
      <c r="D136" s="3594"/>
      <c r="E136" s="3617"/>
      <c r="F136" s="566" t="s">
        <v>2494</v>
      </c>
      <c r="G136" s="566" t="s">
        <v>2494</v>
      </c>
      <c r="H136" s="566" t="s">
        <v>2494</v>
      </c>
      <c r="I136" s="566" t="s">
        <v>2494</v>
      </c>
      <c r="J136" s="1431" t="s">
        <v>2494</v>
      </c>
    </row>
    <row r="137" spans="3:10" ht="45" hidden="1" customHeight="1">
      <c r="C137" s="3594"/>
      <c r="D137" s="3594"/>
      <c r="E137" s="3618"/>
      <c r="F137" s="566" t="s">
        <v>2495</v>
      </c>
      <c r="G137" s="566" t="s">
        <v>2495</v>
      </c>
      <c r="H137" s="566" t="s">
        <v>2495</v>
      </c>
      <c r="I137" s="566" t="s">
        <v>2495</v>
      </c>
      <c r="J137" s="1431" t="s">
        <v>2495</v>
      </c>
    </row>
    <row r="138" spans="3:10" ht="45" hidden="1" customHeight="1">
      <c r="C138" s="3594"/>
      <c r="D138" s="3594"/>
      <c r="E138" s="3616" t="s">
        <v>2497</v>
      </c>
      <c r="F138" s="566" t="s">
        <v>2492</v>
      </c>
      <c r="G138" s="566" t="s">
        <v>2492</v>
      </c>
      <c r="H138" s="566" t="s">
        <v>2492</v>
      </c>
      <c r="I138" s="566" t="s">
        <v>2492</v>
      </c>
      <c r="J138" s="1431" t="s">
        <v>2492</v>
      </c>
    </row>
    <row r="139" spans="3:10" ht="62.4" hidden="1" customHeight="1">
      <c r="C139" s="3594"/>
      <c r="D139" s="3594"/>
      <c r="E139" s="3617"/>
      <c r="F139" s="566" t="s">
        <v>2494</v>
      </c>
      <c r="G139" s="566" t="s">
        <v>2494</v>
      </c>
      <c r="H139" s="566" t="s">
        <v>2494</v>
      </c>
      <c r="I139" s="566" t="s">
        <v>2494</v>
      </c>
      <c r="J139" s="1431" t="s">
        <v>2494</v>
      </c>
    </row>
    <row r="140" spans="3:10" ht="45" hidden="1" customHeight="1">
      <c r="C140" s="3595"/>
      <c r="D140" s="3595"/>
      <c r="E140" s="3618"/>
      <c r="F140" s="566" t="s">
        <v>2495</v>
      </c>
      <c r="G140" s="566" t="s">
        <v>2495</v>
      </c>
      <c r="H140" s="566" t="s">
        <v>2495</v>
      </c>
      <c r="I140" s="566" t="s">
        <v>2495</v>
      </c>
      <c r="J140" s="1431" t="s">
        <v>2495</v>
      </c>
    </row>
    <row r="141" spans="3:10" ht="25.5" customHeight="1">
      <c r="C141" s="3605"/>
      <c r="D141" s="3605"/>
      <c r="E141" s="3612"/>
      <c r="F141" s="3613"/>
      <c r="G141" s="3613"/>
      <c r="H141" s="3613"/>
      <c r="I141" s="550"/>
      <c r="J141" s="1428"/>
    </row>
    <row r="142" spans="3:10" ht="34.950000000000003" customHeight="1">
      <c r="C142" s="3593">
        <v>11</v>
      </c>
      <c r="D142" s="3593" t="s">
        <v>2722</v>
      </c>
      <c r="E142" s="3596" t="s">
        <v>4708</v>
      </c>
      <c r="F142" s="3597" t="s">
        <v>4709</v>
      </c>
      <c r="G142" s="3597" t="s">
        <v>4709</v>
      </c>
      <c r="H142" s="3597" t="s">
        <v>4709</v>
      </c>
      <c r="I142" s="3597" t="s">
        <v>4709</v>
      </c>
      <c r="J142" s="3597" t="s">
        <v>4709</v>
      </c>
    </row>
    <row r="143" spans="3:10" ht="30.75" customHeight="1">
      <c r="C143" s="3594"/>
      <c r="D143" s="3594"/>
      <c r="E143" s="3596"/>
      <c r="F143" s="3597"/>
      <c r="G143" s="3597"/>
      <c r="H143" s="3597"/>
      <c r="I143" s="3597"/>
      <c r="J143" s="3597"/>
    </row>
    <row r="144" spans="3:10" ht="34.950000000000003" customHeight="1">
      <c r="C144" s="3594"/>
      <c r="D144" s="3594"/>
      <c r="E144" s="562" t="s">
        <v>4710</v>
      </c>
      <c r="F144" s="562"/>
      <c r="G144" s="562"/>
      <c r="H144" s="2599" t="s">
        <v>4711</v>
      </c>
      <c r="I144" s="2599" t="s">
        <v>4712</v>
      </c>
      <c r="J144" s="2599" t="s">
        <v>4713</v>
      </c>
    </row>
    <row r="145" spans="3:10" ht="45.75" customHeight="1">
      <c r="C145" s="3594"/>
      <c r="D145" s="3594"/>
      <c r="E145" s="562" t="s">
        <v>3804</v>
      </c>
      <c r="F145" s="562"/>
      <c r="G145" s="562"/>
      <c r="H145" s="2599">
        <v>70</v>
      </c>
      <c r="I145" s="2599">
        <v>75</v>
      </c>
      <c r="J145" s="2599">
        <v>80</v>
      </c>
    </row>
    <row r="146" spans="3:10" ht="51" customHeight="1">
      <c r="C146" s="3594"/>
      <c r="D146" s="3594"/>
      <c r="E146" s="562" t="s">
        <v>4714</v>
      </c>
      <c r="F146" s="562"/>
      <c r="G146" s="562"/>
      <c r="H146" s="2599">
        <v>10</v>
      </c>
      <c r="I146" s="2599">
        <v>15</v>
      </c>
      <c r="J146" s="2599">
        <v>20</v>
      </c>
    </row>
    <row r="147" spans="3:10" ht="34.950000000000003" customHeight="1">
      <c r="C147" s="3594"/>
      <c r="D147" s="3594"/>
      <c r="E147" s="602" t="s">
        <v>3805</v>
      </c>
      <c r="F147" s="3599"/>
      <c r="G147" s="3599"/>
      <c r="H147" s="2599">
        <v>90</v>
      </c>
      <c r="I147" s="2599">
        <v>95</v>
      </c>
      <c r="J147" s="2599">
        <v>95</v>
      </c>
    </row>
    <row r="148" spans="3:10" ht="34.950000000000003" customHeight="1">
      <c r="C148" s="3594"/>
      <c r="D148" s="3594"/>
      <c r="E148" s="602" t="s">
        <v>4715</v>
      </c>
      <c r="F148" s="3599"/>
      <c r="G148" s="3599"/>
      <c r="H148" s="2599">
        <v>10</v>
      </c>
      <c r="I148" s="2599">
        <v>15</v>
      </c>
      <c r="J148" s="2599">
        <v>20</v>
      </c>
    </row>
    <row r="149" spans="3:10" ht="54.6" customHeight="1">
      <c r="C149" s="3594"/>
      <c r="D149" s="3594"/>
      <c r="E149" s="602" t="s">
        <v>3806</v>
      </c>
      <c r="F149" s="562"/>
      <c r="G149" s="562"/>
      <c r="H149" s="2599">
        <v>65</v>
      </c>
      <c r="I149" s="2599">
        <v>70</v>
      </c>
      <c r="J149" s="2599">
        <v>80</v>
      </c>
    </row>
    <row r="150" spans="3:10" ht="47.25" customHeight="1">
      <c r="C150" s="3594"/>
      <c r="D150" s="3594"/>
      <c r="E150" s="602" t="s">
        <v>3807</v>
      </c>
      <c r="F150" s="562"/>
      <c r="G150" s="562"/>
      <c r="H150" s="2599">
        <v>75</v>
      </c>
      <c r="I150" s="2599">
        <v>80</v>
      </c>
      <c r="J150" s="2599">
        <v>80</v>
      </c>
    </row>
    <row r="151" spans="3:10" ht="54.6" customHeight="1">
      <c r="C151" s="3594"/>
      <c r="D151" s="3594"/>
      <c r="E151" s="602" t="s">
        <v>4716</v>
      </c>
      <c r="F151" s="562"/>
      <c r="G151" s="562"/>
      <c r="H151" s="2599">
        <v>10</v>
      </c>
      <c r="I151" s="2599">
        <v>15</v>
      </c>
      <c r="J151" s="2599">
        <v>20</v>
      </c>
    </row>
    <row r="152" spans="3:10" ht="43.5" customHeight="1">
      <c r="C152" s="3594"/>
      <c r="D152" s="3594"/>
      <c r="E152" s="602" t="s">
        <v>4717</v>
      </c>
      <c r="F152" s="562"/>
      <c r="G152" s="562"/>
      <c r="H152" s="2599">
        <v>10</v>
      </c>
      <c r="I152" s="2599">
        <v>15</v>
      </c>
      <c r="J152" s="2599">
        <v>20</v>
      </c>
    </row>
    <row r="153" spans="3:10" ht="34.950000000000003" customHeight="1">
      <c r="C153" s="3594"/>
      <c r="D153" s="3594"/>
      <c r="E153" s="602" t="s">
        <v>3570</v>
      </c>
      <c r="F153" s="562"/>
      <c r="G153" s="562"/>
      <c r="H153" s="2599" t="s">
        <v>585</v>
      </c>
      <c r="I153" s="2599" t="s">
        <v>585</v>
      </c>
      <c r="J153" s="2599" t="s">
        <v>585</v>
      </c>
    </row>
    <row r="154" spans="3:10" ht="78.75" hidden="1" customHeight="1">
      <c r="C154" s="3594"/>
      <c r="D154" s="3594"/>
      <c r="E154" s="2597"/>
      <c r="F154" s="2597"/>
      <c r="G154" s="2597"/>
      <c r="H154" s="2597"/>
      <c r="I154" s="2597"/>
      <c r="J154" s="2598"/>
    </row>
    <row r="155" spans="3:10" ht="34.950000000000003" hidden="1" customHeight="1">
      <c r="C155" s="3594"/>
      <c r="D155" s="3594"/>
      <c r="E155" s="562"/>
      <c r="F155" s="562"/>
      <c r="G155" s="562"/>
      <c r="H155" s="562"/>
      <c r="I155" s="562"/>
      <c r="J155" s="552"/>
    </row>
    <row r="156" spans="3:10" ht="50.25" hidden="1" customHeight="1">
      <c r="C156" s="3594"/>
      <c r="D156" s="3594"/>
      <c r="E156" s="562"/>
      <c r="F156" s="562"/>
      <c r="G156" s="562"/>
      <c r="H156" s="562"/>
      <c r="I156" s="562"/>
      <c r="J156" s="552"/>
    </row>
    <row r="157" spans="3:10" ht="34.950000000000003" hidden="1" customHeight="1">
      <c r="C157" s="3594"/>
      <c r="D157" s="3594"/>
      <c r="E157" s="562"/>
      <c r="F157" s="562"/>
      <c r="G157" s="562"/>
      <c r="H157" s="562"/>
      <c r="I157" s="562"/>
      <c r="J157" s="552"/>
    </row>
    <row r="158" spans="3:10" ht="34.950000000000003" hidden="1" customHeight="1">
      <c r="C158" s="3594"/>
      <c r="D158" s="3594"/>
      <c r="E158" s="562"/>
      <c r="F158" s="562"/>
      <c r="G158" s="562"/>
      <c r="H158" s="562"/>
      <c r="I158" s="562"/>
      <c r="J158" s="552"/>
    </row>
    <row r="159" spans="3:10" ht="34.950000000000003" hidden="1" customHeight="1">
      <c r="C159" s="3594"/>
      <c r="D159" s="3594"/>
      <c r="E159" s="562"/>
      <c r="F159" s="562"/>
      <c r="G159" s="562"/>
      <c r="H159" s="562"/>
      <c r="I159" s="562"/>
      <c r="J159" s="552"/>
    </row>
    <row r="160" spans="3:10" ht="34.950000000000003" hidden="1" customHeight="1">
      <c r="C160" s="3595"/>
      <c r="D160" s="3595"/>
      <c r="E160" s="562"/>
      <c r="F160" s="562"/>
      <c r="G160" s="562"/>
      <c r="H160" s="562"/>
      <c r="I160" s="562"/>
      <c r="J160" s="552"/>
    </row>
    <row r="161" spans="3:10" ht="34.950000000000003" customHeight="1">
      <c r="C161" s="3600" t="s">
        <v>1679</v>
      </c>
      <c r="D161" s="3600"/>
      <c r="E161" s="3601"/>
      <c r="F161" s="3601"/>
      <c r="G161" s="3601"/>
      <c r="H161" s="3601"/>
      <c r="I161" s="548"/>
      <c r="J161" s="1435"/>
    </row>
    <row r="162" spans="3:10" ht="34.950000000000003" customHeight="1">
      <c r="C162" s="3598">
        <v>1</v>
      </c>
      <c r="D162" s="3598" t="s">
        <v>2723</v>
      </c>
      <c r="E162" s="562" t="s">
        <v>775</v>
      </c>
      <c r="F162" s="106">
        <v>0.80700000000000005</v>
      </c>
      <c r="G162" s="106">
        <v>0</v>
      </c>
      <c r="H162" s="106">
        <v>0.253</v>
      </c>
      <c r="I162" s="106">
        <v>0.65400000000000003</v>
      </c>
      <c r="J162" s="106">
        <v>0.97299999999999998</v>
      </c>
    </row>
    <row r="163" spans="3:10" ht="34.950000000000003" customHeight="1">
      <c r="C163" s="3598"/>
      <c r="D163" s="3598"/>
      <c r="E163" s="562" t="s">
        <v>2300</v>
      </c>
      <c r="F163" s="106">
        <v>1</v>
      </c>
      <c r="G163" s="106"/>
      <c r="H163" s="106">
        <v>1</v>
      </c>
      <c r="I163" s="106"/>
      <c r="J163" s="551"/>
    </row>
    <row r="164" spans="3:10" ht="34.950000000000003" hidden="1" customHeight="1">
      <c r="C164" s="3598"/>
      <c r="D164" s="3598"/>
      <c r="E164" s="562" t="s">
        <v>2301</v>
      </c>
      <c r="F164" s="106">
        <v>1</v>
      </c>
      <c r="G164" s="106"/>
      <c r="H164" s="106"/>
      <c r="I164" s="106">
        <v>1</v>
      </c>
      <c r="J164" s="551">
        <v>1</v>
      </c>
    </row>
    <row r="165" spans="3:10" ht="34.950000000000003" hidden="1" customHeight="1">
      <c r="C165" s="3598"/>
      <c r="D165" s="3598"/>
      <c r="E165" s="552" t="s">
        <v>776</v>
      </c>
      <c r="F165" s="551"/>
      <c r="G165" s="551"/>
      <c r="H165" s="551"/>
      <c r="I165" s="551"/>
      <c r="J165" s="551"/>
    </row>
    <row r="166" spans="3:10" ht="34.950000000000003" hidden="1" customHeight="1">
      <c r="C166" s="3598"/>
      <c r="D166" s="3598"/>
      <c r="E166" s="552" t="s">
        <v>2302</v>
      </c>
      <c r="F166" s="551"/>
      <c r="G166" s="551"/>
      <c r="H166" s="551"/>
      <c r="I166" s="551"/>
      <c r="J166" s="551"/>
    </row>
    <row r="167" spans="3:10" ht="34.950000000000003" customHeight="1">
      <c r="C167" s="3598"/>
      <c r="D167" s="3598"/>
      <c r="E167" s="562" t="s">
        <v>777</v>
      </c>
      <c r="F167" s="106">
        <v>1.2949999999999999</v>
      </c>
      <c r="G167" s="106"/>
      <c r="H167" s="106">
        <v>0.873</v>
      </c>
      <c r="I167" s="1956">
        <v>2</v>
      </c>
      <c r="J167" s="106">
        <v>0.32500000000000001</v>
      </c>
    </row>
    <row r="168" spans="3:10" ht="48.6" customHeight="1">
      <c r="C168" s="3598"/>
      <c r="D168" s="3598"/>
      <c r="E168" s="562" t="s">
        <v>2303</v>
      </c>
      <c r="F168" s="106"/>
      <c r="G168" s="106"/>
      <c r="H168" s="1956">
        <v>2.8</v>
      </c>
      <c r="I168" s="106"/>
      <c r="J168" s="551"/>
    </row>
    <row r="169" spans="3:10" ht="48.6" customHeight="1">
      <c r="C169" s="3598"/>
      <c r="D169" s="3598"/>
      <c r="E169" s="562" t="s">
        <v>3304</v>
      </c>
      <c r="F169" s="106"/>
      <c r="G169" s="106"/>
      <c r="H169" s="1957">
        <v>1</v>
      </c>
      <c r="I169" s="106"/>
      <c r="J169" s="551"/>
    </row>
    <row r="170" spans="3:10" ht="45.75" hidden="1" customHeight="1">
      <c r="C170" s="3598"/>
      <c r="D170" s="3598"/>
      <c r="E170" s="562" t="s">
        <v>3305</v>
      </c>
      <c r="F170" s="106"/>
      <c r="G170" s="106">
        <v>1</v>
      </c>
      <c r="H170" s="551"/>
      <c r="I170" s="551"/>
      <c r="J170" s="551"/>
    </row>
    <row r="171" spans="3:10" ht="34.950000000000003" hidden="1" customHeight="1">
      <c r="C171" s="3598"/>
      <c r="D171" s="3598"/>
      <c r="E171" s="562" t="s">
        <v>3306</v>
      </c>
      <c r="F171" s="106">
        <v>1</v>
      </c>
      <c r="G171" s="106">
        <v>1</v>
      </c>
      <c r="H171" s="551"/>
      <c r="I171" s="551"/>
      <c r="J171" s="551"/>
    </row>
    <row r="172" spans="3:10" ht="34.950000000000003" hidden="1" customHeight="1">
      <c r="C172" s="3598"/>
      <c r="D172" s="3598"/>
      <c r="E172" s="562" t="s">
        <v>2304</v>
      </c>
      <c r="F172" s="106"/>
      <c r="G172" s="106"/>
      <c r="H172" s="106">
        <v>1</v>
      </c>
      <c r="I172" s="551"/>
      <c r="J172" s="551"/>
    </row>
    <row r="173" spans="3:10" ht="34.950000000000003" hidden="1" customHeight="1">
      <c r="C173" s="3598"/>
      <c r="D173" s="3598"/>
      <c r="E173" s="562" t="s">
        <v>779</v>
      </c>
      <c r="F173" s="106">
        <v>1</v>
      </c>
      <c r="G173" s="106">
        <v>0.316</v>
      </c>
      <c r="H173" s="106"/>
      <c r="I173" s="106"/>
      <c r="J173" s="551"/>
    </row>
    <row r="174" spans="3:10" ht="48" customHeight="1">
      <c r="C174" s="3598"/>
      <c r="D174" s="3598"/>
      <c r="E174" s="562" t="s">
        <v>3808</v>
      </c>
      <c r="F174" s="106"/>
      <c r="G174" s="106"/>
      <c r="H174" s="1956">
        <v>3.27</v>
      </c>
      <c r="I174" s="106"/>
      <c r="J174" s="551"/>
    </row>
    <row r="175" spans="3:10" ht="34.950000000000003" customHeight="1">
      <c r="C175" s="3598"/>
      <c r="D175" s="3598"/>
      <c r="E175" s="562" t="s">
        <v>778</v>
      </c>
      <c r="F175" s="106">
        <v>1</v>
      </c>
      <c r="G175" s="106">
        <v>1</v>
      </c>
      <c r="H175" s="106">
        <v>1</v>
      </c>
      <c r="I175" s="106">
        <v>1</v>
      </c>
      <c r="J175" s="106">
        <v>1</v>
      </c>
    </row>
    <row r="176" spans="3:10" ht="34.200000000000003" hidden="1" customHeight="1">
      <c r="C176" s="3598"/>
      <c r="D176" s="3598"/>
      <c r="E176" s="562" t="s">
        <v>780</v>
      </c>
      <c r="F176" s="106">
        <v>1</v>
      </c>
      <c r="G176" s="106">
        <v>1</v>
      </c>
      <c r="H176" s="106"/>
      <c r="I176" s="106"/>
      <c r="J176" s="551"/>
    </row>
    <row r="177" spans="3:10" ht="34.950000000000003" customHeight="1">
      <c r="C177" s="3598"/>
      <c r="D177" s="3598"/>
      <c r="E177" s="562" t="s">
        <v>4182</v>
      </c>
      <c r="F177" s="106"/>
      <c r="G177" s="106"/>
      <c r="H177" s="106"/>
      <c r="I177" s="106"/>
      <c r="J177" s="106">
        <v>7</v>
      </c>
    </row>
    <row r="178" spans="3:10" ht="45.75" customHeight="1">
      <c r="C178" s="3598"/>
      <c r="D178" s="3598"/>
      <c r="E178" s="562" t="s">
        <v>781</v>
      </c>
      <c r="F178" s="106">
        <v>7</v>
      </c>
      <c r="G178" s="106">
        <v>7</v>
      </c>
      <c r="H178" s="106">
        <v>7</v>
      </c>
      <c r="I178" s="106">
        <v>7</v>
      </c>
      <c r="J178" s="106">
        <v>7</v>
      </c>
    </row>
    <row r="179" spans="3:10" ht="34.950000000000003" customHeight="1">
      <c r="C179" s="3598"/>
      <c r="D179" s="3598"/>
      <c r="E179" s="562" t="s">
        <v>782</v>
      </c>
      <c r="F179" s="106">
        <v>70</v>
      </c>
      <c r="G179" s="106">
        <v>70</v>
      </c>
      <c r="H179" s="106">
        <v>70</v>
      </c>
      <c r="I179" s="106">
        <v>70</v>
      </c>
      <c r="J179" s="106">
        <v>70</v>
      </c>
    </row>
    <row r="180" spans="3:10" ht="28.5" customHeight="1">
      <c r="C180" s="108"/>
      <c r="D180" s="228"/>
      <c r="E180" s="108"/>
      <c r="F180" s="228"/>
      <c r="G180" s="228"/>
      <c r="H180" s="228"/>
      <c r="I180" s="228"/>
      <c r="J180" s="1436"/>
    </row>
    <row r="181" spans="3:10" ht="42" customHeight="1">
      <c r="C181" s="3593">
        <v>2</v>
      </c>
      <c r="D181" s="3593" t="s">
        <v>2724</v>
      </c>
      <c r="E181" s="602" t="s">
        <v>2371</v>
      </c>
      <c r="F181" s="106">
        <v>188</v>
      </c>
      <c r="G181" s="106">
        <v>185</v>
      </c>
      <c r="H181" s="106">
        <v>186</v>
      </c>
      <c r="I181" s="106">
        <v>185</v>
      </c>
      <c r="J181" s="106">
        <v>184</v>
      </c>
    </row>
    <row r="182" spans="3:10" ht="34.950000000000003" customHeight="1">
      <c r="C182" s="3594"/>
      <c r="D182" s="3594"/>
      <c r="E182" s="602" t="s">
        <v>2372</v>
      </c>
      <c r="F182" s="106">
        <v>64</v>
      </c>
      <c r="G182" s="106">
        <v>63</v>
      </c>
      <c r="H182" s="106">
        <v>63</v>
      </c>
      <c r="I182" s="106">
        <v>63</v>
      </c>
      <c r="J182" s="106">
        <v>64</v>
      </c>
    </row>
    <row r="183" spans="3:10" ht="51" customHeight="1">
      <c r="C183" s="3594"/>
      <c r="D183" s="3594"/>
      <c r="E183" s="602" t="s">
        <v>2373</v>
      </c>
      <c r="F183" s="106">
        <v>5</v>
      </c>
      <c r="G183" s="106">
        <v>2</v>
      </c>
      <c r="H183" s="106">
        <v>3</v>
      </c>
      <c r="I183" s="106">
        <v>2</v>
      </c>
      <c r="J183" s="106">
        <v>2</v>
      </c>
    </row>
    <row r="184" spans="3:10" ht="44.25" customHeight="1">
      <c r="C184" s="3594"/>
      <c r="D184" s="3594"/>
      <c r="E184" s="602" t="s">
        <v>2375</v>
      </c>
      <c r="F184" s="56">
        <v>4578</v>
      </c>
      <c r="G184" s="56">
        <v>4516</v>
      </c>
      <c r="H184" s="56">
        <v>4700</v>
      </c>
      <c r="I184" s="56">
        <v>4685</v>
      </c>
      <c r="J184" s="56">
        <v>4675</v>
      </c>
    </row>
    <row r="185" spans="3:10" ht="46.5" customHeight="1">
      <c r="C185" s="3594"/>
      <c r="D185" s="3594"/>
      <c r="E185" s="602" t="s">
        <v>2376</v>
      </c>
      <c r="F185" s="56">
        <v>530</v>
      </c>
      <c r="G185" s="56">
        <v>650</v>
      </c>
      <c r="H185" s="56">
        <v>650</v>
      </c>
      <c r="I185" s="56">
        <v>665</v>
      </c>
      <c r="J185" s="56">
        <v>675</v>
      </c>
    </row>
    <row r="186" spans="3:10" ht="34.950000000000003" hidden="1" customHeight="1">
      <c r="C186" s="3595"/>
      <c r="D186" s="3595"/>
      <c r="E186" s="602" t="s">
        <v>2374</v>
      </c>
      <c r="F186" s="56">
        <v>384</v>
      </c>
      <c r="G186" s="56">
        <v>200</v>
      </c>
      <c r="H186" s="56"/>
      <c r="I186" s="56"/>
      <c r="J186" s="1433"/>
    </row>
    <row r="187" spans="3:10" ht="27.75" customHeight="1">
      <c r="C187" s="109"/>
      <c r="D187" s="228"/>
      <c r="E187" s="129"/>
      <c r="F187" s="229"/>
      <c r="G187" s="229"/>
      <c r="H187" s="229"/>
      <c r="I187" s="229"/>
      <c r="J187" s="1437"/>
    </row>
  </sheetData>
  <sheetProtection algorithmName="SHA-512" hashValue="bK3L0PnpKSFi/RlUInTAM+Y6NG9z8mRsqHi7K9rwuqOtmy3aXWzc6XiJnwN9DyweUqVs4Q+36xGQkHE6owot0g==" saltValue="kBhSUT+07c/qO/bOPqegJA==" spinCount="100000" sheet="1" objects="1" scenarios="1"/>
  <mergeCells count="81">
    <mergeCell ref="J142:J143"/>
    <mergeCell ref="I110:I111"/>
    <mergeCell ref="I113:I114"/>
    <mergeCell ref="I142:I143"/>
    <mergeCell ref="F6:H6"/>
    <mergeCell ref="C35:H35"/>
    <mergeCell ref="C47:H47"/>
    <mergeCell ref="C36:C46"/>
    <mergeCell ref="D36:D46"/>
    <mergeCell ref="F3:J3"/>
    <mergeCell ref="J106:J107"/>
    <mergeCell ref="J108:J109"/>
    <mergeCell ref="J110:J111"/>
    <mergeCell ref="J113:J114"/>
    <mergeCell ref="I106:I107"/>
    <mergeCell ref="I108:I109"/>
    <mergeCell ref="D106:D140"/>
    <mergeCell ref="C106:C140"/>
    <mergeCell ref="E133:E134"/>
    <mergeCell ref="E135:E137"/>
    <mergeCell ref="E122:E123"/>
    <mergeCell ref="E110:E111"/>
    <mergeCell ref="F125:H125"/>
    <mergeCell ref="H110:H111"/>
    <mergeCell ref="H106:H107"/>
    <mergeCell ref="H108:H109"/>
    <mergeCell ref="G108:G109"/>
    <mergeCell ref="F126:H126"/>
    <mergeCell ref="F127:H127"/>
    <mergeCell ref="E124:E127"/>
    <mergeCell ref="D84:D92"/>
    <mergeCell ref="F124:H124"/>
    <mergeCell ref="C59:C68"/>
    <mergeCell ref="D59:D68"/>
    <mergeCell ref="C23:C34"/>
    <mergeCell ref="D23:D34"/>
    <mergeCell ref="E113:E114"/>
    <mergeCell ref="F113:F114"/>
    <mergeCell ref="G113:G114"/>
    <mergeCell ref="H113:H114"/>
    <mergeCell ref="C58:H58"/>
    <mergeCell ref="C74:H74"/>
    <mergeCell ref="C83:H83"/>
    <mergeCell ref="C84:C92"/>
    <mergeCell ref="E108:E109"/>
    <mergeCell ref="D94:D104"/>
    <mergeCell ref="C141:H141"/>
    <mergeCell ref="H142:H143"/>
    <mergeCell ref="C105:H105"/>
    <mergeCell ref="E106:E107"/>
    <mergeCell ref="F106:F107"/>
    <mergeCell ref="G106:G107"/>
    <mergeCell ref="E138:E140"/>
    <mergeCell ref="C2:H2"/>
    <mergeCell ref="C94:C104"/>
    <mergeCell ref="C93:H93"/>
    <mergeCell ref="F110:F111"/>
    <mergeCell ref="G110:G111"/>
    <mergeCell ref="C48:C57"/>
    <mergeCell ref="D48:D57"/>
    <mergeCell ref="C70:C73"/>
    <mergeCell ref="D70:D73"/>
    <mergeCell ref="D75:D82"/>
    <mergeCell ref="C10:C21"/>
    <mergeCell ref="D10:D21"/>
    <mergeCell ref="C9:H9"/>
    <mergeCell ref="C22:H22"/>
    <mergeCell ref="C75:C82"/>
    <mergeCell ref="F108:F109"/>
    <mergeCell ref="C181:C186"/>
    <mergeCell ref="D181:D186"/>
    <mergeCell ref="E142:E143"/>
    <mergeCell ref="F142:F143"/>
    <mergeCell ref="G142:G143"/>
    <mergeCell ref="C162:C179"/>
    <mergeCell ref="D162:D179"/>
    <mergeCell ref="C142:C160"/>
    <mergeCell ref="D142:D160"/>
    <mergeCell ref="F147:F148"/>
    <mergeCell ref="C161:H161"/>
    <mergeCell ref="G147:G148"/>
  </mergeCells>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91B4A-A373-4EF8-9864-FC51A3843846}">
  <dimension ref="A1:G123"/>
  <sheetViews>
    <sheetView workbookViewId="0">
      <pane ySplit="1" topLeftCell="A2" activePane="bottomLeft" state="frozen"/>
      <selection pane="bottomLeft" activeCell="Y7" sqref="Y7"/>
    </sheetView>
  </sheetViews>
  <sheetFormatPr defaultRowHeight="13.2"/>
  <cols>
    <col min="1" max="1" width="5.109375" customWidth="1"/>
    <col min="2" max="2" width="31.33203125" customWidth="1"/>
    <col min="3" max="3" width="34.33203125" customWidth="1"/>
    <col min="4" max="4" width="23.88671875" customWidth="1"/>
    <col min="5" max="5" width="13.33203125" customWidth="1"/>
    <col min="6" max="6" width="12.6640625" customWidth="1"/>
    <col min="7" max="7" width="13.88671875" customWidth="1"/>
  </cols>
  <sheetData>
    <row r="1" spans="1:7" ht="38.4" customHeight="1" thickBot="1">
      <c r="B1" s="2612" t="s">
        <v>4671</v>
      </c>
      <c r="C1" s="2612"/>
      <c r="D1" s="2612"/>
      <c r="E1" s="2612"/>
    </row>
    <row r="2" spans="1:7" ht="37.799999999999997" customHeight="1">
      <c r="A2" s="3655" t="s">
        <v>718</v>
      </c>
      <c r="B2" s="3650" t="s">
        <v>4456</v>
      </c>
      <c r="C2" s="3650" t="s">
        <v>4457</v>
      </c>
      <c r="D2" s="3650" t="s">
        <v>732</v>
      </c>
      <c r="E2" s="3650" t="s">
        <v>733</v>
      </c>
      <c r="F2" s="3650"/>
      <c r="G2" s="3652"/>
    </row>
    <row r="3" spans="1:7">
      <c r="A3" s="3656"/>
      <c r="B3" s="3651"/>
      <c r="C3" s="3651"/>
      <c r="D3" s="3651"/>
      <c r="E3" s="2560" t="s">
        <v>4672</v>
      </c>
      <c r="F3" s="2560" t="s">
        <v>4673</v>
      </c>
      <c r="G3" s="2563" t="s">
        <v>4458</v>
      </c>
    </row>
    <row r="4" spans="1:7" ht="24" customHeight="1" thickBot="1">
      <c r="A4" s="2570">
        <v>1</v>
      </c>
      <c r="B4" s="2571">
        <v>2</v>
      </c>
      <c r="C4" s="2571">
        <v>3</v>
      </c>
      <c r="D4" s="2571">
        <v>4</v>
      </c>
      <c r="E4" s="2571">
        <v>5</v>
      </c>
      <c r="F4" s="2571">
        <v>6</v>
      </c>
      <c r="G4" s="2572">
        <v>7</v>
      </c>
    </row>
    <row r="5" spans="1:7" ht="13.8" customHeight="1">
      <c r="A5" s="2569" t="s">
        <v>734</v>
      </c>
      <c r="B5" s="3630" t="s">
        <v>3171</v>
      </c>
      <c r="C5" s="3653" t="s">
        <v>4459</v>
      </c>
      <c r="D5" s="3653"/>
      <c r="E5" s="3653"/>
      <c r="F5" s="3653"/>
      <c r="G5" s="3654"/>
    </row>
    <row r="6" spans="1:7" ht="119.4" customHeight="1">
      <c r="A6" s="3641"/>
      <c r="B6" s="3631"/>
      <c r="C6" s="3631" t="s">
        <v>4665</v>
      </c>
      <c r="D6" s="2559" t="s">
        <v>4460</v>
      </c>
      <c r="E6" s="3638" t="s">
        <v>4461</v>
      </c>
      <c r="F6" s="3638"/>
      <c r="G6" s="3647"/>
    </row>
    <row r="7" spans="1:7" ht="27" customHeight="1">
      <c r="A7" s="3641"/>
      <c r="B7" s="3631"/>
      <c r="C7" s="3631"/>
      <c r="D7" s="2559" t="s">
        <v>4462</v>
      </c>
      <c r="E7" s="3638" t="s">
        <v>4463</v>
      </c>
      <c r="F7" s="3638"/>
      <c r="G7" s="3647"/>
    </row>
    <row r="8" spans="1:7" ht="25.2" customHeight="1">
      <c r="A8" s="3641"/>
      <c r="B8" s="3631"/>
      <c r="C8" s="3631"/>
      <c r="D8" s="3638" t="s">
        <v>4464</v>
      </c>
      <c r="E8" s="3638" t="s">
        <v>4465</v>
      </c>
      <c r="F8" s="3638"/>
      <c r="G8" s="3647"/>
    </row>
    <row r="9" spans="1:7">
      <c r="A9" s="3641"/>
      <c r="B9" s="3631"/>
      <c r="C9" s="3631"/>
      <c r="D9" s="3638"/>
      <c r="E9" s="3638"/>
      <c r="F9" s="3638"/>
      <c r="G9" s="3647"/>
    </row>
    <row r="10" spans="1:7" ht="27" customHeight="1">
      <c r="A10" s="3641"/>
      <c r="B10" s="3631"/>
      <c r="C10" s="3631"/>
      <c r="D10" s="2559" t="s">
        <v>4466</v>
      </c>
      <c r="E10" s="2559" t="s">
        <v>4467</v>
      </c>
      <c r="F10" s="2559"/>
      <c r="G10" s="2564"/>
    </row>
    <row r="11" spans="1:7" ht="39" customHeight="1">
      <c r="A11" s="3641"/>
      <c r="B11" s="3631"/>
      <c r="C11" s="3631"/>
      <c r="D11" s="2559" t="s">
        <v>4468</v>
      </c>
      <c r="E11" s="2559"/>
      <c r="F11" s="3648" t="s">
        <v>4469</v>
      </c>
      <c r="G11" s="3649"/>
    </row>
    <row r="12" spans="1:7" ht="28.2" customHeight="1">
      <c r="A12" s="3641"/>
      <c r="B12" s="3631"/>
      <c r="C12" s="3631"/>
      <c r="D12" s="2559" t="s">
        <v>4470</v>
      </c>
      <c r="E12" s="2559" t="s">
        <v>4471</v>
      </c>
      <c r="F12" s="2559"/>
      <c r="G12" s="2564"/>
    </row>
    <row r="13" spans="1:7" ht="31.2" customHeight="1">
      <c r="A13" s="3641"/>
      <c r="B13" s="3631"/>
      <c r="C13" s="3631"/>
      <c r="D13" s="3638" t="s">
        <v>4472</v>
      </c>
      <c r="E13" s="3638" t="s">
        <v>4473</v>
      </c>
      <c r="F13" s="3638"/>
      <c r="G13" s="3647"/>
    </row>
    <row r="14" spans="1:7">
      <c r="A14" s="3641"/>
      <c r="B14" s="3631"/>
      <c r="C14" s="3631"/>
      <c r="D14" s="3638"/>
      <c r="E14" s="3638"/>
      <c r="F14" s="3638"/>
      <c r="G14" s="3647"/>
    </row>
    <row r="15" spans="1:7" ht="55.8" customHeight="1">
      <c r="A15" s="3641"/>
      <c r="B15" s="3631"/>
      <c r="C15" s="3631"/>
      <c r="D15" s="3638" t="s">
        <v>4474</v>
      </c>
      <c r="E15" s="3638" t="s">
        <v>4475</v>
      </c>
      <c r="F15" s="3638"/>
      <c r="G15" s="3647"/>
    </row>
    <row r="16" spans="1:7">
      <c r="A16" s="3641"/>
      <c r="B16" s="3631"/>
      <c r="C16" s="3631"/>
      <c r="D16" s="3638"/>
      <c r="E16" s="3638"/>
      <c r="F16" s="3638"/>
      <c r="G16" s="3647"/>
    </row>
    <row r="17" spans="1:7" ht="28.8" customHeight="1">
      <c r="A17" s="3641"/>
      <c r="B17" s="3631"/>
      <c r="C17" s="3631"/>
      <c r="D17" s="2559" t="s">
        <v>4476</v>
      </c>
      <c r="E17" s="2559" t="s">
        <v>4477</v>
      </c>
      <c r="F17" s="2559"/>
      <c r="G17" s="2564"/>
    </row>
    <row r="18" spans="1:7" ht="30" customHeight="1">
      <c r="A18" s="3641"/>
      <c r="B18" s="3631"/>
      <c r="C18" s="3631"/>
      <c r="D18" s="2559" t="s">
        <v>4478</v>
      </c>
      <c r="E18" s="2559"/>
      <c r="F18" s="2559" t="s">
        <v>4479</v>
      </c>
      <c r="G18" s="2564"/>
    </row>
    <row r="19" spans="1:7" ht="43.8" customHeight="1">
      <c r="A19" s="3641"/>
      <c r="B19" s="3631"/>
      <c r="C19" s="3631"/>
      <c r="D19" s="2559" t="s">
        <v>4480</v>
      </c>
      <c r="E19" s="2559"/>
      <c r="F19" s="2559" t="s">
        <v>4481</v>
      </c>
      <c r="G19" s="2564"/>
    </row>
    <row r="20" spans="1:7" ht="49.8" customHeight="1">
      <c r="A20" s="3641"/>
      <c r="B20" s="3631"/>
      <c r="C20" s="3631"/>
      <c r="D20" s="2559" t="s">
        <v>4482</v>
      </c>
      <c r="E20" s="2559"/>
      <c r="F20" s="2559" t="s">
        <v>4483</v>
      </c>
      <c r="G20" s="2564"/>
    </row>
    <row r="21" spans="1:7" ht="37.200000000000003" customHeight="1">
      <c r="A21" s="3641"/>
      <c r="B21" s="3631"/>
      <c r="C21" s="3631"/>
      <c r="D21" s="2559" t="s">
        <v>4484</v>
      </c>
      <c r="E21" s="2559"/>
      <c r="F21" s="2559" t="s">
        <v>4485</v>
      </c>
      <c r="G21" s="2564"/>
    </row>
    <row r="22" spans="1:7" ht="38.4" customHeight="1">
      <c r="A22" s="3641"/>
      <c r="B22" s="3631"/>
      <c r="C22" s="3631"/>
      <c r="D22" s="2559" t="s">
        <v>4486</v>
      </c>
      <c r="E22" s="2559"/>
      <c r="F22" s="2559" t="s">
        <v>4487</v>
      </c>
      <c r="G22" s="2564"/>
    </row>
    <row r="23" spans="1:7" ht="58.2" customHeight="1">
      <c r="A23" s="3641"/>
      <c r="B23" s="3631"/>
      <c r="C23" s="3631"/>
      <c r="D23" s="2559" t="s">
        <v>4488</v>
      </c>
      <c r="E23" s="2559"/>
      <c r="F23" s="2559" t="s">
        <v>4489</v>
      </c>
      <c r="G23" s="2564"/>
    </row>
    <row r="24" spans="1:7" ht="43.2" customHeight="1">
      <c r="A24" s="3641"/>
      <c r="B24" s="3631"/>
      <c r="C24" s="3631"/>
      <c r="D24" s="2559" t="s">
        <v>4490</v>
      </c>
      <c r="E24" s="2559"/>
      <c r="F24" s="2559" t="s">
        <v>4491</v>
      </c>
      <c r="G24" s="2564"/>
    </row>
    <row r="25" spans="1:7" ht="47.4" customHeight="1">
      <c r="A25" s="3641"/>
      <c r="B25" s="3631"/>
      <c r="C25" s="3631"/>
      <c r="D25" s="2559" t="s">
        <v>4492</v>
      </c>
      <c r="E25" s="2559"/>
      <c r="F25" s="2559" t="s">
        <v>4493</v>
      </c>
      <c r="G25" s="2564"/>
    </row>
    <row r="26" spans="1:7" ht="40.200000000000003" customHeight="1">
      <c r="A26" s="3641"/>
      <c r="B26" s="3631"/>
      <c r="C26" s="3631"/>
      <c r="D26" s="2559" t="s">
        <v>4494</v>
      </c>
      <c r="E26" s="2559"/>
      <c r="F26" s="2559" t="s">
        <v>4495</v>
      </c>
      <c r="G26" s="2564"/>
    </row>
    <row r="27" spans="1:7" ht="29.4" customHeight="1">
      <c r="A27" s="3641"/>
      <c r="B27" s="3631"/>
      <c r="C27" s="3631"/>
      <c r="D27" s="3638" t="s">
        <v>4496</v>
      </c>
      <c r="E27" s="3638"/>
      <c r="F27" s="3638" t="s">
        <v>4497</v>
      </c>
      <c r="G27" s="3647"/>
    </row>
    <row r="28" spans="1:7" ht="13.8" hidden="1" customHeight="1" thickBot="1">
      <c r="A28" s="3641"/>
      <c r="B28" s="3631"/>
      <c r="C28" s="3631"/>
      <c r="D28" s="3638"/>
      <c r="E28" s="3638"/>
      <c r="F28" s="3638"/>
      <c r="G28" s="3647"/>
    </row>
    <row r="29" spans="1:7" ht="35.4" customHeight="1">
      <c r="A29" s="3641"/>
      <c r="B29" s="3631"/>
      <c r="C29" s="3631"/>
      <c r="D29" s="3638" t="s">
        <v>4498</v>
      </c>
      <c r="E29" s="3638"/>
      <c r="F29" s="3638" t="s">
        <v>4499</v>
      </c>
      <c r="G29" s="3647"/>
    </row>
    <row r="30" spans="1:7" ht="13.8" hidden="1" customHeight="1" thickBot="1">
      <c r="A30" s="3641"/>
      <c r="B30" s="3631"/>
      <c r="C30" s="3631"/>
      <c r="D30" s="3638"/>
      <c r="E30" s="3638"/>
      <c r="F30" s="3638"/>
      <c r="G30" s="3647"/>
    </row>
    <row r="31" spans="1:7" ht="40.200000000000003" customHeight="1">
      <c r="A31" s="3641"/>
      <c r="B31" s="3631"/>
      <c r="C31" s="3631"/>
      <c r="D31" s="2559" t="s">
        <v>4500</v>
      </c>
      <c r="E31" s="2559"/>
      <c r="F31" s="3638" t="s">
        <v>4501</v>
      </c>
      <c r="G31" s="3647"/>
    </row>
    <row r="32" spans="1:7" ht="40.200000000000003" customHeight="1">
      <c r="A32" s="3641"/>
      <c r="B32" s="3631"/>
      <c r="C32" s="3631"/>
      <c r="D32" s="2559" t="s">
        <v>4502</v>
      </c>
      <c r="E32" s="2559"/>
      <c r="F32" s="3638" t="s">
        <v>4503</v>
      </c>
      <c r="G32" s="3647"/>
    </row>
    <row r="33" spans="1:7" ht="40.200000000000003" customHeight="1">
      <c r="A33" s="3641"/>
      <c r="B33" s="3631"/>
      <c r="C33" s="3631"/>
      <c r="D33" s="2559" t="s">
        <v>4504</v>
      </c>
      <c r="E33" s="2559"/>
      <c r="F33" s="3648" t="s">
        <v>4505</v>
      </c>
      <c r="G33" s="3649"/>
    </row>
    <row r="34" spans="1:7" ht="27" customHeight="1">
      <c r="A34" s="3641"/>
      <c r="B34" s="3631"/>
      <c r="C34" s="3631"/>
      <c r="D34" s="2559" t="s">
        <v>4506</v>
      </c>
      <c r="E34" s="2559"/>
      <c r="F34" s="2559" t="s">
        <v>4507</v>
      </c>
      <c r="G34" s="2564"/>
    </row>
    <row r="35" spans="1:7" ht="41.4" customHeight="1">
      <c r="A35" s="3641"/>
      <c r="B35" s="3631"/>
      <c r="C35" s="3631"/>
      <c r="D35" s="2559" t="s">
        <v>4508</v>
      </c>
      <c r="E35" s="2559"/>
      <c r="F35" s="2559" t="s">
        <v>4509</v>
      </c>
      <c r="G35" s="2564"/>
    </row>
    <row r="36" spans="1:7" ht="25.8" customHeight="1">
      <c r="A36" s="3641"/>
      <c r="B36" s="3631"/>
      <c r="C36" s="3631"/>
      <c r="D36" s="3638" t="s">
        <v>4510</v>
      </c>
      <c r="E36" s="3638"/>
      <c r="F36" s="3638" t="s">
        <v>4511</v>
      </c>
      <c r="G36" s="3647"/>
    </row>
    <row r="37" spans="1:7">
      <c r="A37" s="3641"/>
      <c r="B37" s="3631"/>
      <c r="C37" s="3631"/>
      <c r="D37" s="3638"/>
      <c r="E37" s="3638"/>
      <c r="F37" s="3638"/>
      <c r="G37" s="3647"/>
    </row>
    <row r="38" spans="1:7" ht="40.799999999999997" customHeight="1">
      <c r="A38" s="3641"/>
      <c r="B38" s="3631"/>
      <c r="C38" s="3631"/>
      <c r="D38" s="2559" t="s">
        <v>4512</v>
      </c>
      <c r="E38" s="2559" t="s">
        <v>4513</v>
      </c>
      <c r="F38" s="2559"/>
      <c r="G38" s="2564"/>
    </row>
    <row r="39" spans="1:7" ht="25.8" customHeight="1">
      <c r="A39" s="3641"/>
      <c r="B39" s="3631"/>
      <c r="C39" s="3631"/>
      <c r="D39" s="3638" t="s">
        <v>4514</v>
      </c>
      <c r="E39" s="3638" t="s">
        <v>4515</v>
      </c>
      <c r="F39" s="3638"/>
      <c r="G39" s="3647"/>
    </row>
    <row r="40" spans="1:7">
      <c r="A40" s="3641"/>
      <c r="B40" s="3631"/>
      <c r="C40" s="3631"/>
      <c r="D40" s="3638"/>
      <c r="E40" s="3638"/>
      <c r="F40" s="3638"/>
      <c r="G40" s="3647"/>
    </row>
    <row r="41" spans="1:7" ht="39.6" customHeight="1">
      <c r="A41" s="3641"/>
      <c r="B41" s="3631"/>
      <c r="C41" s="3631"/>
      <c r="D41" s="3638" t="s">
        <v>4516</v>
      </c>
      <c r="E41" s="3638" t="s">
        <v>4517</v>
      </c>
      <c r="F41" s="3638"/>
      <c r="G41" s="3647"/>
    </row>
    <row r="42" spans="1:7">
      <c r="A42" s="3641"/>
      <c r="B42" s="3631"/>
      <c r="C42" s="3631"/>
      <c r="D42" s="3638"/>
      <c r="E42" s="3638"/>
      <c r="F42" s="3638"/>
      <c r="G42" s="3647"/>
    </row>
    <row r="43" spans="1:7" ht="27" customHeight="1">
      <c r="A43" s="3641"/>
      <c r="B43" s="3631"/>
      <c r="C43" s="3631"/>
      <c r="D43" s="3638" t="s">
        <v>4518</v>
      </c>
      <c r="E43" s="3638"/>
      <c r="F43" s="3638" t="s">
        <v>4519</v>
      </c>
      <c r="G43" s="3647"/>
    </row>
    <row r="44" spans="1:7">
      <c r="A44" s="3641"/>
      <c r="B44" s="3631"/>
      <c r="C44" s="3631"/>
      <c r="D44" s="3638"/>
      <c r="E44" s="3638"/>
      <c r="F44" s="3638"/>
      <c r="G44" s="3647"/>
    </row>
    <row r="45" spans="1:7" ht="28.2" customHeight="1">
      <c r="A45" s="3641"/>
      <c r="B45" s="3631"/>
      <c r="C45" s="3631"/>
      <c r="D45" s="2559" t="s">
        <v>4520</v>
      </c>
      <c r="E45" s="3638" t="s">
        <v>4521</v>
      </c>
      <c r="F45" s="3638"/>
      <c r="G45" s="2564"/>
    </row>
    <row r="46" spans="1:7" ht="26.4" customHeight="1">
      <c r="A46" s="3641"/>
      <c r="B46" s="3631"/>
      <c r="C46" s="3631"/>
      <c r="D46" s="2559" t="s">
        <v>4522</v>
      </c>
      <c r="E46" s="3638" t="s">
        <v>4524</v>
      </c>
      <c r="F46" s="3638"/>
      <c r="G46" s="3647"/>
    </row>
    <row r="47" spans="1:7" ht="27" customHeight="1">
      <c r="A47" s="3641"/>
      <c r="B47" s="3631"/>
      <c r="C47" s="3631"/>
      <c r="D47" s="2559" t="s">
        <v>4523</v>
      </c>
      <c r="E47" s="3638"/>
      <c r="F47" s="3638"/>
      <c r="G47" s="3647"/>
    </row>
    <row r="48" spans="1:7" ht="66.599999999999994" customHeight="1">
      <c r="A48" s="3641"/>
      <c r="B48" s="3631"/>
      <c r="C48" s="3631" t="s">
        <v>4677</v>
      </c>
      <c r="D48" s="2559" t="s">
        <v>4525</v>
      </c>
      <c r="E48" s="3638" t="s">
        <v>4526</v>
      </c>
      <c r="F48" s="3638"/>
      <c r="G48" s="2565"/>
    </row>
    <row r="49" spans="1:7" ht="89.4" customHeight="1">
      <c r="A49" s="3641"/>
      <c r="B49" s="3631"/>
      <c r="C49" s="3631"/>
      <c r="D49" s="3638" t="s">
        <v>4527</v>
      </c>
      <c r="E49" s="3645" t="s">
        <v>4674</v>
      </c>
      <c r="F49" s="3638"/>
      <c r="G49" s="3644"/>
    </row>
    <row r="50" spans="1:7">
      <c r="A50" s="3641"/>
      <c r="B50" s="3631"/>
      <c r="C50" s="3631"/>
      <c r="D50" s="3638"/>
      <c r="E50" s="3646"/>
      <c r="F50" s="3638"/>
      <c r="G50" s="3644"/>
    </row>
    <row r="51" spans="1:7" ht="134.4" customHeight="1">
      <c r="A51" s="3641"/>
      <c r="B51" s="3631"/>
      <c r="C51" s="3631"/>
      <c r="D51" s="2559" t="s">
        <v>4528</v>
      </c>
      <c r="E51" s="2559" t="s">
        <v>4529</v>
      </c>
      <c r="F51" s="2559"/>
      <c r="G51" s="2565"/>
    </row>
    <row r="52" spans="1:7" ht="75" customHeight="1">
      <c r="A52" s="3641"/>
      <c r="B52" s="3631"/>
      <c r="C52" s="3631"/>
      <c r="D52" s="2559" t="s">
        <v>4530</v>
      </c>
      <c r="E52" s="2559" t="s">
        <v>4531</v>
      </c>
      <c r="F52" s="2559"/>
      <c r="G52" s="2565"/>
    </row>
    <row r="53" spans="1:7" ht="22.8" customHeight="1">
      <c r="A53" s="3641"/>
      <c r="B53" s="3631"/>
      <c r="C53" s="3631"/>
      <c r="D53" s="2559" t="s">
        <v>4532</v>
      </c>
      <c r="E53" s="2559" t="s">
        <v>4533</v>
      </c>
      <c r="F53" s="2559"/>
      <c r="G53" s="2565"/>
    </row>
    <row r="54" spans="1:7" ht="42.6" customHeight="1">
      <c r="A54" s="3641"/>
      <c r="B54" s="3631"/>
      <c r="C54" s="3631"/>
      <c r="D54" s="2559" t="s">
        <v>4534</v>
      </c>
      <c r="E54" s="2559" t="s">
        <v>4535</v>
      </c>
      <c r="F54" s="2559"/>
      <c r="G54" s="2565"/>
    </row>
    <row r="55" spans="1:7">
      <c r="A55" s="3641"/>
      <c r="B55" s="3631"/>
      <c r="C55" s="3631"/>
      <c r="D55" s="2559" t="s">
        <v>4536</v>
      </c>
      <c r="E55" s="2559" t="s">
        <v>4537</v>
      </c>
      <c r="F55" s="2559"/>
      <c r="G55" s="2565"/>
    </row>
    <row r="56" spans="1:7" ht="30.6" customHeight="1">
      <c r="A56" s="3641"/>
      <c r="B56" s="3631"/>
      <c r="C56" s="3631"/>
      <c r="D56" s="3638" t="s">
        <v>4538</v>
      </c>
      <c r="E56" s="3645" t="s">
        <v>4675</v>
      </c>
      <c r="F56" s="3638"/>
      <c r="G56" s="3644"/>
    </row>
    <row r="57" spans="1:7">
      <c r="A57" s="3641"/>
      <c r="B57" s="3631"/>
      <c r="C57" s="3631"/>
      <c r="D57" s="3638"/>
      <c r="E57" s="3646"/>
      <c r="F57" s="3638"/>
      <c r="G57" s="3644"/>
    </row>
    <row r="58" spans="1:7" ht="33.6" customHeight="1">
      <c r="A58" s="3641"/>
      <c r="B58" s="3631"/>
      <c r="C58" s="3631"/>
      <c r="D58" s="2559" t="s">
        <v>4539</v>
      </c>
      <c r="E58" s="2559" t="s">
        <v>4540</v>
      </c>
      <c r="F58" s="2559"/>
      <c r="G58" s="2565"/>
    </row>
    <row r="59" spans="1:7" ht="17.399999999999999" customHeight="1">
      <c r="A59" s="3641"/>
      <c r="B59" s="3631"/>
      <c r="C59" s="3631"/>
      <c r="D59" s="2559" t="s">
        <v>4541</v>
      </c>
      <c r="E59" s="2559" t="s">
        <v>4542</v>
      </c>
      <c r="F59" s="2559"/>
      <c r="G59" s="2565"/>
    </row>
    <row r="60" spans="1:7" ht="24" customHeight="1">
      <c r="A60" s="3641"/>
      <c r="B60" s="3631"/>
      <c r="C60" s="3631"/>
      <c r="D60" s="2559" t="s">
        <v>4543</v>
      </c>
      <c r="E60" s="2559" t="s">
        <v>4544</v>
      </c>
      <c r="F60" s="2559"/>
      <c r="G60" s="2565"/>
    </row>
    <row r="61" spans="1:7" ht="34.799999999999997" customHeight="1">
      <c r="A61" s="3641"/>
      <c r="B61" s="3631"/>
      <c r="C61" s="3631"/>
      <c r="D61" s="2559" t="s">
        <v>4545</v>
      </c>
      <c r="E61" s="2559" t="s">
        <v>4546</v>
      </c>
      <c r="F61" s="2559"/>
      <c r="G61" s="2565"/>
    </row>
    <row r="62" spans="1:7" ht="30" customHeight="1">
      <c r="A62" s="3641"/>
      <c r="B62" s="3631"/>
      <c r="C62" s="3631"/>
      <c r="D62" s="2559" t="s">
        <v>4547</v>
      </c>
      <c r="E62" s="2559" t="s">
        <v>4548</v>
      </c>
      <c r="F62" s="2559"/>
      <c r="G62" s="2565"/>
    </row>
    <row r="63" spans="1:7" ht="34.200000000000003" customHeight="1">
      <c r="A63" s="3641"/>
      <c r="B63" s="3631"/>
      <c r="C63" s="3631"/>
      <c r="D63" s="2559" t="s">
        <v>4549</v>
      </c>
      <c r="E63" s="2559" t="s">
        <v>4550</v>
      </c>
      <c r="F63" s="2559"/>
      <c r="G63" s="2565"/>
    </row>
    <row r="64" spans="1:7" ht="23.4" customHeight="1">
      <c r="A64" s="3641"/>
      <c r="B64" s="3631"/>
      <c r="C64" s="3631"/>
      <c r="D64" s="2559" t="s">
        <v>4551</v>
      </c>
      <c r="E64" s="2559" t="s">
        <v>4552</v>
      </c>
      <c r="F64" s="2559"/>
      <c r="G64" s="2565"/>
    </row>
    <row r="65" spans="1:7" ht="28.2" customHeight="1">
      <c r="A65" s="3641"/>
      <c r="B65" s="3631"/>
      <c r="C65" s="3631"/>
      <c r="D65" s="2559" t="s">
        <v>4553</v>
      </c>
      <c r="E65" s="2559" t="s">
        <v>4554</v>
      </c>
      <c r="F65" s="2559"/>
      <c r="G65" s="2565"/>
    </row>
    <row r="66" spans="1:7" ht="57" customHeight="1">
      <c r="A66" s="3641"/>
      <c r="B66" s="3631"/>
      <c r="C66" s="3631" t="s">
        <v>4678</v>
      </c>
      <c r="D66" s="2561" t="s">
        <v>4555</v>
      </c>
      <c r="E66" s="3633" t="s">
        <v>4556</v>
      </c>
      <c r="F66" s="3633"/>
      <c r="G66" s="3634"/>
    </row>
    <row r="67" spans="1:7" ht="38.4" customHeight="1">
      <c r="A67" s="3641"/>
      <c r="B67" s="3631"/>
      <c r="C67" s="3631"/>
      <c r="D67" s="2561" t="s">
        <v>4557</v>
      </c>
      <c r="E67" s="3633" t="s">
        <v>4558</v>
      </c>
      <c r="F67" s="3633"/>
      <c r="G67" s="3634"/>
    </row>
    <row r="68" spans="1:7" ht="24.6" customHeight="1">
      <c r="A68" s="3641"/>
      <c r="B68" s="3631"/>
      <c r="C68" s="3631"/>
      <c r="D68" s="3638" t="s">
        <v>4559</v>
      </c>
      <c r="E68" s="2559" t="s">
        <v>4560</v>
      </c>
      <c r="F68" s="2559" t="s">
        <v>4560</v>
      </c>
      <c r="G68" s="2564" t="s">
        <v>4560</v>
      </c>
    </row>
    <row r="69" spans="1:7" ht="22.8" customHeight="1">
      <c r="A69" s="3641"/>
      <c r="B69" s="3631"/>
      <c r="C69" s="3631"/>
      <c r="D69" s="3638"/>
      <c r="E69" s="2559" t="s">
        <v>4561</v>
      </c>
      <c r="F69" s="2559" t="s">
        <v>4561</v>
      </c>
      <c r="G69" s="2564" t="s">
        <v>4561</v>
      </c>
    </row>
    <row r="70" spans="1:7" ht="36.6" customHeight="1">
      <c r="A70" s="3641"/>
      <c r="B70" s="3631"/>
      <c r="C70" s="3631"/>
      <c r="D70" s="2559" t="s">
        <v>4562</v>
      </c>
      <c r="E70" s="2559" t="s">
        <v>4563</v>
      </c>
      <c r="F70" s="2559" t="s">
        <v>4563</v>
      </c>
      <c r="G70" s="2564">
        <v>11619.56</v>
      </c>
    </row>
    <row r="71" spans="1:7" ht="42" customHeight="1">
      <c r="A71" s="3641"/>
      <c r="B71" s="3631"/>
      <c r="C71" s="3631"/>
      <c r="D71" s="2559" t="s">
        <v>4564</v>
      </c>
      <c r="E71" s="3638" t="s">
        <v>4565</v>
      </c>
      <c r="F71" s="3638"/>
      <c r="G71" s="2564"/>
    </row>
    <row r="72" spans="1:7" ht="53.4" customHeight="1">
      <c r="A72" s="3641"/>
      <c r="B72" s="3631"/>
      <c r="C72" s="3631" t="s">
        <v>4566</v>
      </c>
      <c r="D72" s="2559" t="s">
        <v>4567</v>
      </c>
      <c r="E72" s="3638" t="s">
        <v>4568</v>
      </c>
      <c r="F72" s="3638"/>
      <c r="G72" s="2564" t="s">
        <v>116</v>
      </c>
    </row>
    <row r="73" spans="1:7" ht="13.8" customHeight="1">
      <c r="A73" s="3641"/>
      <c r="B73" s="3631"/>
      <c r="C73" s="3631"/>
      <c r="D73" s="3631" t="s">
        <v>4569</v>
      </c>
      <c r="E73" s="3631" t="s">
        <v>4570</v>
      </c>
      <c r="F73" s="3631"/>
      <c r="G73" s="3643"/>
    </row>
    <row r="74" spans="1:7">
      <c r="A74" s="3641"/>
      <c r="B74" s="3631"/>
      <c r="C74" s="3631"/>
      <c r="D74" s="3631"/>
      <c r="E74" s="3631"/>
      <c r="F74" s="3631"/>
      <c r="G74" s="3643"/>
    </row>
    <row r="75" spans="1:7" ht="21.6" customHeight="1">
      <c r="A75" s="3641"/>
      <c r="B75" s="3631"/>
      <c r="C75" s="3631"/>
      <c r="D75" s="2559" t="s">
        <v>4571</v>
      </c>
      <c r="E75" s="2559"/>
      <c r="F75" s="2559" t="s">
        <v>4572</v>
      </c>
      <c r="G75" s="2564"/>
    </row>
    <row r="76" spans="1:7" ht="27" customHeight="1">
      <c r="A76" s="3641"/>
      <c r="B76" s="3631"/>
      <c r="C76" s="3631"/>
      <c r="D76" s="2559" t="s">
        <v>4573</v>
      </c>
      <c r="E76" s="2559"/>
      <c r="F76" s="2559" t="s">
        <v>4574</v>
      </c>
      <c r="G76" s="2564"/>
    </row>
    <row r="77" spans="1:7" ht="21" customHeight="1">
      <c r="A77" s="3641"/>
      <c r="B77" s="3631"/>
      <c r="C77" s="3631"/>
      <c r="D77" s="2559" t="s">
        <v>4575</v>
      </c>
      <c r="E77" s="2559" t="s">
        <v>4576</v>
      </c>
      <c r="F77" s="2559"/>
      <c r="G77" s="2564"/>
    </row>
    <row r="78" spans="1:7" ht="29.4" customHeight="1">
      <c r="A78" s="3641"/>
      <c r="B78" s="3631"/>
      <c r="C78" s="3631"/>
      <c r="D78" s="2559" t="s">
        <v>4577</v>
      </c>
      <c r="E78" s="2559" t="s">
        <v>4578</v>
      </c>
      <c r="F78" s="2559"/>
      <c r="G78" s="2564"/>
    </row>
    <row r="79" spans="1:7" ht="19.2" customHeight="1">
      <c r="A79" s="3641"/>
      <c r="B79" s="3631"/>
      <c r="C79" s="3631"/>
      <c r="D79" s="2562" t="s">
        <v>4579</v>
      </c>
      <c r="E79" s="3631" t="s">
        <v>4580</v>
      </c>
      <c r="F79" s="3631"/>
      <c r="G79" s="3643"/>
    </row>
    <row r="80" spans="1:7" ht="21.6" customHeight="1">
      <c r="A80" s="3641"/>
      <c r="B80" s="3631"/>
      <c r="C80" s="3631"/>
      <c r="D80" s="2559" t="s">
        <v>4581</v>
      </c>
      <c r="E80" s="3638" t="s">
        <v>4582</v>
      </c>
      <c r="F80" s="3638"/>
      <c r="G80" s="2564"/>
    </row>
    <row r="81" spans="1:7" ht="22.8" customHeight="1">
      <c r="A81" s="3641"/>
      <c r="B81" s="3631"/>
      <c r="C81" s="3631"/>
      <c r="D81" s="2559" t="s">
        <v>4583</v>
      </c>
      <c r="E81" s="3638" t="s">
        <v>4584</v>
      </c>
      <c r="F81" s="3638"/>
      <c r="G81" s="2564"/>
    </row>
    <row r="82" spans="1:7" ht="20.399999999999999" customHeight="1">
      <c r="A82" s="3641"/>
      <c r="B82" s="3631"/>
      <c r="C82" s="3631"/>
      <c r="D82" s="2559" t="s">
        <v>4585</v>
      </c>
      <c r="E82" s="3638" t="s">
        <v>4586</v>
      </c>
      <c r="F82" s="3638"/>
      <c r="G82" s="2564"/>
    </row>
    <row r="83" spans="1:7" ht="24.6" customHeight="1">
      <c r="A83" s="3641"/>
      <c r="B83" s="3631"/>
      <c r="C83" s="3631"/>
      <c r="D83" s="2559" t="s">
        <v>4587</v>
      </c>
      <c r="E83" s="3638" t="s">
        <v>4588</v>
      </c>
      <c r="F83" s="3638"/>
      <c r="G83" s="2564"/>
    </row>
    <row r="84" spans="1:7" ht="28.2" customHeight="1">
      <c r="A84" s="3641"/>
      <c r="B84" s="3631"/>
      <c r="C84" s="3631"/>
      <c r="D84" s="2559" t="s">
        <v>4589</v>
      </c>
      <c r="E84" s="3638" t="s">
        <v>4590</v>
      </c>
      <c r="F84" s="3638"/>
      <c r="G84" s="2564"/>
    </row>
    <row r="85" spans="1:7" ht="25.2" customHeight="1">
      <c r="A85" s="3641"/>
      <c r="B85" s="3631"/>
      <c r="C85" s="3631"/>
      <c r="D85" s="2559" t="s">
        <v>4591</v>
      </c>
      <c r="E85" s="3638" t="s">
        <v>4592</v>
      </c>
      <c r="F85" s="3638"/>
      <c r="G85" s="2564"/>
    </row>
    <row r="86" spans="1:7" ht="15.6" customHeight="1">
      <c r="A86" s="3641"/>
      <c r="B86" s="3631"/>
      <c r="C86" s="3631"/>
      <c r="D86" s="2559" t="s">
        <v>4593</v>
      </c>
      <c r="E86" s="3638" t="s">
        <v>4594</v>
      </c>
      <c r="F86" s="3638"/>
      <c r="G86" s="2564"/>
    </row>
    <row r="87" spans="1:7">
      <c r="A87" s="3641"/>
      <c r="B87" s="3631"/>
      <c r="C87" s="3631"/>
      <c r="D87" s="2559" t="s">
        <v>4595</v>
      </c>
      <c r="E87" s="3638" t="s">
        <v>4596</v>
      </c>
      <c r="F87" s="3638"/>
      <c r="G87" s="2564"/>
    </row>
    <row r="88" spans="1:7" ht="53.4" customHeight="1">
      <c r="A88" s="3639" t="s">
        <v>783</v>
      </c>
      <c r="B88" s="3631"/>
      <c r="C88" s="2573" t="s">
        <v>4597</v>
      </c>
      <c r="D88" s="2561" t="s">
        <v>4598</v>
      </c>
      <c r="E88" s="2561" t="s">
        <v>4676</v>
      </c>
      <c r="F88" s="2561" t="s">
        <v>4599</v>
      </c>
      <c r="G88" s="2566" t="s">
        <v>4600</v>
      </c>
    </row>
    <row r="89" spans="1:7" ht="32.4" customHeight="1">
      <c r="A89" s="3639"/>
      <c r="B89" s="3631"/>
      <c r="C89" s="2573" t="s">
        <v>4601</v>
      </c>
      <c r="D89" s="2561" t="s">
        <v>4602</v>
      </c>
      <c r="E89" s="2561" t="s">
        <v>4603</v>
      </c>
      <c r="F89" s="2561" t="s">
        <v>4603</v>
      </c>
      <c r="G89" s="2566" t="s">
        <v>4604</v>
      </c>
    </row>
    <row r="90" spans="1:7" ht="31.8" customHeight="1">
      <c r="A90" s="3639"/>
      <c r="B90" s="3631"/>
      <c r="C90" s="3635" t="s">
        <v>4605</v>
      </c>
      <c r="D90" s="3633" t="s">
        <v>3327</v>
      </c>
      <c r="E90" s="3633" t="s">
        <v>116</v>
      </c>
      <c r="F90" s="2561" t="s">
        <v>4606</v>
      </c>
      <c r="G90" s="3634" t="s">
        <v>116</v>
      </c>
    </row>
    <row r="91" spans="1:7" ht="40.200000000000003" customHeight="1">
      <c r="A91" s="3639"/>
      <c r="B91" s="3631"/>
      <c r="C91" s="3635"/>
      <c r="D91" s="3633"/>
      <c r="E91" s="3633"/>
      <c r="F91" s="2561" t="s">
        <v>4607</v>
      </c>
      <c r="G91" s="3634"/>
    </row>
    <row r="92" spans="1:7">
      <c r="A92" s="3639"/>
      <c r="B92" s="3631"/>
      <c r="C92" s="3635" t="s">
        <v>4608</v>
      </c>
      <c r="D92" s="2561" t="s">
        <v>4609</v>
      </c>
      <c r="E92" s="3633" t="s">
        <v>4611</v>
      </c>
      <c r="F92" s="3633" t="s">
        <v>116</v>
      </c>
      <c r="G92" s="3634" t="s">
        <v>116</v>
      </c>
    </row>
    <row r="93" spans="1:7">
      <c r="A93" s="3639"/>
      <c r="B93" s="3631"/>
      <c r="C93" s="3635"/>
      <c r="D93" s="2561" t="s">
        <v>4610</v>
      </c>
      <c r="E93" s="3633"/>
      <c r="F93" s="3633"/>
      <c r="G93" s="3634"/>
    </row>
    <row r="94" spans="1:7" ht="30.6" customHeight="1">
      <c r="A94" s="3641" t="s">
        <v>784</v>
      </c>
      <c r="B94" s="3631"/>
      <c r="C94" s="2573" t="s">
        <v>4612</v>
      </c>
      <c r="D94" s="2561" t="s">
        <v>4613</v>
      </c>
      <c r="E94" s="2561" t="s">
        <v>2468</v>
      </c>
      <c r="F94" s="2561" t="s">
        <v>3324</v>
      </c>
      <c r="G94" s="2566" t="s">
        <v>4614</v>
      </c>
    </row>
    <row r="95" spans="1:7" ht="33" customHeight="1">
      <c r="A95" s="3641"/>
      <c r="B95" s="3631"/>
      <c r="C95" s="2573" t="s">
        <v>4615</v>
      </c>
      <c r="D95" s="2561" t="s">
        <v>4616</v>
      </c>
      <c r="E95" s="2561" t="s">
        <v>2470</v>
      </c>
      <c r="F95" s="2561" t="s">
        <v>4617</v>
      </c>
      <c r="G95" s="2566" t="s">
        <v>4618</v>
      </c>
    </row>
    <row r="96" spans="1:7" ht="34.200000000000003" customHeight="1">
      <c r="A96" s="3641"/>
      <c r="B96" s="3631"/>
      <c r="C96" s="2573" t="s">
        <v>4619</v>
      </c>
      <c r="D96" s="2561" t="s">
        <v>4620</v>
      </c>
      <c r="E96" s="2561" t="s">
        <v>4621</v>
      </c>
      <c r="F96" s="2561" t="s">
        <v>3320</v>
      </c>
      <c r="G96" s="2566" t="s">
        <v>4622</v>
      </c>
    </row>
    <row r="97" spans="1:7" ht="22.8" customHeight="1">
      <c r="A97" s="3641"/>
      <c r="B97" s="3631"/>
      <c r="C97" s="3635" t="s">
        <v>4623</v>
      </c>
      <c r="D97" s="3633" t="s">
        <v>4624</v>
      </c>
      <c r="E97" s="3633" t="s">
        <v>4625</v>
      </c>
      <c r="F97" s="3633" t="s">
        <v>4626</v>
      </c>
      <c r="G97" s="3634" t="s">
        <v>4627</v>
      </c>
    </row>
    <row r="98" spans="1:7">
      <c r="A98" s="3641"/>
      <c r="B98" s="3631"/>
      <c r="C98" s="3635"/>
      <c r="D98" s="3633"/>
      <c r="E98" s="3633"/>
      <c r="F98" s="3633"/>
      <c r="G98" s="3634"/>
    </row>
    <row r="99" spans="1:7" ht="28.2" customHeight="1">
      <c r="A99" s="3641"/>
      <c r="B99" s="3631"/>
      <c r="C99" s="2573" t="s">
        <v>4679</v>
      </c>
      <c r="D99" s="2561" t="s">
        <v>4628</v>
      </c>
      <c r="E99" s="2561" t="s">
        <v>4629</v>
      </c>
      <c r="F99" s="2561" t="s">
        <v>3317</v>
      </c>
      <c r="G99" s="2566" t="s">
        <v>4630</v>
      </c>
    </row>
    <row r="100" spans="1:7" ht="69" customHeight="1">
      <c r="A100" s="3641" t="s">
        <v>1698</v>
      </c>
      <c r="B100" s="3631"/>
      <c r="C100" s="2573" t="s">
        <v>4631</v>
      </c>
      <c r="D100" s="2561" t="s">
        <v>4632</v>
      </c>
      <c r="E100" s="2561" t="s">
        <v>4633</v>
      </c>
      <c r="F100" s="2561" t="s">
        <v>4634</v>
      </c>
      <c r="G100" s="2566" t="s">
        <v>4635</v>
      </c>
    </row>
    <row r="101" spans="1:7" ht="42" customHeight="1">
      <c r="A101" s="3641"/>
      <c r="B101" s="3631"/>
      <c r="C101" s="2573" t="s">
        <v>4636</v>
      </c>
      <c r="D101" s="2561" t="s">
        <v>4637</v>
      </c>
      <c r="E101" s="2561" t="s">
        <v>4638</v>
      </c>
      <c r="F101" s="2561" t="s">
        <v>4639</v>
      </c>
      <c r="G101" s="2566" t="s">
        <v>4640</v>
      </c>
    </row>
    <row r="102" spans="1:7" ht="73.2" customHeight="1">
      <c r="A102" s="3641"/>
      <c r="B102" s="3631"/>
      <c r="C102" s="3642"/>
      <c r="D102" s="3633" t="s">
        <v>4641</v>
      </c>
      <c r="E102" s="3633" t="s">
        <v>4666</v>
      </c>
      <c r="F102" s="3633" t="s">
        <v>4642</v>
      </c>
      <c r="G102" s="3634" t="s">
        <v>4643</v>
      </c>
    </row>
    <row r="103" spans="1:7">
      <c r="A103" s="3641"/>
      <c r="B103" s="3631"/>
      <c r="C103" s="3642"/>
      <c r="D103" s="3633"/>
      <c r="E103" s="3633"/>
      <c r="F103" s="3633"/>
      <c r="G103" s="3634"/>
    </row>
    <row r="104" spans="1:7" ht="73.2" customHeight="1">
      <c r="A104" s="3641"/>
      <c r="B104" s="3631"/>
      <c r="C104" s="3642"/>
      <c r="D104" s="3633" t="s">
        <v>4644</v>
      </c>
      <c r="E104" s="2561" t="s">
        <v>772</v>
      </c>
      <c r="F104" s="2561" t="s">
        <v>772</v>
      </c>
      <c r="G104" s="2566" t="s">
        <v>772</v>
      </c>
    </row>
    <row r="105" spans="1:7" ht="127.2" customHeight="1">
      <c r="A105" s="3641"/>
      <c r="B105" s="3631"/>
      <c r="C105" s="3642"/>
      <c r="D105" s="3633"/>
      <c r="E105" s="2561" t="s">
        <v>2482</v>
      </c>
      <c r="F105" s="2561" t="s">
        <v>2482</v>
      </c>
      <c r="G105" s="2566" t="s">
        <v>2482</v>
      </c>
    </row>
    <row r="106" spans="1:7" ht="54.6" customHeight="1">
      <c r="A106" s="3639" t="s">
        <v>785</v>
      </c>
      <c r="B106" s="3631"/>
      <c r="C106" s="3635" t="s">
        <v>4645</v>
      </c>
      <c r="D106" s="3633" t="s">
        <v>4646</v>
      </c>
      <c r="E106" s="3633" t="s">
        <v>4647</v>
      </c>
      <c r="F106" s="3633"/>
      <c r="G106" s="3634"/>
    </row>
    <row r="107" spans="1:7" ht="39.6" customHeight="1">
      <c r="A107" s="3639"/>
      <c r="B107" s="3631"/>
      <c r="C107" s="3635"/>
      <c r="D107" s="3633"/>
      <c r="E107" s="3633" t="s">
        <v>4648</v>
      </c>
      <c r="F107" s="3633"/>
      <c r="G107" s="3634"/>
    </row>
    <row r="108" spans="1:7" ht="40.200000000000003" customHeight="1">
      <c r="A108" s="3639"/>
      <c r="B108" s="3631"/>
      <c r="C108" s="3635"/>
      <c r="D108" s="3633"/>
      <c r="E108" s="3633" t="s">
        <v>4649</v>
      </c>
      <c r="F108" s="3633"/>
      <c r="G108" s="3634"/>
    </row>
    <row r="109" spans="1:7" ht="55.8" customHeight="1">
      <c r="A109" s="3639"/>
      <c r="B109" s="3631"/>
      <c r="C109" s="3635"/>
      <c r="D109" s="3633"/>
      <c r="E109" s="3633" t="s">
        <v>4650</v>
      </c>
      <c r="F109" s="3633"/>
      <c r="G109" s="3634"/>
    </row>
    <row r="110" spans="1:7" ht="52.2" customHeight="1">
      <c r="A110" s="3639"/>
      <c r="B110" s="3631"/>
      <c r="C110" s="3635"/>
      <c r="D110" s="3633" t="s">
        <v>4651</v>
      </c>
      <c r="E110" s="3633" t="s">
        <v>4667</v>
      </c>
      <c r="F110" s="3633" t="s">
        <v>4668</v>
      </c>
      <c r="G110" s="3634" t="s">
        <v>4652</v>
      </c>
    </row>
    <row r="111" spans="1:7" ht="30.6" customHeight="1">
      <c r="A111" s="3639"/>
      <c r="B111" s="3631"/>
      <c r="C111" s="3635"/>
      <c r="D111" s="3633"/>
      <c r="E111" s="3633"/>
      <c r="F111" s="3633"/>
      <c r="G111" s="3634"/>
    </row>
    <row r="112" spans="1:7" ht="55.8" customHeight="1">
      <c r="A112" s="3639"/>
      <c r="B112" s="3631"/>
      <c r="C112" s="3635"/>
      <c r="D112" s="3633" t="s">
        <v>4653</v>
      </c>
      <c r="E112" s="3633" t="s">
        <v>4654</v>
      </c>
      <c r="F112" s="3633" t="s">
        <v>4654</v>
      </c>
      <c r="G112" s="3634" t="s">
        <v>4654</v>
      </c>
    </row>
    <row r="113" spans="1:7">
      <c r="A113" s="3639"/>
      <c r="B113" s="3631"/>
      <c r="C113" s="3635"/>
      <c r="D113" s="3633"/>
      <c r="E113" s="3633"/>
      <c r="F113" s="3633"/>
      <c r="G113" s="3634"/>
    </row>
    <row r="114" spans="1:7" ht="48" customHeight="1">
      <c r="A114" s="3639"/>
      <c r="B114" s="3631"/>
      <c r="C114" s="3635" t="s">
        <v>4655</v>
      </c>
      <c r="D114" s="3633" t="s">
        <v>4656</v>
      </c>
      <c r="E114" s="3633" t="s">
        <v>4657</v>
      </c>
      <c r="F114" s="3633" t="s">
        <v>4669</v>
      </c>
      <c r="G114" s="3634" t="s">
        <v>4670</v>
      </c>
    </row>
    <row r="115" spans="1:7">
      <c r="A115" s="3639"/>
      <c r="B115" s="3631"/>
      <c r="C115" s="3635"/>
      <c r="D115" s="3633"/>
      <c r="E115" s="3633"/>
      <c r="F115" s="3633"/>
      <c r="G115" s="3634"/>
    </row>
    <row r="116" spans="1:7" ht="30.6" customHeight="1">
      <c r="A116" s="3639"/>
      <c r="B116" s="3631"/>
      <c r="C116" s="3635" t="s">
        <v>4658</v>
      </c>
      <c r="D116" s="3633" t="s">
        <v>4659</v>
      </c>
      <c r="E116" s="3633" t="s">
        <v>4654</v>
      </c>
      <c r="F116" s="3633" t="s">
        <v>4654</v>
      </c>
      <c r="G116" s="3634" t="s">
        <v>4654</v>
      </c>
    </row>
    <row r="117" spans="1:7">
      <c r="A117" s="3639"/>
      <c r="B117" s="3631"/>
      <c r="C117" s="3635"/>
      <c r="D117" s="3633"/>
      <c r="E117" s="3633"/>
      <c r="F117" s="3633"/>
      <c r="G117" s="3634"/>
    </row>
    <row r="118" spans="1:7" ht="34.799999999999997" customHeight="1">
      <c r="A118" s="3639"/>
      <c r="B118" s="3631"/>
      <c r="C118" s="3635"/>
      <c r="D118" s="2561" t="s">
        <v>4660</v>
      </c>
      <c r="E118" s="3633" t="s">
        <v>4661</v>
      </c>
      <c r="F118" s="3633"/>
      <c r="G118" s="2566" t="s">
        <v>116</v>
      </c>
    </row>
    <row r="119" spans="1:7" ht="34.200000000000003">
      <c r="A119" s="3639"/>
      <c r="B119" s="3631"/>
      <c r="C119" s="3635" t="s">
        <v>4662</v>
      </c>
      <c r="D119" s="3633" t="s">
        <v>4663</v>
      </c>
      <c r="E119" s="2561" t="s">
        <v>2493</v>
      </c>
      <c r="F119" s="2561" t="s">
        <v>2493</v>
      </c>
      <c r="G119" s="2566" t="s">
        <v>2493</v>
      </c>
    </row>
    <row r="120" spans="1:7" ht="45.6">
      <c r="A120" s="3639"/>
      <c r="B120" s="3631"/>
      <c r="C120" s="3635"/>
      <c r="D120" s="3633"/>
      <c r="E120" s="2561" t="s">
        <v>2494</v>
      </c>
      <c r="F120" s="2561" t="s">
        <v>2494</v>
      </c>
      <c r="G120" s="2566" t="s">
        <v>2494</v>
      </c>
    </row>
    <row r="121" spans="1:7" ht="36" customHeight="1">
      <c r="A121" s="3639"/>
      <c r="B121" s="3631"/>
      <c r="C121" s="3635"/>
      <c r="D121" s="3633"/>
      <c r="E121" s="2561" t="s">
        <v>2495</v>
      </c>
      <c r="F121" s="2561" t="s">
        <v>2495</v>
      </c>
      <c r="G121" s="2566" t="s">
        <v>2495</v>
      </c>
    </row>
    <row r="122" spans="1:7" ht="46.2" customHeight="1">
      <c r="A122" s="3639"/>
      <c r="B122" s="3631"/>
      <c r="C122" s="3635"/>
      <c r="D122" s="3633" t="s">
        <v>4664</v>
      </c>
      <c r="E122" s="2561" t="s">
        <v>2492</v>
      </c>
      <c r="F122" s="2561" t="s">
        <v>2492</v>
      </c>
      <c r="G122" s="2566" t="s">
        <v>2492</v>
      </c>
    </row>
    <row r="123" spans="1:7" ht="66.599999999999994" customHeight="1" thickBot="1">
      <c r="A123" s="3640"/>
      <c r="B123" s="3632"/>
      <c r="C123" s="3636"/>
      <c r="D123" s="3637"/>
      <c r="E123" s="2567" t="s">
        <v>2495</v>
      </c>
      <c r="F123" s="2567" t="s">
        <v>2495</v>
      </c>
      <c r="G123" s="2568" t="s">
        <v>2495</v>
      </c>
    </row>
  </sheetData>
  <sheetProtection algorithmName="SHA-512" hashValue="6ruZwiqJbPXMywvEOx7ym3QvsNg0aZ9NFyqhbdsdKQGSu5qMyUtGtXjgeN6XWVtZCApniXowYg8zDwFoucTFMA==" saltValue="fq4X4pCgZwOv9YmRulZsMw==" spinCount="100000" sheet="1" objects="1" scenarios="1"/>
  <mergeCells count="130">
    <mergeCell ref="F11:G11"/>
    <mergeCell ref="D2:D3"/>
    <mergeCell ref="E2:G2"/>
    <mergeCell ref="C5:G5"/>
    <mergeCell ref="A6:A87"/>
    <mergeCell ref="E6:G6"/>
    <mergeCell ref="E7:G7"/>
    <mergeCell ref="D8:D9"/>
    <mergeCell ref="E8:E9"/>
    <mergeCell ref="F8:F9"/>
    <mergeCell ref="G8:G9"/>
    <mergeCell ref="A2:A3"/>
    <mergeCell ref="B2:B3"/>
    <mergeCell ref="C2:C3"/>
    <mergeCell ref="E86:F86"/>
    <mergeCell ref="E80:F80"/>
    <mergeCell ref="E81:F81"/>
    <mergeCell ref="E82:F82"/>
    <mergeCell ref="E83:F83"/>
    <mergeCell ref="E66:G66"/>
    <mergeCell ref="D41:D42"/>
    <mergeCell ref="E41:F42"/>
    <mergeCell ref="G41:G42"/>
    <mergeCell ref="D43:D44"/>
    <mergeCell ref="D13:D14"/>
    <mergeCell ref="E13:E14"/>
    <mergeCell ref="F13:F14"/>
    <mergeCell ref="G13:G14"/>
    <mergeCell ref="D15:D16"/>
    <mergeCell ref="E15:E16"/>
    <mergeCell ref="F15:F16"/>
    <mergeCell ref="G15:G16"/>
    <mergeCell ref="D27:D28"/>
    <mergeCell ref="E27:E28"/>
    <mergeCell ref="F27:F28"/>
    <mergeCell ref="F32:G32"/>
    <mergeCell ref="F33:G33"/>
    <mergeCell ref="D36:D37"/>
    <mergeCell ref="E36:E37"/>
    <mergeCell ref="F36:F37"/>
    <mergeCell ref="G36:G37"/>
    <mergeCell ref="E39:G40"/>
    <mergeCell ref="D39:D40"/>
    <mergeCell ref="G27:G28"/>
    <mergeCell ref="D29:D30"/>
    <mergeCell ref="E29:E30"/>
    <mergeCell ref="F29:F30"/>
    <mergeCell ref="G29:G30"/>
    <mergeCell ref="F31:G31"/>
    <mergeCell ref="F49:F50"/>
    <mergeCell ref="G49:G50"/>
    <mergeCell ref="D56:D57"/>
    <mergeCell ref="F56:F57"/>
    <mergeCell ref="G56:G57"/>
    <mergeCell ref="E56:E57"/>
    <mergeCell ref="E49:E50"/>
    <mergeCell ref="E43:E44"/>
    <mergeCell ref="F43:F44"/>
    <mergeCell ref="G43:G44"/>
    <mergeCell ref="E45:F45"/>
    <mergeCell ref="E46:G47"/>
    <mergeCell ref="E48:F48"/>
    <mergeCell ref="A100:A105"/>
    <mergeCell ref="C102:C105"/>
    <mergeCell ref="D102:D103"/>
    <mergeCell ref="F102:F103"/>
    <mergeCell ref="G102:G103"/>
    <mergeCell ref="D104:D105"/>
    <mergeCell ref="E102:E103"/>
    <mergeCell ref="G92:G93"/>
    <mergeCell ref="A94:A99"/>
    <mergeCell ref="C97:C98"/>
    <mergeCell ref="D97:D98"/>
    <mergeCell ref="E97:E98"/>
    <mergeCell ref="F97:F98"/>
    <mergeCell ref="G97:G98"/>
    <mergeCell ref="A88:A93"/>
    <mergeCell ref="E90:E91"/>
    <mergeCell ref="C92:C93"/>
    <mergeCell ref="E92:E93"/>
    <mergeCell ref="F92:F93"/>
    <mergeCell ref="C90:C91"/>
    <mergeCell ref="D90:D91"/>
    <mergeCell ref="G90:G91"/>
    <mergeCell ref="A106:A123"/>
    <mergeCell ref="C106:C113"/>
    <mergeCell ref="D106:D109"/>
    <mergeCell ref="E106:G106"/>
    <mergeCell ref="E107:G107"/>
    <mergeCell ref="E108:G108"/>
    <mergeCell ref="E109:G109"/>
    <mergeCell ref="G110:G111"/>
    <mergeCell ref="C114:C115"/>
    <mergeCell ref="F112:F113"/>
    <mergeCell ref="D114:D115"/>
    <mergeCell ref="E114:E115"/>
    <mergeCell ref="C116:C118"/>
    <mergeCell ref="D116:D117"/>
    <mergeCell ref="D110:D111"/>
    <mergeCell ref="E110:E111"/>
    <mergeCell ref="D112:D113"/>
    <mergeCell ref="E112:E113"/>
    <mergeCell ref="F110:F111"/>
    <mergeCell ref="G112:G113"/>
    <mergeCell ref="F114:F115"/>
    <mergeCell ref="G114:G115"/>
    <mergeCell ref="B1:E1"/>
    <mergeCell ref="B5:B123"/>
    <mergeCell ref="C6:C47"/>
    <mergeCell ref="C48:C65"/>
    <mergeCell ref="C66:C71"/>
    <mergeCell ref="E116:E117"/>
    <mergeCell ref="F116:F117"/>
    <mergeCell ref="G116:G117"/>
    <mergeCell ref="E118:F118"/>
    <mergeCell ref="C119:C123"/>
    <mergeCell ref="D119:D121"/>
    <mergeCell ref="D122:D123"/>
    <mergeCell ref="E87:F87"/>
    <mergeCell ref="E67:G67"/>
    <mergeCell ref="D68:D69"/>
    <mergeCell ref="E71:F71"/>
    <mergeCell ref="C72:C87"/>
    <mergeCell ref="E72:F72"/>
    <mergeCell ref="D73:D74"/>
    <mergeCell ref="E73:G74"/>
    <mergeCell ref="E79:G79"/>
    <mergeCell ref="E84:F84"/>
    <mergeCell ref="E85:F85"/>
    <mergeCell ref="D49:D5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6EE88-1F19-4930-9D6F-4602E0F69714}">
  <sheetPr>
    <pageSetUpPr fitToPage="1"/>
  </sheetPr>
  <dimension ref="A2:Z61"/>
  <sheetViews>
    <sheetView view="pageBreakPreview" zoomScale="98" zoomScaleNormal="96" zoomScaleSheetLayoutView="98" workbookViewId="0">
      <selection activeCell="P28" sqref="P28"/>
    </sheetView>
  </sheetViews>
  <sheetFormatPr defaultColWidth="8.88671875" defaultRowHeight="13.2"/>
  <cols>
    <col min="1" max="1" width="8.88671875" style="101"/>
    <col min="2" max="2" width="7" style="101" customWidth="1"/>
    <col min="3" max="3" width="43" style="101" customWidth="1"/>
    <col min="4" max="4" width="22.6640625" style="101" customWidth="1"/>
    <col min="5" max="5" width="39" style="101" customWidth="1"/>
    <col min="6" max="7" width="11.33203125" style="103" customWidth="1"/>
    <col min="8" max="8" width="20.109375" style="101" customWidth="1"/>
    <col min="9" max="9" width="30.6640625" style="101" customWidth="1"/>
    <col min="10" max="10" width="42.33203125" style="101" customWidth="1"/>
    <col min="11" max="16384" width="8.88671875" style="101"/>
  </cols>
  <sheetData>
    <row r="2" spans="1:26" ht="25.95" customHeight="1">
      <c r="B2" s="3658" t="s">
        <v>1592</v>
      </c>
      <c r="C2" s="3658"/>
      <c r="D2" s="3658"/>
      <c r="E2" s="3658"/>
      <c r="F2" s="3658"/>
      <c r="G2" s="3658"/>
      <c r="H2" s="3658"/>
    </row>
    <row r="3" spans="1:26" ht="39.6">
      <c r="B3" s="93" t="s">
        <v>718</v>
      </c>
      <c r="C3" s="93" t="s">
        <v>789</v>
      </c>
      <c r="D3" s="93" t="s">
        <v>790</v>
      </c>
      <c r="E3" s="93" t="s">
        <v>501</v>
      </c>
      <c r="F3" s="94" t="s">
        <v>2425</v>
      </c>
      <c r="G3" s="94" t="s">
        <v>2426</v>
      </c>
      <c r="H3" s="93" t="s">
        <v>221</v>
      </c>
    </row>
    <row r="4" spans="1:26" s="102" customFormat="1" ht="40.950000000000003" customHeight="1">
      <c r="A4" s="101"/>
      <c r="B4" s="92" t="s">
        <v>734</v>
      </c>
      <c r="C4" s="92" t="s">
        <v>4705</v>
      </c>
      <c r="D4" s="97" t="s">
        <v>4704</v>
      </c>
      <c r="E4" s="92" t="s">
        <v>791</v>
      </c>
      <c r="F4" s="95">
        <v>12</v>
      </c>
      <c r="G4" s="95" t="s">
        <v>470</v>
      </c>
      <c r="H4" s="92" t="s">
        <v>1591</v>
      </c>
      <c r="I4" s="101"/>
      <c r="J4" s="101"/>
      <c r="K4" s="101"/>
      <c r="L4" s="101"/>
      <c r="M4" s="101"/>
      <c r="N4" s="101"/>
      <c r="O4" s="101"/>
      <c r="P4" s="101"/>
      <c r="Q4" s="101"/>
      <c r="R4" s="101"/>
      <c r="S4" s="101"/>
      <c r="T4" s="101"/>
      <c r="U4" s="101"/>
      <c r="V4" s="101"/>
      <c r="W4" s="101"/>
      <c r="X4" s="101"/>
      <c r="Y4" s="101"/>
      <c r="Z4" s="101"/>
    </row>
    <row r="5" spans="1:26" s="102" customFormat="1" ht="85.95" hidden="1" customHeight="1">
      <c r="A5" s="101"/>
      <c r="B5" s="92" t="s">
        <v>783</v>
      </c>
      <c r="C5" s="92" t="s">
        <v>3809</v>
      </c>
      <c r="D5" s="97" t="s">
        <v>1602</v>
      </c>
      <c r="E5" s="92" t="s">
        <v>1593</v>
      </c>
      <c r="F5" s="95">
        <v>58</v>
      </c>
      <c r="G5" s="95" t="s">
        <v>2427</v>
      </c>
      <c r="H5" s="92" t="s">
        <v>792</v>
      </c>
      <c r="I5" s="101"/>
      <c r="J5" s="101"/>
      <c r="K5" s="101"/>
      <c r="L5" s="101"/>
      <c r="M5" s="101"/>
      <c r="N5" s="101"/>
      <c r="O5" s="101"/>
      <c r="P5" s="101"/>
      <c r="Q5" s="101"/>
      <c r="R5" s="101"/>
      <c r="S5" s="101"/>
      <c r="T5" s="101"/>
      <c r="U5" s="101"/>
      <c r="V5" s="101"/>
      <c r="W5" s="101"/>
      <c r="X5" s="101"/>
      <c r="Y5" s="101"/>
      <c r="Z5" s="101"/>
    </row>
    <row r="6" spans="1:26" ht="44.4" hidden="1" customHeight="1">
      <c r="B6" s="92" t="s">
        <v>784</v>
      </c>
      <c r="C6" s="92" t="s">
        <v>793</v>
      </c>
      <c r="D6" s="92" t="s">
        <v>794</v>
      </c>
      <c r="E6" s="92" t="s">
        <v>795</v>
      </c>
      <c r="F6" s="96">
        <v>0</v>
      </c>
      <c r="G6" s="96"/>
      <c r="H6" s="92" t="s">
        <v>796</v>
      </c>
    </row>
    <row r="7" spans="1:26">
      <c r="B7" s="3657" t="s">
        <v>4706</v>
      </c>
      <c r="C7" s="3657" t="s">
        <v>3578</v>
      </c>
      <c r="D7" s="3657" t="s">
        <v>3571</v>
      </c>
      <c r="E7" s="3657" t="s">
        <v>795</v>
      </c>
      <c r="F7" s="3659"/>
      <c r="G7" s="3660"/>
      <c r="H7" s="3657" t="s">
        <v>797</v>
      </c>
    </row>
    <row r="8" spans="1:26">
      <c r="B8" s="3657"/>
      <c r="C8" s="3657"/>
      <c r="D8" s="3657"/>
      <c r="E8" s="3657"/>
      <c r="F8" s="3659"/>
      <c r="G8" s="3661"/>
      <c r="H8" s="3657"/>
    </row>
    <row r="9" spans="1:26">
      <c r="B9" s="3657"/>
      <c r="C9" s="3657"/>
      <c r="D9" s="3657"/>
      <c r="E9" s="3657"/>
      <c r="F9" s="3659"/>
      <c r="G9" s="3661"/>
      <c r="H9" s="3657"/>
    </row>
    <row r="10" spans="1:26">
      <c r="B10" s="3657"/>
      <c r="C10" s="3657"/>
      <c r="D10" s="3657"/>
      <c r="E10" s="3657"/>
      <c r="F10" s="3659"/>
      <c r="G10" s="3661"/>
      <c r="H10" s="3657"/>
    </row>
    <row r="11" spans="1:26">
      <c r="B11" s="3657"/>
      <c r="C11" s="3657"/>
      <c r="D11" s="3657"/>
      <c r="E11" s="3657"/>
      <c r="F11" s="3659"/>
      <c r="G11" s="3661"/>
      <c r="H11" s="3657"/>
    </row>
    <row r="12" spans="1:26" ht="49.5" customHeight="1">
      <c r="B12" s="3657"/>
      <c r="C12" s="3657"/>
      <c r="D12" s="3657"/>
      <c r="E12" s="3657"/>
      <c r="F12" s="3659"/>
      <c r="G12" s="3662"/>
      <c r="H12" s="3657"/>
    </row>
    <row r="13" spans="1:26" hidden="1">
      <c r="B13" s="3657" t="s">
        <v>785</v>
      </c>
      <c r="C13" s="3657" t="s">
        <v>798</v>
      </c>
      <c r="D13" s="3657" t="s">
        <v>1594</v>
      </c>
      <c r="E13" s="3657" t="s">
        <v>799</v>
      </c>
      <c r="F13" s="3659"/>
      <c r="G13" s="3660"/>
      <c r="H13" s="3657" t="s">
        <v>1599</v>
      </c>
    </row>
    <row r="14" spans="1:26" ht="42.6" hidden="1" customHeight="1">
      <c r="B14" s="3657"/>
      <c r="C14" s="3657"/>
      <c r="D14" s="3657"/>
      <c r="E14" s="3657"/>
      <c r="F14" s="3659"/>
      <c r="G14" s="3662"/>
      <c r="H14" s="3657"/>
    </row>
    <row r="15" spans="1:26" hidden="1">
      <c r="B15" s="3657" t="s">
        <v>786</v>
      </c>
      <c r="C15" s="3657" t="s">
        <v>1600</v>
      </c>
      <c r="D15" s="3657" t="s">
        <v>800</v>
      </c>
      <c r="E15" s="3657" t="s">
        <v>801</v>
      </c>
      <c r="F15" s="3659"/>
      <c r="G15" s="3660"/>
      <c r="H15" s="3657" t="s">
        <v>1601</v>
      </c>
    </row>
    <row r="16" spans="1:26" hidden="1">
      <c r="B16" s="3657"/>
      <c r="C16" s="3657"/>
      <c r="D16" s="3657"/>
      <c r="E16" s="3657"/>
      <c r="F16" s="3659"/>
      <c r="G16" s="3661"/>
      <c r="H16" s="3657"/>
    </row>
    <row r="17" spans="2:9" ht="36.6" hidden="1" customHeight="1">
      <c r="B17" s="3657"/>
      <c r="C17" s="3657"/>
      <c r="D17" s="3657"/>
      <c r="E17" s="3657"/>
      <c r="F17" s="3659"/>
      <c r="G17" s="3662"/>
      <c r="H17" s="3657"/>
    </row>
    <row r="18" spans="2:9" ht="39.6" hidden="1">
      <c r="B18" s="92" t="s">
        <v>787</v>
      </c>
      <c r="C18" s="92" t="s">
        <v>802</v>
      </c>
      <c r="D18" s="92" t="s">
        <v>1595</v>
      </c>
      <c r="E18" s="92" t="s">
        <v>1598</v>
      </c>
      <c r="F18" s="96"/>
      <c r="G18" s="96"/>
      <c r="H18" s="92" t="s">
        <v>803</v>
      </c>
    </row>
    <row r="19" spans="2:9" ht="66" hidden="1">
      <c r="B19" s="92" t="s">
        <v>788</v>
      </c>
      <c r="C19" s="92" t="s">
        <v>804</v>
      </c>
      <c r="D19" s="92" t="s">
        <v>1596</v>
      </c>
      <c r="E19" s="92" t="s">
        <v>805</v>
      </c>
      <c r="F19" s="96"/>
      <c r="G19" s="96"/>
      <c r="H19" s="92" t="s">
        <v>1597</v>
      </c>
    </row>
    <row r="20" spans="2:9">
      <c r="B20" s="3657" t="s">
        <v>3577</v>
      </c>
      <c r="C20" s="3657" t="s">
        <v>3579</v>
      </c>
      <c r="D20" s="3657" t="s">
        <v>4707</v>
      </c>
      <c r="E20" s="3657" t="s">
        <v>795</v>
      </c>
      <c r="F20" s="3659"/>
      <c r="G20" s="3660"/>
      <c r="H20" s="3657" t="s">
        <v>3580</v>
      </c>
    </row>
    <row r="21" spans="2:9">
      <c r="B21" s="3657"/>
      <c r="C21" s="3657"/>
      <c r="D21" s="3657"/>
      <c r="E21" s="3657"/>
      <c r="F21" s="3659"/>
      <c r="G21" s="3661"/>
      <c r="H21" s="3657"/>
    </row>
    <row r="22" spans="2:9">
      <c r="B22" s="3657"/>
      <c r="C22" s="3657"/>
      <c r="D22" s="3657"/>
      <c r="E22" s="3657"/>
      <c r="F22" s="3659"/>
      <c r="G22" s="3661"/>
      <c r="H22" s="3657"/>
    </row>
    <row r="23" spans="2:9">
      <c r="B23" s="3657"/>
      <c r="C23" s="3657"/>
      <c r="D23" s="3657"/>
      <c r="E23" s="3657"/>
      <c r="F23" s="3659"/>
      <c r="G23" s="3661"/>
      <c r="H23" s="3657"/>
    </row>
    <row r="24" spans="2:9">
      <c r="B24" s="3657"/>
      <c r="C24" s="3657"/>
      <c r="D24" s="3657"/>
      <c r="E24" s="3657"/>
      <c r="F24" s="3659"/>
      <c r="G24" s="3661"/>
      <c r="H24" s="3657"/>
    </row>
    <row r="25" spans="2:9" ht="49.5" customHeight="1">
      <c r="B25" s="3657"/>
      <c r="C25" s="3657"/>
      <c r="D25" s="3657"/>
      <c r="E25" s="3657"/>
      <c r="F25" s="3659"/>
      <c r="G25" s="3662"/>
      <c r="H25" s="3657"/>
    </row>
    <row r="27" spans="2:9">
      <c r="D27" s="273"/>
      <c r="E27" s="273"/>
    </row>
    <row r="28" spans="2:9" ht="29.4" customHeight="1">
      <c r="C28" s="159"/>
      <c r="D28" s="159"/>
      <c r="E28" s="159"/>
      <c r="F28" s="159"/>
      <c r="G28" s="159"/>
      <c r="H28" s="159"/>
    </row>
    <row r="30" spans="2:9" ht="15.6">
      <c r="B30" s="138"/>
      <c r="C30" s="138"/>
      <c r="D30" s="144"/>
      <c r="E30" s="144"/>
      <c r="F30" s="144"/>
      <c r="G30" s="144"/>
      <c r="H30" s="139"/>
      <c r="I30" s="132"/>
    </row>
    <row r="31" spans="2:9" ht="13.2" customHeight="1">
      <c r="B31" s="144"/>
      <c r="C31" s="144"/>
      <c r="D31" s="144"/>
      <c r="E31" s="144"/>
      <c r="F31" s="144"/>
      <c r="G31" s="144"/>
      <c r="H31" s="144"/>
      <c r="I31" s="132"/>
    </row>
    <row r="32" spans="2:9" ht="45" customHeight="1">
      <c r="B32" s="140"/>
      <c r="C32" s="141"/>
      <c r="D32" s="142"/>
      <c r="E32" s="142"/>
      <c r="F32" s="141"/>
      <c r="G32" s="141"/>
      <c r="H32" s="139"/>
      <c r="I32" s="132"/>
    </row>
    <row r="33" spans="2:9" ht="15.6">
      <c r="B33" s="140"/>
      <c r="C33" s="141"/>
      <c r="D33" s="142"/>
      <c r="E33" s="142"/>
      <c r="F33" s="141"/>
      <c r="G33" s="141"/>
      <c r="H33" s="139"/>
      <c r="I33" s="132"/>
    </row>
    <row r="34" spans="2:9" ht="13.2" customHeight="1">
      <c r="B34" s="141"/>
      <c r="C34" s="141"/>
      <c r="D34" s="142"/>
      <c r="E34" s="142"/>
      <c r="F34" s="141"/>
      <c r="G34" s="141"/>
      <c r="H34" s="139"/>
      <c r="I34" s="132"/>
    </row>
    <row r="35" spans="2:9" ht="22.95" customHeight="1">
      <c r="B35" s="140"/>
      <c r="C35" s="141"/>
      <c r="D35" s="142"/>
      <c r="E35" s="142"/>
      <c r="F35" s="141"/>
      <c r="G35" s="141"/>
      <c r="H35" s="139"/>
      <c r="I35" s="132"/>
    </row>
    <row r="36" spans="2:9" ht="45" customHeight="1">
      <c r="B36" s="141"/>
      <c r="C36" s="141"/>
      <c r="D36" s="142"/>
      <c r="E36" s="142"/>
      <c r="F36" s="141"/>
      <c r="G36" s="141"/>
      <c r="H36" s="139"/>
      <c r="I36" s="132"/>
    </row>
    <row r="37" spans="2:9" ht="13.2" hidden="1" customHeight="1">
      <c r="B37" s="141"/>
      <c r="C37" s="141"/>
      <c r="D37" s="142"/>
      <c r="E37" s="142"/>
      <c r="F37" s="141"/>
      <c r="G37" s="141"/>
      <c r="H37" s="139"/>
      <c r="I37" s="132"/>
    </row>
    <row r="38" spans="2:9" ht="15.6">
      <c r="B38" s="141"/>
      <c r="C38" s="141"/>
      <c r="D38" s="142"/>
      <c r="E38" s="142"/>
      <c r="F38" s="141"/>
      <c r="G38" s="141"/>
      <c r="H38" s="139"/>
      <c r="I38" s="132"/>
    </row>
    <row r="39" spans="2:9" ht="15.6">
      <c r="B39" s="140"/>
      <c r="C39" s="141"/>
      <c r="D39" s="142"/>
      <c r="E39" s="142"/>
      <c r="F39" s="141"/>
      <c r="G39" s="141"/>
      <c r="H39" s="139"/>
      <c r="I39" s="132"/>
    </row>
    <row r="40" spans="2:9" ht="37.950000000000003" customHeight="1">
      <c r="B40" s="144"/>
      <c r="C40" s="144"/>
      <c r="D40" s="144"/>
      <c r="E40" s="144"/>
      <c r="F40" s="144"/>
      <c r="G40" s="144"/>
      <c r="H40" s="144"/>
      <c r="I40" s="132"/>
    </row>
    <row r="41" spans="2:9" ht="15.6">
      <c r="B41" s="141"/>
      <c r="C41" s="141"/>
      <c r="D41" s="142"/>
      <c r="E41" s="142"/>
      <c r="F41" s="141"/>
      <c r="G41" s="141"/>
      <c r="H41" s="139"/>
      <c r="I41" s="132"/>
    </row>
    <row r="42" spans="2:9" ht="23.4" customHeight="1">
      <c r="B42" s="141"/>
      <c r="C42" s="141"/>
      <c r="D42" s="142"/>
      <c r="E42" s="142"/>
      <c r="F42" s="141"/>
      <c r="G42" s="141"/>
      <c r="H42" s="139"/>
      <c r="I42" s="132"/>
    </row>
    <row r="43" spans="2:9" ht="15.6">
      <c r="B43" s="141"/>
      <c r="C43" s="141"/>
      <c r="D43" s="142"/>
      <c r="E43" s="142"/>
      <c r="F43" s="141"/>
      <c r="G43" s="141"/>
      <c r="H43" s="139"/>
      <c r="I43" s="132"/>
    </row>
    <row r="44" spans="2:9" ht="13.8">
      <c r="B44" s="145"/>
      <c r="C44" s="145"/>
      <c r="D44" s="145"/>
      <c r="E44" s="145"/>
      <c r="F44" s="145"/>
      <c r="G44" s="145"/>
      <c r="H44" s="145"/>
      <c r="I44" s="132"/>
    </row>
    <row r="45" spans="2:9" ht="13.2" customHeight="1">
      <c r="B45" s="141"/>
      <c r="C45" s="141"/>
      <c r="D45" s="142"/>
      <c r="E45" s="142"/>
      <c r="F45" s="141"/>
      <c r="G45" s="141"/>
      <c r="H45" s="139"/>
      <c r="I45" s="132"/>
    </row>
    <row r="46" spans="2:9" ht="20.399999999999999" customHeight="1">
      <c r="B46" s="141"/>
      <c r="C46" s="141"/>
      <c r="D46" s="142"/>
      <c r="E46" s="142"/>
      <c r="F46" s="141"/>
      <c r="G46" s="141"/>
      <c r="H46" s="139"/>
      <c r="I46" s="132"/>
    </row>
    <row r="47" spans="2:9" ht="15.6">
      <c r="B47" s="141"/>
      <c r="C47" s="141"/>
      <c r="D47" s="142"/>
      <c r="E47" s="142"/>
      <c r="F47" s="141"/>
      <c r="G47" s="141"/>
      <c r="H47" s="139"/>
      <c r="I47" s="132"/>
    </row>
    <row r="48" spans="2:9" ht="15.6">
      <c r="B48" s="141"/>
      <c r="C48" s="141"/>
      <c r="D48" s="142"/>
      <c r="E48" s="142"/>
      <c r="F48" s="141"/>
      <c r="G48" s="141"/>
      <c r="H48" s="139"/>
      <c r="I48" s="132"/>
    </row>
    <row r="49" spans="2:9" ht="15.6">
      <c r="B49" s="141"/>
      <c r="C49" s="141"/>
      <c r="D49" s="142"/>
      <c r="E49" s="143"/>
      <c r="F49" s="141"/>
      <c r="G49" s="141"/>
      <c r="H49" s="139"/>
      <c r="I49" s="132"/>
    </row>
    <row r="50" spans="2:9" ht="32.4" customHeight="1">
      <c r="B50" s="141"/>
      <c r="C50" s="141"/>
      <c r="D50" s="142"/>
      <c r="E50" s="142"/>
      <c r="F50" s="141"/>
      <c r="G50" s="141"/>
      <c r="H50" s="139"/>
      <c r="I50" s="132"/>
    </row>
    <row r="51" spans="2:9" ht="15.6">
      <c r="B51" s="141"/>
      <c r="C51" s="141"/>
      <c r="D51" s="142"/>
      <c r="E51" s="142"/>
      <c r="F51" s="141"/>
      <c r="G51" s="141"/>
      <c r="H51" s="139"/>
      <c r="I51" s="132"/>
    </row>
    <row r="52" spans="2:9" ht="31.95" customHeight="1">
      <c r="B52" s="141"/>
      <c r="C52" s="141"/>
      <c r="D52" s="142"/>
      <c r="E52" s="142"/>
      <c r="F52" s="141"/>
      <c r="G52" s="141"/>
      <c r="H52" s="139"/>
      <c r="I52" s="132"/>
    </row>
    <row r="53" spans="2:9" ht="13.2" customHeight="1">
      <c r="B53" s="141"/>
      <c r="C53" s="141"/>
      <c r="D53" s="142"/>
      <c r="E53" s="142"/>
      <c r="F53" s="141"/>
      <c r="G53" s="141"/>
      <c r="H53" s="139"/>
      <c r="I53" s="132"/>
    </row>
    <row r="54" spans="2:9" ht="15.6">
      <c r="B54" s="141"/>
      <c r="C54" s="141"/>
      <c r="D54" s="142"/>
      <c r="E54" s="143"/>
      <c r="F54" s="141"/>
      <c r="G54" s="141"/>
      <c r="H54" s="139"/>
      <c r="I54" s="132"/>
    </row>
    <row r="55" spans="2:9" ht="13.8">
      <c r="B55" s="144"/>
      <c r="C55" s="144"/>
      <c r="D55" s="144"/>
      <c r="E55" s="144"/>
      <c r="F55" s="144"/>
      <c r="G55" s="144"/>
      <c r="H55" s="144"/>
      <c r="I55" s="132"/>
    </row>
    <row r="56" spans="2:9">
      <c r="B56" s="133"/>
      <c r="C56" s="133"/>
      <c r="D56" s="133"/>
      <c r="E56" s="133"/>
      <c r="F56" s="133"/>
      <c r="G56" s="133"/>
      <c r="H56" s="133"/>
    </row>
    <row r="57" spans="2:9" ht="13.2" customHeight="1">
      <c r="B57" s="137"/>
      <c r="C57" s="137"/>
      <c r="D57" s="135"/>
      <c r="E57" s="135"/>
      <c r="F57" s="135"/>
      <c r="G57" s="135"/>
      <c r="H57" s="136"/>
    </row>
    <row r="58" spans="2:9">
      <c r="B58" s="137"/>
      <c r="C58" s="137"/>
      <c r="D58" s="135"/>
      <c r="E58" s="135"/>
      <c r="F58" s="135"/>
      <c r="G58" s="135"/>
      <c r="H58" s="134"/>
    </row>
    <row r="59" spans="2:9" ht="13.2" customHeight="1">
      <c r="B59" s="137"/>
      <c r="C59" s="137"/>
      <c r="D59" s="135"/>
      <c r="E59" s="135"/>
      <c r="F59" s="135"/>
      <c r="G59" s="135"/>
      <c r="H59" s="134"/>
    </row>
    <row r="60" spans="2:9" ht="13.2" customHeight="1">
      <c r="B60" s="137"/>
      <c r="C60" s="137"/>
      <c r="D60" s="135"/>
      <c r="E60" s="135"/>
      <c r="F60" s="135"/>
      <c r="G60" s="135"/>
      <c r="H60" s="134"/>
    </row>
    <row r="61" spans="2:9" ht="13.2" customHeight="1">
      <c r="B61" s="137"/>
      <c r="C61" s="137"/>
      <c r="D61" s="135"/>
      <c r="E61" s="135"/>
      <c r="F61" s="135"/>
      <c r="G61" s="135"/>
      <c r="H61" s="134"/>
    </row>
  </sheetData>
  <sheetProtection algorithmName="SHA-512" hashValue="W4FZmdE23IbLd6jVo5z77n62rScXnN8z5JaYv6CAXlShB5WL8do8fKHhefOp4Um5oABQlMJ77kZvZ/Zrj1Q1vg==" saltValue="vdlXmZkT09h8C+PRLgIB6w==" spinCount="100000" sheet="1" objects="1" scenarios="1"/>
  <mergeCells count="29">
    <mergeCell ref="G20:G25"/>
    <mergeCell ref="H20:H25"/>
    <mergeCell ref="B20:B25"/>
    <mergeCell ref="C20:C25"/>
    <mergeCell ref="D20:D25"/>
    <mergeCell ref="E20:E25"/>
    <mergeCell ref="F20:F25"/>
    <mergeCell ref="G13:G14"/>
    <mergeCell ref="G15:G17"/>
    <mergeCell ref="C13:C14"/>
    <mergeCell ref="D13:D14"/>
    <mergeCell ref="E13:E14"/>
    <mergeCell ref="F13:F14"/>
    <mergeCell ref="H13:H14"/>
    <mergeCell ref="B2:H2"/>
    <mergeCell ref="E7:E12"/>
    <mergeCell ref="B15:B17"/>
    <mergeCell ref="C15:C17"/>
    <mergeCell ref="D15:D17"/>
    <mergeCell ref="E15:E17"/>
    <mergeCell ref="F15:F17"/>
    <mergeCell ref="H15:H17"/>
    <mergeCell ref="B7:B12"/>
    <mergeCell ref="C7:C12"/>
    <mergeCell ref="D7:D12"/>
    <mergeCell ref="F7:F12"/>
    <mergeCell ref="H7:H12"/>
    <mergeCell ref="B13:B14"/>
    <mergeCell ref="G7:G12"/>
  </mergeCells>
  <pageMargins left="0.7" right="0.7" top="0.75" bottom="0.75" header="0.3" footer="0.3"/>
  <pageSetup paperSize="9" scale="54" fitToHeight="0"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7D869-E02F-43FB-B40C-B7D7D73FEAB4}">
  <sheetPr>
    <pageSetUpPr fitToPage="1"/>
  </sheetPr>
  <dimension ref="B1:DR82"/>
  <sheetViews>
    <sheetView topLeftCell="A5" zoomScale="96" zoomScaleNormal="96" workbookViewId="0">
      <pane ySplit="1" topLeftCell="A6" activePane="bottomLeft" state="frozen"/>
      <selection activeCell="A5" sqref="A5"/>
      <selection pane="bottomLeft" activeCell="DI18" sqref="DI18"/>
    </sheetView>
  </sheetViews>
  <sheetFormatPr defaultRowHeight="13.2"/>
  <cols>
    <col min="2" max="2" width="15.21875" customWidth="1"/>
    <col min="3" max="3" width="12.6640625" customWidth="1"/>
    <col min="4" max="4" width="10.6640625" customWidth="1"/>
    <col min="5" max="5" width="10.5546875" customWidth="1"/>
    <col min="6" max="6" width="10.44140625" customWidth="1"/>
    <col min="7" max="7" width="13.44140625" customWidth="1"/>
    <col min="8" max="8" width="9.5546875" customWidth="1"/>
    <col min="9" max="9" width="13.5546875" customWidth="1"/>
    <col min="10" max="10" width="11.88671875" customWidth="1"/>
    <col min="11" max="11" width="10.5546875" customWidth="1"/>
    <col min="12" max="12" width="10.5546875" hidden="1" customWidth="1"/>
    <col min="13" max="13" width="12.33203125" customWidth="1"/>
    <col min="14" max="14" width="12.77734375" customWidth="1"/>
    <col min="16" max="16" width="15.77734375" customWidth="1"/>
    <col min="17" max="17" width="10.77734375" customWidth="1"/>
    <col min="18" max="18" width="10.6640625" customWidth="1"/>
    <col min="19" max="19" width="11.33203125" customWidth="1"/>
    <col min="20" max="20" width="10.6640625" customWidth="1"/>
    <col min="21" max="21" width="9.33203125" hidden="1" customWidth="1"/>
    <col min="22" max="22" width="10" customWidth="1"/>
    <col min="23" max="23" width="14.44140625" customWidth="1"/>
    <col min="24" max="24" width="2" hidden="1" customWidth="1"/>
    <col min="25" max="25" width="9.44140625" customWidth="1"/>
    <col min="26" max="26" width="9.88671875" customWidth="1"/>
    <col min="27" max="27" width="9.5546875" customWidth="1"/>
    <col min="28" max="28" width="8.88671875" customWidth="1"/>
    <col min="29" max="29" width="8" customWidth="1"/>
    <col min="30" max="30" width="10.6640625" hidden="1" customWidth="1"/>
    <col min="31" max="31" width="5.77734375" hidden="1" customWidth="1"/>
    <col min="32" max="32" width="14.88671875" customWidth="1"/>
    <col min="33" max="33" width="9.44140625" customWidth="1"/>
    <col min="34" max="34" width="11.21875" customWidth="1"/>
    <col min="35" max="36" width="9.44140625" customWidth="1"/>
    <col min="37" max="37" width="8.88671875" customWidth="1"/>
    <col min="38" max="52" width="8.88671875" hidden="1" customWidth="1"/>
    <col min="53" max="53" width="14.6640625" customWidth="1"/>
    <col min="54" max="55" width="11.5546875" customWidth="1"/>
    <col min="56" max="56" width="10.5546875" customWidth="1"/>
    <col min="57" max="57" width="11.33203125" customWidth="1"/>
    <col min="58" max="58" width="10.77734375" customWidth="1"/>
    <col min="59" max="59" width="8.88671875" customWidth="1"/>
    <col min="60" max="63" width="8.88671875" hidden="1" customWidth="1"/>
    <col min="64" max="64" width="10.5546875" hidden="1" customWidth="1"/>
    <col min="65" max="65" width="10.6640625" hidden="1" customWidth="1"/>
    <col min="66" max="66" width="11.44140625" hidden="1" customWidth="1"/>
    <col min="67" max="67" width="5.88671875" hidden="1" customWidth="1"/>
    <col min="68" max="68" width="15.44140625" customWidth="1"/>
    <col min="69" max="70" width="10.5546875" customWidth="1"/>
    <col min="71" max="71" width="8.5546875" customWidth="1"/>
    <col min="72" max="72" width="9.77734375" customWidth="1"/>
    <col min="73" max="73" width="9.21875" customWidth="1"/>
    <col min="74" max="75" width="11.33203125" hidden="1" customWidth="1"/>
    <col min="76" max="76" width="11.33203125" customWidth="1"/>
    <col min="77" max="77" width="8.88671875" hidden="1" customWidth="1"/>
    <col min="78" max="78" width="10.5546875" hidden="1" customWidth="1"/>
    <col min="79" max="79" width="10.6640625" hidden="1" customWidth="1"/>
    <col min="80" max="80" width="4.109375" hidden="1" customWidth="1"/>
    <col min="81" max="81" width="14.5546875" customWidth="1"/>
    <col min="82" max="84" width="11.33203125" customWidth="1"/>
    <col min="85" max="85" width="10.88671875" customWidth="1"/>
    <col min="86" max="86" width="8.88671875" customWidth="1"/>
    <col min="87" max="87" width="14.6640625" customWidth="1"/>
    <col min="88" max="88" width="7.88671875" customWidth="1"/>
    <col min="89" max="90" width="8.5546875" customWidth="1"/>
    <col min="91" max="92" width="8" customWidth="1"/>
    <col min="93" max="93" width="8.109375" customWidth="1"/>
    <col min="94" max="94" width="14.33203125" customWidth="1"/>
    <col min="95" max="95" width="10.88671875" customWidth="1"/>
    <col min="96" max="96" width="9.88671875" customWidth="1"/>
    <col min="97" max="97" width="10.88671875" customWidth="1"/>
    <col min="98" max="98" width="9.77734375" customWidth="1"/>
    <col min="100" max="100" width="14.6640625" customWidth="1"/>
    <col min="101" max="101" width="9" customWidth="1"/>
    <col min="102" max="102" width="9.6640625" customWidth="1"/>
    <col min="103" max="104" width="8.5546875" customWidth="1"/>
    <col min="106" max="106" width="0" hidden="1" customWidth="1"/>
    <col min="107" max="107" width="13.5546875" customWidth="1"/>
    <col min="108" max="108" width="12.109375" customWidth="1"/>
    <col min="109" max="110" width="10.5546875" customWidth="1"/>
    <col min="111" max="111" width="11.88671875" customWidth="1"/>
    <col min="112" max="112" width="11.5546875" customWidth="1"/>
    <col min="113" max="113" width="11.33203125" customWidth="1"/>
    <col min="114" max="114" width="11.109375" customWidth="1"/>
    <col min="116" max="116" width="11.21875" customWidth="1"/>
    <col min="117" max="117" width="10.5546875" customWidth="1"/>
    <col min="118" max="118" width="10.6640625" customWidth="1"/>
    <col min="119" max="119" width="11.44140625" customWidth="1"/>
    <col min="121" max="122" width="11.5546875" customWidth="1"/>
  </cols>
  <sheetData>
    <row r="1" spans="2:122" ht="13.8" hidden="1" thickBot="1"/>
    <row r="2" spans="2:122" ht="13.8" hidden="1" thickBot="1">
      <c r="J2" s="2606" t="s">
        <v>4307</v>
      </c>
      <c r="K2" s="2606"/>
      <c r="L2" s="2606"/>
      <c r="M2" s="2606"/>
      <c r="N2" s="2606"/>
      <c r="O2" s="2606"/>
      <c r="P2" s="2606"/>
      <c r="Q2" s="2606"/>
      <c r="R2" s="2606"/>
      <c r="S2" s="2606"/>
      <c r="T2" s="2606"/>
      <c r="U2" s="2606"/>
      <c r="V2" s="2606"/>
      <c r="W2" s="2606"/>
      <c r="X2" s="2606"/>
      <c r="Y2" s="2606"/>
      <c r="Z2" s="2606"/>
      <c r="AA2" s="2606"/>
      <c r="AB2" s="2606"/>
      <c r="AC2" s="2606"/>
      <c r="AD2" s="2606"/>
      <c r="AE2" s="2606"/>
      <c r="AF2" s="2606"/>
      <c r="AG2" s="2606"/>
      <c r="AH2" s="2606"/>
      <c r="AI2" s="2606"/>
      <c r="AJ2" s="2606"/>
      <c r="AK2" s="2606"/>
      <c r="AL2" s="2606"/>
      <c r="AM2" s="2606"/>
      <c r="AN2" s="2606"/>
      <c r="AO2" s="2606"/>
      <c r="AP2" s="2606"/>
      <c r="AQ2" s="2606"/>
      <c r="AR2" s="2606"/>
      <c r="AS2" s="2606"/>
      <c r="AT2" s="2606"/>
      <c r="AU2" s="2606"/>
      <c r="AV2" s="2606"/>
      <c r="AW2" s="2606"/>
      <c r="AX2" s="2606"/>
      <c r="AY2" s="2606"/>
      <c r="AZ2" s="2606"/>
      <c r="BA2" s="2606"/>
      <c r="BB2" s="2606"/>
      <c r="BC2" s="603"/>
      <c r="BD2" s="603"/>
      <c r="BE2" s="603"/>
      <c r="BF2" s="603"/>
      <c r="BG2" s="603"/>
      <c r="BH2" s="603"/>
      <c r="BI2" s="603"/>
      <c r="BJ2" s="603"/>
      <c r="BK2" s="603"/>
      <c r="BP2" s="603"/>
    </row>
    <row r="3" spans="2:122" ht="13.8" hidden="1" thickBot="1"/>
    <row r="4" spans="2:122" ht="13.8" hidden="1" thickBot="1"/>
    <row r="5" spans="2:122" ht="20.25" customHeight="1" thickBot="1">
      <c r="B5" s="3666" t="s">
        <v>3462</v>
      </c>
      <c r="C5" s="3667"/>
      <c r="D5" s="3667"/>
      <c r="E5" s="3667"/>
      <c r="F5" s="3667"/>
      <c r="G5" s="3668"/>
      <c r="I5" s="3663" t="s">
        <v>3488</v>
      </c>
      <c r="J5" s="3664"/>
      <c r="K5" s="3664"/>
      <c r="L5" s="3664"/>
      <c r="M5" s="3664"/>
      <c r="N5" s="3665"/>
      <c r="P5" s="3666" t="s">
        <v>4424</v>
      </c>
      <c r="Q5" s="3667"/>
      <c r="R5" s="3667"/>
      <c r="S5" s="3667"/>
      <c r="T5" s="3668"/>
      <c r="V5" s="84"/>
      <c r="W5" s="3673" t="s">
        <v>3465</v>
      </c>
      <c r="X5" s="3674"/>
      <c r="Y5" s="3674"/>
      <c r="Z5" s="3674"/>
      <c r="AA5" s="3674"/>
      <c r="AB5" s="3675"/>
      <c r="AC5" s="2606"/>
      <c r="AD5" s="2606"/>
      <c r="AE5" s="2606"/>
      <c r="AF5" s="3666" t="s">
        <v>3468</v>
      </c>
      <c r="AG5" s="3667"/>
      <c r="AH5" s="3667"/>
      <c r="AI5" s="3667"/>
      <c r="AJ5" s="3668"/>
      <c r="BA5" s="3676" t="s">
        <v>3400</v>
      </c>
      <c r="BB5" s="3677"/>
      <c r="BC5" s="3677"/>
      <c r="BD5" s="3677"/>
      <c r="BE5" s="3677"/>
      <c r="BF5" s="3678"/>
      <c r="BL5" s="2606"/>
      <c r="BM5" s="2606"/>
      <c r="BN5" s="2606"/>
      <c r="BP5" s="3663" t="s">
        <v>3466</v>
      </c>
      <c r="BQ5" s="3664"/>
      <c r="BR5" s="3664"/>
      <c r="BS5" s="3664"/>
      <c r="BT5" s="3664"/>
      <c r="BU5" s="3665"/>
      <c r="BV5" s="2427"/>
      <c r="BW5" s="2428"/>
      <c r="BX5" s="1418"/>
      <c r="BZ5" s="2606"/>
      <c r="CA5" s="2606"/>
      <c r="CB5" s="2606"/>
      <c r="CC5" s="3663" t="s">
        <v>3467</v>
      </c>
      <c r="CD5" s="3664"/>
      <c r="CE5" s="3664"/>
      <c r="CF5" s="3664"/>
      <c r="CG5" s="3665"/>
      <c r="CI5" s="3663" t="s">
        <v>3469</v>
      </c>
      <c r="CJ5" s="3664"/>
      <c r="CK5" s="3664"/>
      <c r="CL5" s="3664"/>
      <c r="CM5" s="3664"/>
      <c r="CN5" s="3665"/>
      <c r="CO5" s="2027"/>
      <c r="CP5" s="3666" t="s">
        <v>3535</v>
      </c>
      <c r="CQ5" s="3667"/>
      <c r="CR5" s="3667"/>
      <c r="CS5" s="3667"/>
      <c r="CT5" s="3668"/>
      <c r="CV5" s="3666" t="s">
        <v>3470</v>
      </c>
      <c r="CW5" s="3667"/>
      <c r="CX5" s="3667"/>
      <c r="CY5" s="3667"/>
      <c r="CZ5" s="3668"/>
      <c r="DC5" s="3666" t="s">
        <v>3452</v>
      </c>
      <c r="DD5" s="3667"/>
      <c r="DE5" s="3667"/>
      <c r="DF5" s="3667"/>
      <c r="DG5" s="3667"/>
      <c r="DH5" s="3668"/>
      <c r="DM5" s="2606"/>
      <c r="DN5" s="2606"/>
      <c r="DO5" s="2606"/>
    </row>
    <row r="6" spans="2:122" ht="39" customHeight="1" thickBot="1">
      <c r="B6" s="2452" t="s">
        <v>4691</v>
      </c>
      <c r="C6" s="2527" t="s">
        <v>3463</v>
      </c>
      <c r="D6" s="2524" t="s">
        <v>4433</v>
      </c>
      <c r="E6" s="2525" t="s">
        <v>4430</v>
      </c>
      <c r="F6" s="2527" t="s">
        <v>3464</v>
      </c>
      <c r="G6" s="2528">
        <v>2028</v>
      </c>
      <c r="I6" s="2349" t="s">
        <v>4449</v>
      </c>
      <c r="J6" s="2504" t="s">
        <v>3489</v>
      </c>
      <c r="K6" s="2430" t="s">
        <v>4433</v>
      </c>
      <c r="L6" s="2429" t="s">
        <v>4430</v>
      </c>
      <c r="M6" s="2504" t="s">
        <v>3490</v>
      </c>
      <c r="N6" s="2468" t="s">
        <v>4203</v>
      </c>
      <c r="P6" s="2349" t="s">
        <v>4415</v>
      </c>
      <c r="Q6" s="2343">
        <v>2025</v>
      </c>
      <c r="R6" s="2344">
        <v>2026</v>
      </c>
      <c r="S6" s="2343">
        <v>2027</v>
      </c>
      <c r="T6" s="2345">
        <v>2028</v>
      </c>
      <c r="W6" s="2349" t="s">
        <v>4415</v>
      </c>
      <c r="X6" s="2288"/>
      <c r="Y6" s="2346">
        <v>2025</v>
      </c>
      <c r="Z6" s="2347">
        <v>2026</v>
      </c>
      <c r="AA6" s="2346">
        <v>2027</v>
      </c>
      <c r="AB6" s="2348">
        <v>2028</v>
      </c>
      <c r="AF6" s="2349" t="s">
        <v>4415</v>
      </c>
      <c r="AG6" s="2343">
        <v>2025</v>
      </c>
      <c r="AH6" s="2344">
        <v>2026</v>
      </c>
      <c r="AI6" s="2343">
        <v>2027</v>
      </c>
      <c r="AJ6" s="2345">
        <v>2028</v>
      </c>
      <c r="BA6" s="2349" t="s">
        <v>4687</v>
      </c>
      <c r="BB6" s="2366">
        <v>2025</v>
      </c>
      <c r="BC6" s="2430" t="s">
        <v>4433</v>
      </c>
      <c r="BD6" s="2429" t="s">
        <v>4430</v>
      </c>
      <c r="BE6" s="2366">
        <v>2027</v>
      </c>
      <c r="BF6" s="2367">
        <v>2028</v>
      </c>
      <c r="BP6" s="2421" t="s">
        <v>4415</v>
      </c>
      <c r="BQ6" s="2422">
        <v>2025</v>
      </c>
      <c r="BR6" s="2430" t="s">
        <v>4433</v>
      </c>
      <c r="BS6" s="2429" t="s">
        <v>4430</v>
      </c>
      <c r="BT6" s="2422">
        <v>2027</v>
      </c>
      <c r="BU6" s="2424">
        <v>2028</v>
      </c>
      <c r="BV6" s="2425" t="s">
        <v>3441</v>
      </c>
      <c r="BW6" s="2426" t="s">
        <v>3449</v>
      </c>
      <c r="BX6" s="2015"/>
      <c r="CC6" s="2452" t="s">
        <v>4415</v>
      </c>
      <c r="CD6" s="2438">
        <v>2025</v>
      </c>
      <c r="CE6" s="2330">
        <v>2026</v>
      </c>
      <c r="CF6" s="2439">
        <v>2027</v>
      </c>
      <c r="CG6" s="2440">
        <v>2028</v>
      </c>
      <c r="CI6" s="2349" t="s">
        <v>4415</v>
      </c>
      <c r="CJ6" s="2333">
        <v>2025</v>
      </c>
      <c r="CK6" s="2480" t="s">
        <v>4433</v>
      </c>
      <c r="CL6" s="2481" t="s">
        <v>4430</v>
      </c>
      <c r="CM6" s="2333">
        <v>2027</v>
      </c>
      <c r="CN6" s="2334">
        <v>2028</v>
      </c>
      <c r="CP6" s="2452" t="s">
        <v>4449</v>
      </c>
      <c r="CQ6" s="2439">
        <v>2025</v>
      </c>
      <c r="CR6" s="2330">
        <v>2026</v>
      </c>
      <c r="CS6" s="2439">
        <v>2027</v>
      </c>
      <c r="CT6" s="2439">
        <v>2028</v>
      </c>
      <c r="CV6" s="2421" t="s">
        <v>4415</v>
      </c>
      <c r="CW6" s="2422">
        <v>2025</v>
      </c>
      <c r="CX6" s="2423">
        <v>2026</v>
      </c>
      <c r="CY6" s="2422">
        <v>2027</v>
      </c>
      <c r="CZ6" s="2424">
        <v>2028</v>
      </c>
      <c r="DC6" s="2452" t="s">
        <v>4415</v>
      </c>
      <c r="DD6" s="2439">
        <v>2025</v>
      </c>
      <c r="DE6" s="2480" t="s">
        <v>4433</v>
      </c>
      <c r="DF6" s="2481" t="s">
        <v>4430</v>
      </c>
      <c r="DG6" s="2439">
        <v>2027</v>
      </c>
      <c r="DH6" s="2439">
        <v>2028</v>
      </c>
    </row>
    <row r="7" spans="2:122" ht="24" customHeight="1">
      <c r="B7" s="2291" t="s">
        <v>4393</v>
      </c>
      <c r="C7" s="2273">
        <f>SUM('1 programa '!K30,'1 programa '!K90,'1 programa '!K96,'1 programa '!K114,'1 programa '!K116,'1 programa '!K119,'1 programa '!K121,'1 programa '!K124,'1 programa '!K127,'1 programa '!K130,'1 programa '!K133,'1 programa '!K158,'1 programa '!K170,'1 programa '!K173,'1 programa '!K184,'1 programa '!K190,'1 programa '!K198,'1 programa '!K202,'1 programa '!K205,'1 programa '!K122,'1 programa '!K125,)</f>
        <v>1798.6000000000001</v>
      </c>
      <c r="D7" s="2325">
        <f>SUM('1 programa '!L30,'1 programa '!L96,'1 programa '!L114,'1 programa '!L116,'1 programa '!L119,'1 programa '!L121,'1 programa '!L124,'1 programa '!L127,'1 programa '!L130,'1 programa '!L133,'1 programa '!L158,'1 programa '!L170,'1 programa '!L173,'1 programa '!L184,'1 programa '!L190,'1 programa '!L198,'1 programa '!L202,'1 programa '!L205,'1 programa '!L122,'1 programa '!L125,'1 programa '!L134)</f>
        <v>1813.6999999999998</v>
      </c>
      <c r="E7" s="2511">
        <f>SUM('1 programa '!L122,'1 programa '!L125,'1 programa '!L134)</f>
        <v>789.52</v>
      </c>
      <c r="F7" s="2273">
        <f>SUM('1 programa '!O30,'1 programa '!O96,'1 programa '!O114,'1 programa '!O116,'1 programa '!O119,'1 programa '!O121,'1 programa '!O124,'1 programa '!O127,'1 programa '!O130,'1 programa '!O133,'1 programa '!O158,'1 programa '!O170,'1 programa '!O173,'1 programa '!O184,'1 programa '!O190,'1 programa '!O198,'1 programa '!O202,'1 programa '!O205)</f>
        <v>1875.3</v>
      </c>
      <c r="G7" s="2326">
        <f>SUM('1 programa '!Q30,'1 programa '!Q96,'1 programa '!Q114,'1 programa '!Q116,'1 programa '!Q119,'1 programa '!Q121,'1 programa '!Q124,'1 programa '!Q127,'1 programa '!Q130,'1 programa '!Q133,'1 programa '!Q158,'1 programa '!Q170,'1 programa '!Q173,'1 programa '!Q184,'1 programa '!Q190,'1 programa '!Q198,'1 programa '!Q202,'1 programa '!Q205)</f>
        <v>1910.8</v>
      </c>
      <c r="I7" s="2291" t="s">
        <v>4393</v>
      </c>
      <c r="J7" s="2273">
        <f>SUM('1 programa '!K166)</f>
        <v>32.445999999999998</v>
      </c>
      <c r="K7" s="2325">
        <f>SUM('1 programa '!L166)</f>
        <v>0</v>
      </c>
      <c r="L7" s="2511"/>
      <c r="M7" s="2339">
        <f>SUM('1 programa '!O166)</f>
        <v>0</v>
      </c>
      <c r="N7" s="2322"/>
      <c r="P7" s="2291" t="s">
        <v>4393</v>
      </c>
      <c r="Q7" s="2305"/>
      <c r="R7" s="2299"/>
      <c r="S7" s="2305"/>
      <c r="T7" s="2306"/>
      <c r="W7" s="2289" t="s">
        <v>4393</v>
      </c>
      <c r="X7" s="2241"/>
      <c r="Y7" s="2248">
        <f>SUM('1 programa '!K92,'1 programa '!K62)</f>
        <v>24.818999999999999</v>
      </c>
      <c r="Z7" s="2277">
        <f>SUM('1 programa '!L92,'1 programa '!L62)</f>
        <v>24.719000000000001</v>
      </c>
      <c r="AA7" s="2249">
        <f>SUM('1 programa '!O92,'1 programa '!O62)</f>
        <v>24.719000000000001</v>
      </c>
      <c r="AB7" s="2250">
        <f>SUM('1 programa '!Q92,'1 programa '!Q62)</f>
        <v>24.719000000000001</v>
      </c>
      <c r="AF7" s="2291" t="s">
        <v>4393</v>
      </c>
      <c r="AG7" s="2320">
        <f>SUM('1 programa '!K37,'1 programa '!K45,'1 programa '!K48,'1 programa '!K51,'1 programa '!K53,'1 programa '!K55,'1 programa '!K57,'1 programa '!K59,'1 programa '!K65,'1 programa '!K67,'1 programa '!K70,'1 programa '!K72,'1 programa '!K74,'1 programa '!K77,'1 programa '!K80,'1 programa '!K82,'1 programa '!K85,'1 programa '!K87,'1 programa '!K89,)</f>
        <v>243.74199999999999</v>
      </c>
      <c r="AH7" s="2321">
        <f>SUM('1 programa '!L37,'1 programa '!L45,'1 programa '!L48,'1 programa '!L51,'1 programa '!L53,'1 programa '!L55,'1 programa '!L57,'1 programa '!L59,'1 programa '!L65,'1 programa '!L67,'1 programa '!L70,'1 programa '!L72,'1 programa '!L74,'1 programa '!L77,'1 programa '!L80,'1 programa '!L82,'1 programa '!L85,'1 programa '!L87,'1 programa '!L89,)</f>
        <v>310.99699999999996</v>
      </c>
      <c r="AI7" s="2273">
        <f>SUM('1 programa '!O37,'1 programa '!O45,'1 programa '!O48,'1 programa '!O51,'1 programa '!O53,'1 programa '!O55,'1 programa '!O57,'1 programa '!O59,'1 programa '!O65,'1 programa '!O67,'1 programa '!O70,'1 programa '!O72,'1 programa '!O74,'1 programa '!O77,'1 programa '!O80,'1 programa '!O82,'1 programa '!O85,'1 programa '!O87,'1 programa '!O89,)</f>
        <v>310.99699999999996</v>
      </c>
      <c r="AJ7" s="2326">
        <f>SUM('1 programa '!Q37,'1 programa '!Q45,'1 programa '!Q48,'1 programa '!Q51,'1 programa '!Q53,'1 programa '!Q55,'1 programa '!Q57,'1 programa '!Q59,'1 programa '!Q65,'1 programa '!Q67,'1 programa '!Q70,'1 programa '!Q72,'1 programa '!Q74,'1 programa '!Q77,'1 programa '!Q80,'1 programa '!Q82,'1 programa '!Q85,'1 programa '!Q87,'1 programa '!Q89,)</f>
        <v>310.99699999999996</v>
      </c>
      <c r="BA7" s="2291" t="s">
        <v>4393</v>
      </c>
      <c r="BB7" s="2273">
        <f>SUM('1 programa '!K19,'1 programa '!K32,'1 programa '!K38,'1 programa '!K46,'1 programa '!K49,'1 programa '!K68,'1 programa '!K83,)</f>
        <v>3986.88</v>
      </c>
      <c r="BC7" s="2325">
        <f>SUM('1 programa '!L19,'1 programa '!L32,'1 programa '!L38,'1 programa '!L46,'1 programa '!L49,'1 programa '!L68,'1 programa '!L83,)</f>
        <v>4592.5120000000006</v>
      </c>
      <c r="BD7" s="2511"/>
      <c r="BE7" s="2273">
        <f>SUM('1 programa '!O19,'1 programa '!O32,'1 programa '!O38,'1 programa '!O46,'1 programa '!O49,'1 programa '!O68,'1 programa '!O83,)</f>
        <v>4995.9515000000001</v>
      </c>
      <c r="BF7" s="2326">
        <f>SUM('1 programa '!Q19,'1 programa '!Q32,'1 programa '!Q38,'1 programa '!Q46,'1 programa '!Q49,'1 programa '!Q68,'1 programa '!Q83,)</f>
        <v>5466.1371749999998</v>
      </c>
      <c r="BP7" s="2291" t="s">
        <v>4393</v>
      </c>
      <c r="BQ7" s="2308">
        <f>SUM('1 programa '!K20,'1 programa '!K97)</f>
        <v>17.649999999999999</v>
      </c>
      <c r="BR7" s="2325">
        <f>SUM('1 programa '!L20,'1 programa '!L21)</f>
        <v>12.82</v>
      </c>
      <c r="BS7" s="2368">
        <f>'1 programa '!L21</f>
        <v>0.26</v>
      </c>
      <c r="BT7" s="2273">
        <f>SUM('1 programa '!O20,'1 programa '!O97)</f>
        <v>12.56</v>
      </c>
      <c r="BU7" s="2326">
        <f>SUM('1 programa '!P20,'1 programa '!P97)</f>
        <v>12.56</v>
      </c>
      <c r="BV7" s="2383">
        <f>'1 programa '!K21</f>
        <v>2.5640000000000001</v>
      </c>
      <c r="BW7" s="1999">
        <f>BQ7+BV7</f>
        <v>20.213999999999999</v>
      </c>
      <c r="BX7" s="610"/>
      <c r="CC7" s="2445" t="s">
        <v>4393</v>
      </c>
      <c r="CD7" s="2273">
        <f>SUM('1 programa '!K163,'1 programa '!K164,)</f>
        <v>40.6</v>
      </c>
      <c r="CE7" s="2325">
        <f>SUM('1 programa '!L163,'1 programa '!L164,)</f>
        <v>0</v>
      </c>
      <c r="CF7" s="2273">
        <f>SUM('1 programa '!O163,'1 programa '!O164,)</f>
        <v>0</v>
      </c>
      <c r="CG7" s="2326">
        <f>SUM('1 programa '!P163,'1 programa '!P164,)</f>
        <v>0</v>
      </c>
      <c r="CI7" s="2445" t="s">
        <v>4393</v>
      </c>
      <c r="CJ7" s="2308"/>
      <c r="CK7" s="2309"/>
      <c r="CL7" s="2408"/>
      <c r="CM7" s="2308"/>
      <c r="CN7" s="2310"/>
      <c r="CP7" s="2445" t="s">
        <v>4393</v>
      </c>
      <c r="CQ7" s="2482"/>
      <c r="CR7" s="2495"/>
      <c r="CS7" s="2482"/>
      <c r="CT7" s="2437"/>
      <c r="CU7" s="150"/>
      <c r="CV7" s="2445" t="s">
        <v>4393</v>
      </c>
      <c r="CW7" s="2305"/>
      <c r="CX7" s="2299"/>
      <c r="CY7" s="2305"/>
      <c r="CZ7" s="2306"/>
      <c r="DA7" s="150"/>
      <c r="DC7" s="2445" t="s">
        <v>4393</v>
      </c>
      <c r="DD7" s="2273">
        <f>SUM(C7,J7,Q7,Y7,AG7,BB7,BQ7,CD7,)</f>
        <v>6144.7370000000001</v>
      </c>
      <c r="DE7" s="2325">
        <f>SUM(D7,K7,R7,Z7,AH7,BC7,BR7,CE7,CK7,CR7,CX7,)</f>
        <v>6754.7479999999996</v>
      </c>
      <c r="DF7" s="2368"/>
      <c r="DG7" s="2273">
        <f t="shared" ref="DG7" si="0">SUM(F7,M7,T7,AB7,AJ7,BE7,BT7,CG7,CM7,CT7,CZ7,)</f>
        <v>7219.5275000000011</v>
      </c>
      <c r="DH7" s="2273">
        <f>SUM(G7,N7,U7,AC7,AK7,BF7,BU7,CH7,CN7,CU7,DA7,AJ7,AB7)</f>
        <v>7725.2131750000008</v>
      </c>
      <c r="DI7" s="150"/>
      <c r="DJ7" s="151"/>
      <c r="DL7" s="150"/>
      <c r="DM7" s="150"/>
    </row>
    <row r="8" spans="2:122" ht="24" hidden="1" customHeight="1">
      <c r="B8" s="2289"/>
      <c r="C8" s="1990"/>
      <c r="D8" s="2023"/>
      <c r="E8" s="2512"/>
      <c r="F8" s="1990"/>
      <c r="G8" s="2433"/>
      <c r="I8" s="2289"/>
      <c r="J8" s="1990"/>
      <c r="K8" s="2024"/>
      <c r="L8" s="2512"/>
      <c r="M8" s="2000"/>
      <c r="N8" s="2307"/>
      <c r="P8" s="2289"/>
      <c r="Q8" s="1995"/>
      <c r="R8" s="2028"/>
      <c r="S8" s="1995"/>
      <c r="T8" s="2307"/>
      <c r="W8" s="2289"/>
      <c r="X8" s="2008"/>
      <c r="Y8" s="2004"/>
      <c r="Z8" s="2278"/>
      <c r="AA8" s="2004"/>
      <c r="AB8" s="2244"/>
      <c r="AF8" s="2289"/>
      <c r="AG8" s="1995"/>
      <c r="AH8" s="2028"/>
      <c r="AI8" s="1995"/>
      <c r="AJ8" s="2307"/>
      <c r="BA8" s="2289"/>
      <c r="BB8" s="1990"/>
      <c r="BC8" s="2024"/>
      <c r="BD8" s="2512"/>
      <c r="BE8" s="1990"/>
      <c r="BF8" s="2369"/>
      <c r="BP8" s="2289"/>
      <c r="BQ8" s="1990"/>
      <c r="BR8" s="2024"/>
      <c r="BS8" s="809"/>
      <c r="BT8" s="1990"/>
      <c r="BU8" s="2300"/>
      <c r="BV8" s="2383"/>
      <c r="BW8" s="1999"/>
      <c r="BX8" s="610"/>
      <c r="CC8" s="2446"/>
      <c r="CD8" s="1989"/>
      <c r="CE8" s="2022"/>
      <c r="CF8" s="1989">
        <f>SUM('1 programa '!O164,'1 programa '!O165,)</f>
        <v>0</v>
      </c>
      <c r="CG8" s="2316"/>
      <c r="CI8" s="2446"/>
      <c r="CJ8" s="1990"/>
      <c r="CK8" s="2024"/>
      <c r="CL8" s="809"/>
      <c r="CM8" s="1990"/>
      <c r="CN8" s="2300"/>
      <c r="CP8" s="2446"/>
      <c r="CQ8" s="2431"/>
      <c r="CR8" s="2496"/>
      <c r="CS8" s="2431"/>
      <c r="CT8" s="2432"/>
      <c r="CU8" s="150"/>
      <c r="CV8" s="2446"/>
      <c r="CW8" s="1995"/>
      <c r="CX8" s="2028"/>
      <c r="CY8" s="1995"/>
      <c r="CZ8" s="2307"/>
      <c r="DA8" s="150"/>
      <c r="DC8" s="2446"/>
      <c r="DD8" s="1989"/>
      <c r="DE8" s="2022"/>
      <c r="DF8" s="2025"/>
      <c r="DG8" s="1989"/>
      <c r="DH8" s="2300"/>
      <c r="DI8" s="150"/>
      <c r="DJ8" s="150"/>
    </row>
    <row r="9" spans="2:122" ht="24" customHeight="1">
      <c r="B9" s="2289" t="s">
        <v>4394</v>
      </c>
      <c r="C9" s="1990">
        <v>1798.6</v>
      </c>
      <c r="D9" s="2024">
        <v>1813.7</v>
      </c>
      <c r="E9" s="2512"/>
      <c r="F9" s="1990">
        <v>0</v>
      </c>
      <c r="G9" s="2300">
        <v>0</v>
      </c>
      <c r="I9" s="2289" t="s">
        <v>4394</v>
      </c>
      <c r="J9" s="1990">
        <v>32.445999999999998</v>
      </c>
      <c r="K9" s="2024">
        <v>0</v>
      </c>
      <c r="L9" s="2512"/>
      <c r="M9" s="2000">
        <v>0</v>
      </c>
      <c r="N9" s="2307"/>
      <c r="P9" s="2289" t="s">
        <v>4394</v>
      </c>
      <c r="Q9" s="1995"/>
      <c r="R9" s="2028"/>
      <c r="S9" s="1995"/>
      <c r="T9" s="2307"/>
      <c r="V9" s="151"/>
      <c r="W9" s="2289" t="s">
        <v>4394</v>
      </c>
      <c r="X9" s="2008"/>
      <c r="Y9" s="2004">
        <v>24.818999999999999</v>
      </c>
      <c r="Z9" s="2278">
        <v>24.719000000000001</v>
      </c>
      <c r="AA9" s="2004"/>
      <c r="AB9" s="2244"/>
      <c r="AC9" s="151"/>
      <c r="AD9" s="151"/>
      <c r="AE9" s="151"/>
      <c r="AF9" s="2289" t="s">
        <v>4394</v>
      </c>
      <c r="AG9" s="1995">
        <v>243.74199999999999</v>
      </c>
      <c r="AH9" s="2028">
        <v>310.99700000000001</v>
      </c>
      <c r="AI9" s="1994"/>
      <c r="AJ9" s="2311"/>
      <c r="BA9" s="2289" t="s">
        <v>4394</v>
      </c>
      <c r="BB9" s="1990"/>
      <c r="BC9" s="2024">
        <v>4592.5119999999997</v>
      </c>
      <c r="BD9" s="2512"/>
      <c r="BE9" s="1990"/>
      <c r="BF9" s="2369"/>
      <c r="BL9" s="151"/>
      <c r="BM9" s="151"/>
      <c r="BN9" s="151"/>
      <c r="BO9" s="151"/>
      <c r="BP9" s="2289" t="s">
        <v>4394</v>
      </c>
      <c r="BQ9" s="2002"/>
      <c r="BR9" s="2024">
        <v>12.56</v>
      </c>
      <c r="BS9" s="809">
        <v>0.26</v>
      </c>
      <c r="BT9" s="1990">
        <v>12.56</v>
      </c>
      <c r="BU9" s="2300">
        <v>12.56</v>
      </c>
      <c r="BV9" s="2384"/>
      <c r="BW9" s="2011"/>
      <c r="BX9" s="2016"/>
      <c r="BZ9" s="151"/>
      <c r="CA9" s="151"/>
      <c r="CB9" s="151"/>
      <c r="CC9" s="2446" t="s">
        <v>4394</v>
      </c>
      <c r="CD9" s="1989"/>
      <c r="CE9" s="2022"/>
      <c r="CF9" s="1989"/>
      <c r="CG9" s="2316"/>
      <c r="CI9" s="2446" t="s">
        <v>4394</v>
      </c>
      <c r="CJ9" s="1990"/>
      <c r="CK9" s="2024"/>
      <c r="CL9" s="809"/>
      <c r="CM9" s="1990"/>
      <c r="CN9" s="2300"/>
      <c r="CO9" s="151"/>
      <c r="CP9" s="2446" t="s">
        <v>4394</v>
      </c>
      <c r="CQ9" s="2431"/>
      <c r="CR9" s="2496"/>
      <c r="CS9" s="2431"/>
      <c r="CT9" s="2432"/>
      <c r="CU9" s="150"/>
      <c r="CV9" s="2446" t="s">
        <v>4394</v>
      </c>
      <c r="CW9" s="1995"/>
      <c r="CX9" s="2028"/>
      <c r="CY9" s="1995"/>
      <c r="CZ9" s="2307"/>
      <c r="DA9" s="150"/>
      <c r="DC9" s="2446" t="s">
        <v>4394</v>
      </c>
      <c r="DD9" s="1989"/>
      <c r="DE9" s="2022"/>
      <c r="DF9" s="2025"/>
      <c r="DG9" s="1989"/>
      <c r="DH9" s="2300"/>
      <c r="DI9" s="150"/>
      <c r="DJ9" s="150"/>
      <c r="DM9" s="151"/>
      <c r="DN9" s="151"/>
      <c r="DO9" s="151"/>
      <c r="DP9" s="151"/>
      <c r="DQ9" s="151"/>
      <c r="DR9" s="151"/>
    </row>
    <row r="10" spans="2:122" ht="24" customHeight="1" thickBot="1">
      <c r="B10" s="2290" t="s">
        <v>3534</v>
      </c>
      <c r="C10" s="2327">
        <f>C7-C9</f>
        <v>0</v>
      </c>
      <c r="D10" s="2328">
        <f>D7-D9</f>
        <v>0</v>
      </c>
      <c r="E10" s="2513"/>
      <c r="F10" s="2327">
        <f>F7-F9</f>
        <v>1875.3</v>
      </c>
      <c r="G10" s="2329">
        <f>G7-G9</f>
        <v>1910.8</v>
      </c>
      <c r="I10" s="2290" t="s">
        <v>3534</v>
      </c>
      <c r="J10" s="2327">
        <f>J7-J9</f>
        <v>0</v>
      </c>
      <c r="K10" s="2328">
        <f>K7-K9</f>
        <v>0</v>
      </c>
      <c r="L10" s="2513"/>
      <c r="M10" s="2505">
        <f>M7-M9</f>
        <v>0</v>
      </c>
      <c r="N10" s="2303"/>
      <c r="P10" s="2290" t="s">
        <v>3534</v>
      </c>
      <c r="Q10" s="2301"/>
      <c r="R10" s="2302"/>
      <c r="S10" s="2301"/>
      <c r="T10" s="2303"/>
      <c r="W10" s="2290" t="s">
        <v>3534</v>
      </c>
      <c r="X10" s="2245"/>
      <c r="Y10" s="2246">
        <f>Y7-Y9</f>
        <v>0</v>
      </c>
      <c r="Z10" s="2279">
        <f t="shared" ref="Z10:AB10" si="1">Z7-Z9</f>
        <v>0</v>
      </c>
      <c r="AA10" s="2246">
        <f t="shared" si="1"/>
        <v>24.719000000000001</v>
      </c>
      <c r="AB10" s="2247">
        <f t="shared" si="1"/>
        <v>24.719000000000001</v>
      </c>
      <c r="AF10" s="2290" t="s">
        <v>3534</v>
      </c>
      <c r="AG10" s="2301">
        <f t="shared" ref="AG10:AJ10" si="2">AG7-AG9</f>
        <v>0</v>
      </c>
      <c r="AH10" s="2302">
        <f t="shared" si="2"/>
        <v>0</v>
      </c>
      <c r="AI10" s="2301">
        <f t="shared" si="2"/>
        <v>310.99699999999996</v>
      </c>
      <c r="AJ10" s="2303">
        <f t="shared" si="2"/>
        <v>310.99699999999996</v>
      </c>
      <c r="BA10" s="2290" t="s">
        <v>3534</v>
      </c>
      <c r="BB10" s="2327"/>
      <c r="BC10" s="2328">
        <f>BC7-BC9</f>
        <v>0</v>
      </c>
      <c r="BD10" s="2513"/>
      <c r="BE10" s="2327"/>
      <c r="BF10" s="2371"/>
      <c r="BP10" s="2290" t="s">
        <v>3534</v>
      </c>
      <c r="BQ10" s="2385"/>
      <c r="BR10" s="2402"/>
      <c r="BS10" s="2407"/>
      <c r="BT10" s="2385"/>
      <c r="BU10" s="2386"/>
      <c r="BV10" s="2384"/>
      <c r="BW10" s="2011"/>
      <c r="BX10" s="2016"/>
      <c r="CC10" s="2455" t="s">
        <v>3534</v>
      </c>
      <c r="CD10" s="2317"/>
      <c r="CE10" s="2318"/>
      <c r="CF10" s="2317"/>
      <c r="CG10" s="2319"/>
      <c r="CI10" s="2455" t="s">
        <v>3534</v>
      </c>
      <c r="CJ10" s="2327"/>
      <c r="CK10" s="2328"/>
      <c r="CL10" s="2370"/>
      <c r="CM10" s="2327"/>
      <c r="CN10" s="2329"/>
      <c r="CP10" s="2455" t="s">
        <v>3534</v>
      </c>
      <c r="CQ10" s="2270"/>
      <c r="CR10" s="2497"/>
      <c r="CS10" s="2270"/>
      <c r="CT10" s="2434"/>
      <c r="CU10" s="150"/>
      <c r="CV10" s="2455" t="s">
        <v>3534</v>
      </c>
      <c r="CW10" s="2301"/>
      <c r="CX10" s="2302"/>
      <c r="CY10" s="2301"/>
      <c r="CZ10" s="2303"/>
      <c r="DA10" s="150"/>
      <c r="DC10" s="2455" t="s">
        <v>3534</v>
      </c>
      <c r="DD10" s="2317"/>
      <c r="DE10" s="2318"/>
      <c r="DF10" s="2470"/>
      <c r="DG10" s="2317"/>
      <c r="DH10" s="2329"/>
      <c r="DI10" s="150"/>
      <c r="DJ10" s="150"/>
    </row>
    <row r="11" spans="2:122" ht="21" customHeight="1">
      <c r="B11" s="2291" t="s">
        <v>4395</v>
      </c>
      <c r="C11" s="2273">
        <f>SUM('2 programa '!K81,'2 programa '!K168,'2 programa '!K183,'2 programa '!K200,'2 programa '!K240,'2 programa '!K244,'2 programa '!K258,'2 programa '!K260,'2 programa '!K351)</f>
        <v>896.05</v>
      </c>
      <c r="D11" s="2325">
        <f>SUM('2 programa '!L82,'2 programa '!L168,'2 programa '!L183,'2 programa '!L200,'2 programa '!L244,'2 programa '!L254,'2 programa '!L258,'2 programa '!L260,'2 programa '!L351,'2 programa '!L89,'2 programa '!L96,'2 programa '!L103,'2 programa '!L110,'2 programa '!L122,'2 programa '!L128,'2 programa '!L134,'2 programa '!L140,'2 programa '!L146,'2 programa '!L161,'2 programa '!L163)</f>
        <v>1356.6849999999999</v>
      </c>
      <c r="E11" s="2368"/>
      <c r="F11" s="2273">
        <f>SUM('2 programa '!O168,'2 programa '!O183,'2 programa '!O200,'2 programa '!O244,'2 programa '!O254,'2 programa '!O258,'2 programa '!O260,'2 programa '!O351)</f>
        <v>450.03649999999999</v>
      </c>
      <c r="G11" s="2326">
        <f>SUM('2 programa '!Q82,'2 programa '!Q168,'2 programa '!Q183,'2 programa '!Q200,'2 programa '!Q244,'2 programa '!Q254,'2 programa '!Q258,'2 programa '!Q260,'2 programa '!Q351,'2 programa '!Q89,'2 programa '!Q96,'2 programa '!Q103,'2 programa '!Q110,'2 programa '!Q122,'2 programa '!Q128,'2 programa '!Q134,'2 programa '!Q140,'2 programa '!Q146,'2 programa '!Q161,'2 programa '!Q163)</f>
        <v>463.79832499999998</v>
      </c>
      <c r="I11" s="2291" t="s">
        <v>4395</v>
      </c>
      <c r="J11" s="2273">
        <f>SUM('2 programa '!K209,'2 programa '!K210,'2 programa '!K264,'2 programa '!K266,'2 programa '!K288,'2 programa '!K289,'2 programa '!K292,'2 programa '!K293,'2 programa '!K302,'2 programa '!K303,'2 programa '!K325,'2 programa '!K326,)</f>
        <v>1492.4490000000001</v>
      </c>
      <c r="K11" s="2325">
        <f>SUM('2 programa '!L250,'2 programa '!L264,'2 programa '!L288,'2 programa '!L302,'2 programa '!L326,)</f>
        <v>758.00299999999993</v>
      </c>
      <c r="L11" s="2368"/>
      <c r="M11" s="2273">
        <f>SUM('2 programa '!O252,'2 programa '!O293,)</f>
        <v>2.1829999999999998</v>
      </c>
      <c r="N11" s="2326"/>
      <c r="P11" s="2291" t="s">
        <v>4395</v>
      </c>
      <c r="Q11" s="2273">
        <f>SUM('2 programa '!K363,)</f>
        <v>10509.85</v>
      </c>
      <c r="R11" s="2325">
        <f>SUM('2 programa '!L363,)</f>
        <v>11285.15</v>
      </c>
      <c r="S11" s="2273">
        <f>SUM('2 programa '!O363,)</f>
        <v>11285.15</v>
      </c>
      <c r="T11" s="2326">
        <f>SUM('2 programa '!Q363,)</f>
        <v>11285.15</v>
      </c>
      <c r="W11" s="2291" t="s">
        <v>4395</v>
      </c>
      <c r="X11" s="2251"/>
      <c r="Y11" s="2249">
        <f>SUM('2 programa '!K90,'2 programa '!K97,'2 programa '!K104,'2 programa '!K111,'2 programa '!K117,'2 programa '!K164,'2 programa '!K231,'2 programa '!K354)</f>
        <v>499.74200000000002</v>
      </c>
      <c r="Z11" s="2280">
        <f>SUM('2 programa '!L90,'2 programa '!L97,'2 programa '!L104,'2 programa '!L111,'2 programa '!L117,'2 programa '!L164,'2 programa '!L231,'2 programa '!L354)</f>
        <v>144.85599999999999</v>
      </c>
      <c r="AA11" s="2249">
        <f>SUM('2 programa '!O90,'2 programa '!O97,'2 programa '!O104,'2 programa '!O111,'2 programa '!O117,'2 programa '!O164,'2 programa '!O231,'2 programa '!O354)</f>
        <v>144.85599999999999</v>
      </c>
      <c r="AB11" s="2252">
        <f>SUM('2 programa '!Q90,'2 programa '!Q97,'2 programa '!Q104,'2 programa '!Q111,'2 programa '!Q117,'2 programa '!Q164,'2 programa '!Q231,'2 programa '!Q354)</f>
        <v>144.85599999999999</v>
      </c>
      <c r="AF11" s="2291" t="s">
        <v>4395</v>
      </c>
      <c r="AG11" s="2308">
        <f>'2 programa '!K364</f>
        <v>40.200000000000003</v>
      </c>
      <c r="AH11" s="2309">
        <f>'2 programa '!L364</f>
        <v>35.799999999999997</v>
      </c>
      <c r="AI11" s="2309">
        <f>'2 programa '!O364</f>
        <v>35.799999999999997</v>
      </c>
      <c r="AJ11" s="2309">
        <f>'2 programa '!Q364</f>
        <v>35.799999999999997</v>
      </c>
      <c r="BA11" s="2291" t="s">
        <v>4395</v>
      </c>
      <c r="BB11" s="2273">
        <f>SUM('2 programa '!K15,'2 programa '!K235,'2 programa '!K246,)</f>
        <v>6732.119999999999</v>
      </c>
      <c r="BC11" s="2325">
        <f>SUM('2 programa '!L15,'2 programa '!L88,'2 programa '!L95,'2 programa '!L102,'2 programa '!L109,'2 programa '!L158,'2 programa '!L235,'2 programa '!L246,)</f>
        <v>7388.9099999999989</v>
      </c>
      <c r="BD11" s="2368"/>
      <c r="BE11" s="2273">
        <f>SUM('2 programa '!O15,'2 programa '!O81,'2 programa '!O235,'2 programa '!O246,)</f>
        <v>8741.2132499999989</v>
      </c>
      <c r="BF11" s="2326">
        <f>SUM('2 programa '!Q15,'2 programa '!Q81,'2 programa '!Q235,'2 programa '!Q246,)</f>
        <v>9095.5033724540554</v>
      </c>
      <c r="BP11" s="2291" t="s">
        <v>4395</v>
      </c>
      <c r="BQ11" s="2308">
        <f>SUM('2 programa '!K16,'2 programa '!K202,'2 programa '!K232,)</f>
        <v>889</v>
      </c>
      <c r="BR11" s="2325">
        <f>SUM('2 programa '!L366)</f>
        <v>835.50600000000009</v>
      </c>
      <c r="BS11" s="2368">
        <f>'2 programa '!L17</f>
        <v>38.835999999999999</v>
      </c>
      <c r="BT11" s="2273">
        <f>SUM('2 programa '!O366)</f>
        <v>811.77</v>
      </c>
      <c r="BU11" s="2326">
        <f>'2 programa '!Q366</f>
        <v>833.77</v>
      </c>
      <c r="BV11" s="2383">
        <f>'2 programa '!K17</f>
        <v>29.093</v>
      </c>
      <c r="BW11" s="2000">
        <f>SUM(BQ11+BV11)</f>
        <v>918.09299999999996</v>
      </c>
      <c r="BX11" s="113"/>
      <c r="CC11" s="2456" t="s">
        <v>4395</v>
      </c>
      <c r="CD11" s="2273">
        <f>SUM('2 programa '!K213,'2 programa '!K214,'2 programa '!K263,'2 programa '!K265,'2 programa '!K290,'2 programa '!K294,'2 programa '!K304,'2 programa '!K324,'2 programa '!K345,'2 programa '!K347,)</f>
        <v>3118.7599999999993</v>
      </c>
      <c r="CE11" s="2325">
        <f>SUM('2 programa '!L213,'2 programa '!L214,'2 programa '!L263,'2 programa '!L265,'2 programa '!L290,'2 programa '!L294,'2 programa '!L304,'2 programa '!L324,'2 programa '!L345,'2 programa '!L347,)</f>
        <v>1328.739</v>
      </c>
      <c r="CF11" s="2273">
        <f>SUM('2 programa '!O249,'2 programa '!O251,'2 programa '!O345,'2 programa '!O347,)</f>
        <v>559.57899999999995</v>
      </c>
      <c r="CG11" s="2273">
        <f>SUM('2 programa '!Q213,'2 programa '!Q214,'2 programa '!Q263,'2 programa '!Q265,'2 programa '!Q290,'2 programa '!Q294,'2 programa '!Q304,'2 programa '!Q324,'2 programa '!Q345,'2 programa '!Q347,'2 programa '!Q249,'2 programa '!Q251)</f>
        <v>22.015000000000001</v>
      </c>
      <c r="CI11" s="2456" t="s">
        <v>4395</v>
      </c>
      <c r="CJ11" s="2273"/>
      <c r="CK11" s="2325"/>
      <c r="CL11" s="2368"/>
      <c r="CM11" s="2273"/>
      <c r="CN11" s="2326"/>
      <c r="CP11" s="2456" t="s">
        <v>4395</v>
      </c>
      <c r="CQ11" s="2482"/>
      <c r="CR11" s="2325">
        <f>SUM('2 programa '!L295,'2 programa '!L327,)</f>
        <v>454.81</v>
      </c>
      <c r="CS11" s="2273">
        <f>SUM('2 programa '!O295,'2 programa '!M327,)</f>
        <v>200</v>
      </c>
      <c r="CT11" s="2273">
        <f>SUM('2 programa '!Q295,'2 programa '!Q327,)</f>
        <v>0</v>
      </c>
      <c r="CU11" s="150"/>
      <c r="CV11" s="2456" t="s">
        <v>4395</v>
      </c>
      <c r="CW11" s="2320">
        <f>SUM('2 programa '!K370)</f>
        <v>3.9910000000000001</v>
      </c>
      <c r="CX11" s="2325">
        <f>SUM('2 programa '!L370)</f>
        <v>4.07</v>
      </c>
      <c r="CY11" s="2273">
        <f>SUM('2 programa '!O370)</f>
        <v>4.07</v>
      </c>
      <c r="CZ11" s="2326">
        <f>SUM('2 programa '!Q370)</f>
        <v>4.07</v>
      </c>
      <c r="DA11" s="150"/>
      <c r="DC11" s="2456" t="s">
        <v>4395</v>
      </c>
      <c r="DD11" s="2273">
        <f>SUM(C11,J11,Q11,Y11,AG11,BB11,BQ11,,CD11,CQ11,CW11,)</f>
        <v>24182.162</v>
      </c>
      <c r="DE11" s="2325">
        <f>SUM(D11,K11,R11,Z11,AH11,BC11,BR11,CE11,CK11,CR11,CX11,)</f>
        <v>23592.529000000002</v>
      </c>
      <c r="DF11" s="2368"/>
      <c r="DG11" s="2273">
        <f>SUM(F11,M11,S11,AA11,AI11,BE11,CF11,CL11,CS11,CY11,BT11)</f>
        <v>22234.657749999998</v>
      </c>
      <c r="DH11" s="2441">
        <f>SUM(G11,N11,T11,AB11,AJ11,BF11,CG11,CM11,CT11,CZ11,BU11)</f>
        <v>21884.962697454055</v>
      </c>
      <c r="DI11" s="150"/>
      <c r="DJ11" s="151"/>
      <c r="DL11" s="150"/>
      <c r="DM11" s="151"/>
    </row>
    <row r="12" spans="2:122" ht="21" hidden="1" customHeight="1">
      <c r="B12" s="2289"/>
      <c r="C12" s="1990"/>
      <c r="D12" s="2023"/>
      <c r="E12" s="2512"/>
      <c r="F12" s="1990"/>
      <c r="G12" s="2300"/>
      <c r="I12" s="2289"/>
      <c r="J12" s="1990"/>
      <c r="K12" s="2024"/>
      <c r="L12" s="2512"/>
      <c r="M12" s="2000"/>
      <c r="N12" s="2307"/>
      <c r="P12" s="2289"/>
      <c r="Q12" s="1990"/>
      <c r="R12" s="2024"/>
      <c r="S12" s="1990"/>
      <c r="T12" s="2307"/>
      <c r="W12" s="2289"/>
      <c r="X12" s="2009"/>
      <c r="Y12" s="2003"/>
      <c r="Z12" s="2281"/>
      <c r="AA12" s="2003"/>
      <c r="AB12" s="2244"/>
      <c r="AF12" s="2289"/>
      <c r="AG12" s="1990"/>
      <c r="AH12" s="2024"/>
      <c r="AI12" s="1990"/>
      <c r="AJ12" s="2300"/>
      <c r="BA12" s="2289"/>
      <c r="BB12" s="1990"/>
      <c r="BC12" s="2024"/>
      <c r="BD12" s="2512"/>
      <c r="BE12" s="1990"/>
      <c r="BF12" s="2307"/>
      <c r="BP12" s="2289"/>
      <c r="BQ12" s="1990"/>
      <c r="BR12" s="2024"/>
      <c r="BS12" s="809"/>
      <c r="BT12" s="1990"/>
      <c r="BU12" s="2300"/>
      <c r="BV12" s="2383"/>
      <c r="BW12" s="2000"/>
      <c r="BX12" s="113"/>
      <c r="CC12" s="2457"/>
      <c r="CD12" s="1989"/>
      <c r="CE12" s="2022"/>
      <c r="CF12" s="1989"/>
      <c r="CG12" s="2316"/>
      <c r="CI12" s="2457"/>
      <c r="CJ12" s="1989"/>
      <c r="CK12" s="2022"/>
      <c r="CL12" s="2025"/>
      <c r="CM12" s="1989"/>
      <c r="CN12" s="2316"/>
      <c r="CP12" s="2457"/>
      <c r="CQ12" s="2431"/>
      <c r="CR12" s="2496"/>
      <c r="CS12" s="2431"/>
      <c r="CT12" s="2432"/>
      <c r="CU12" s="150"/>
      <c r="CV12" s="2457"/>
      <c r="CW12" s="1994"/>
      <c r="CX12" s="2022"/>
      <c r="CY12" s="1989"/>
      <c r="CZ12" s="2316"/>
      <c r="DA12" s="150"/>
      <c r="DC12" s="2457"/>
      <c r="DD12" s="1989"/>
      <c r="DE12" s="2022"/>
      <c r="DF12" s="2025"/>
      <c r="DG12" s="1989"/>
      <c r="DH12" s="2300"/>
      <c r="DI12" s="150"/>
      <c r="DJ12" s="150"/>
    </row>
    <row r="13" spans="2:122" ht="21" customHeight="1">
      <c r="B13" s="2289" t="s">
        <v>4396</v>
      </c>
      <c r="C13" s="1990">
        <v>896.05</v>
      </c>
      <c r="D13" s="2024">
        <v>1356.6849999999999</v>
      </c>
      <c r="E13" s="2512"/>
      <c r="F13" s="1990">
        <v>0</v>
      </c>
      <c r="G13" s="2300">
        <v>0</v>
      </c>
      <c r="I13" s="2289" t="s">
        <v>4396</v>
      </c>
      <c r="J13" s="1990">
        <v>1492.4490000000001</v>
      </c>
      <c r="K13" s="2024">
        <v>0</v>
      </c>
      <c r="L13" s="2512"/>
      <c r="M13" s="2000">
        <v>0</v>
      </c>
      <c r="N13" s="2307"/>
      <c r="P13" s="2289" t="s">
        <v>4396</v>
      </c>
      <c r="Q13" s="1990">
        <v>10509.85</v>
      </c>
      <c r="R13" s="2024">
        <v>11285.15</v>
      </c>
      <c r="S13" s="1990">
        <v>0</v>
      </c>
      <c r="T13" s="2307">
        <v>0</v>
      </c>
      <c r="W13" s="2289" t="s">
        <v>4396</v>
      </c>
      <c r="X13" s="2010"/>
      <c r="Y13" s="2003">
        <v>499.74200000000002</v>
      </c>
      <c r="Z13" s="2281">
        <v>144.85599999999999</v>
      </c>
      <c r="AA13" s="2240"/>
      <c r="AB13" s="2244"/>
      <c r="AF13" s="2289" t="s">
        <v>4396</v>
      </c>
      <c r="AG13" s="1990">
        <v>40.200000000000003</v>
      </c>
      <c r="AH13" s="2024">
        <v>35.799999999999997</v>
      </c>
      <c r="AI13" s="1990"/>
      <c r="AJ13" s="2300"/>
      <c r="BA13" s="2289" t="s">
        <v>4396</v>
      </c>
      <c r="BB13" s="1990"/>
      <c r="BC13" s="2024">
        <v>7388.91</v>
      </c>
      <c r="BD13" s="2512"/>
      <c r="BE13" s="1990"/>
      <c r="BF13" s="2307"/>
      <c r="BP13" s="2289" t="s">
        <v>4396</v>
      </c>
      <c r="BQ13" s="2002"/>
      <c r="BR13" s="2024">
        <v>796.67</v>
      </c>
      <c r="BS13" s="809">
        <v>38.835999999999999</v>
      </c>
      <c r="BT13" s="1990">
        <v>811.77</v>
      </c>
      <c r="BU13" s="2300">
        <v>833.77</v>
      </c>
      <c r="BV13" s="2384"/>
      <c r="BW13" s="2011"/>
      <c r="BX13" s="2016"/>
      <c r="CC13" s="2457" t="s">
        <v>4396</v>
      </c>
      <c r="CD13" s="1989"/>
      <c r="CE13" s="2022"/>
      <c r="CF13" s="1989"/>
      <c r="CG13" s="2316"/>
      <c r="CI13" s="2457" t="s">
        <v>4396</v>
      </c>
      <c r="CJ13" s="1989"/>
      <c r="CK13" s="2022"/>
      <c r="CL13" s="2025"/>
      <c r="CM13" s="1989"/>
      <c r="CN13" s="2316"/>
      <c r="CP13" s="2457" t="s">
        <v>4396</v>
      </c>
      <c r="CQ13" s="2431"/>
      <c r="CR13" s="2496"/>
      <c r="CS13" s="2431"/>
      <c r="CT13" s="2432"/>
      <c r="CU13" s="150"/>
      <c r="CV13" s="2457" t="s">
        <v>4396</v>
      </c>
      <c r="CW13" s="1994"/>
      <c r="CX13" s="2022"/>
      <c r="CY13" s="1989"/>
      <c r="CZ13" s="2316"/>
      <c r="DA13" s="150"/>
      <c r="DC13" s="2457" t="s">
        <v>4396</v>
      </c>
      <c r="DD13" s="1989"/>
      <c r="DE13" s="2022"/>
      <c r="DF13" s="2025"/>
      <c r="DG13" s="1989"/>
      <c r="DH13" s="2300"/>
      <c r="DI13" s="150"/>
      <c r="DJ13" s="150"/>
    </row>
    <row r="14" spans="2:122" ht="21" customHeight="1" thickBot="1">
      <c r="B14" s="2290" t="s">
        <v>3534</v>
      </c>
      <c r="C14" s="2327">
        <f>C11-C13</f>
        <v>0</v>
      </c>
      <c r="D14" s="2328">
        <f>D11-D13</f>
        <v>0</v>
      </c>
      <c r="E14" s="2513"/>
      <c r="F14" s="2327">
        <f>F11-F13</f>
        <v>450.03649999999999</v>
      </c>
      <c r="G14" s="2329">
        <f>G11-G13</f>
        <v>463.79832499999998</v>
      </c>
      <c r="I14" s="2290" t="s">
        <v>3534</v>
      </c>
      <c r="J14" s="2327">
        <f>J11-J13</f>
        <v>0</v>
      </c>
      <c r="K14" s="2328">
        <f>K11-K13</f>
        <v>758.00299999999993</v>
      </c>
      <c r="L14" s="2513"/>
      <c r="M14" s="2505">
        <f>M11-M13</f>
        <v>2.1829999999999998</v>
      </c>
      <c r="N14" s="2303"/>
      <c r="P14" s="2290" t="s">
        <v>3534</v>
      </c>
      <c r="Q14" s="2327">
        <f t="shared" ref="Q14:T14" si="3">Q11-Q13</f>
        <v>0</v>
      </c>
      <c r="R14" s="2328">
        <f t="shared" si="3"/>
        <v>0</v>
      </c>
      <c r="S14" s="2327">
        <f t="shared" si="3"/>
        <v>11285.15</v>
      </c>
      <c r="T14" s="2303">
        <f t="shared" si="3"/>
        <v>11285.15</v>
      </c>
      <c r="V14" s="493"/>
      <c r="W14" s="2290" t="s">
        <v>3534</v>
      </c>
      <c r="X14" s="2253"/>
      <c r="Y14" s="2254">
        <f>Y11-Y13</f>
        <v>0</v>
      </c>
      <c r="Z14" s="2282">
        <f t="shared" ref="Z14:AB14" si="4">Z11-Z13</f>
        <v>0</v>
      </c>
      <c r="AA14" s="2254">
        <f t="shared" si="4"/>
        <v>144.85599999999999</v>
      </c>
      <c r="AB14" s="2255">
        <f t="shared" si="4"/>
        <v>144.85599999999999</v>
      </c>
      <c r="AC14" s="493"/>
      <c r="AD14" s="493"/>
      <c r="AE14" s="493"/>
      <c r="AF14" s="2290" t="s">
        <v>3534</v>
      </c>
      <c r="AG14" s="2327">
        <f t="shared" ref="AG14" si="5">AG11-AG13</f>
        <v>0</v>
      </c>
      <c r="AH14" s="2328">
        <f t="shared" ref="AH14" si="6">AH11-AH13</f>
        <v>0</v>
      </c>
      <c r="AI14" s="2327">
        <f t="shared" ref="AI14" si="7">AI11-AI13</f>
        <v>35.799999999999997</v>
      </c>
      <c r="AJ14" s="2329">
        <f t="shared" ref="AJ14" si="8">AJ11-AJ13</f>
        <v>35.799999999999997</v>
      </c>
      <c r="BA14" s="2290" t="s">
        <v>3534</v>
      </c>
      <c r="BB14" s="2327"/>
      <c r="BC14" s="2328">
        <f>BC11-BC13</f>
        <v>0</v>
      </c>
      <c r="BD14" s="2513"/>
      <c r="BE14" s="2327"/>
      <c r="BF14" s="2303"/>
      <c r="BL14" s="493"/>
      <c r="BM14" s="493"/>
      <c r="BN14" s="493"/>
      <c r="BO14" s="493"/>
      <c r="BP14" s="2290" t="s">
        <v>3534</v>
      </c>
      <c r="BQ14" s="2385"/>
      <c r="BR14" s="2328"/>
      <c r="BS14" s="2370"/>
      <c r="BT14" s="2327">
        <f>BT11-BT13</f>
        <v>0</v>
      </c>
      <c r="BU14" s="2329">
        <f>BU11-BU13</f>
        <v>0</v>
      </c>
      <c r="BV14" s="2384"/>
      <c r="BW14" s="2011"/>
      <c r="BX14" s="2016"/>
      <c r="BZ14" s="493"/>
      <c r="CA14" s="493"/>
      <c r="CB14" s="493"/>
      <c r="CC14" s="2458" t="s">
        <v>3534</v>
      </c>
      <c r="CD14" s="2317"/>
      <c r="CE14" s="2318"/>
      <c r="CF14" s="2317"/>
      <c r="CG14" s="2319"/>
      <c r="CI14" s="2458" t="s">
        <v>3534</v>
      </c>
      <c r="CJ14" s="2317"/>
      <c r="CK14" s="2318"/>
      <c r="CL14" s="2470"/>
      <c r="CM14" s="2317"/>
      <c r="CN14" s="2319"/>
      <c r="CO14" s="493"/>
      <c r="CP14" s="2458" t="s">
        <v>3534</v>
      </c>
      <c r="CQ14" s="2270"/>
      <c r="CR14" s="2497"/>
      <c r="CS14" s="2270"/>
      <c r="CT14" s="2434"/>
      <c r="CU14" s="150"/>
      <c r="CV14" s="2458" t="s">
        <v>3534</v>
      </c>
      <c r="CW14" s="2312"/>
      <c r="CX14" s="2318"/>
      <c r="CY14" s="2317"/>
      <c r="CZ14" s="2319"/>
      <c r="DA14" s="150"/>
      <c r="DC14" s="2458" t="s">
        <v>3534</v>
      </c>
      <c r="DD14" s="2317"/>
      <c r="DE14" s="2318"/>
      <c r="DF14" s="2470"/>
      <c r="DG14" s="2317"/>
      <c r="DH14" s="2329"/>
      <c r="DI14" s="150"/>
      <c r="DJ14" s="150"/>
      <c r="DM14" s="493"/>
      <c r="DN14" s="493"/>
      <c r="DO14" s="493"/>
      <c r="DP14" s="493"/>
      <c r="DQ14" s="493"/>
      <c r="DR14" s="493"/>
    </row>
    <row r="15" spans="2:122" ht="22.2" customHeight="1">
      <c r="B15" s="2291" t="s">
        <v>4397</v>
      </c>
      <c r="C15" s="2273">
        <f>SUM('+3 programa'!K14,'+3 programa'!K30,'+3 programa'!K43,'+3 programa'!K45,'+3 programa'!K73,'+3 programa'!K76)</f>
        <v>1542.9000000000003</v>
      </c>
      <c r="D15" s="2325">
        <f>SUM('+3 programa'!L14,'+3 programa'!L30,'+3 programa'!L43,'+3 programa'!L45,'+3 programa'!L51,'+3 programa'!L73,'+3 programa'!L76,'+3 programa'!L59,'+3 programa'!L15)</f>
        <v>1842.7700000000002</v>
      </c>
      <c r="E15" s="2511">
        <f>'+3 programa'!L15</f>
        <v>30</v>
      </c>
      <c r="F15" s="2273">
        <f>SUM('+3 programa'!O14,'+3 programa'!O30,'+3 programa'!O43,'+3 programa'!O45,'+3 programa'!O51,'+3 programa'!O73,'+3 programa'!O76)</f>
        <v>1905.9650000000001</v>
      </c>
      <c r="G15" s="2326">
        <f>SUM('+3 programa'!Q14,'+3 programa'!Q30,'+3 programa'!Q43,'+3 programa'!Q45,'+3 programa'!Q51,'+3 programa'!Q73,'+3 programa'!Q76)</f>
        <v>1994.0132500000002</v>
      </c>
      <c r="I15" s="2291" t="s">
        <v>4397</v>
      </c>
      <c r="J15" s="2273">
        <f>SUM('+3 programa'!K53)</f>
        <v>239.97500000000002</v>
      </c>
      <c r="K15" s="2325">
        <f>SUM('+3 programa'!L53)</f>
        <v>419.54500000000002</v>
      </c>
      <c r="L15" s="2511"/>
      <c r="M15" s="2339">
        <f>SUM('+3 programa'!O53)</f>
        <v>0</v>
      </c>
      <c r="N15" s="2322"/>
      <c r="P15" s="2291" t="s">
        <v>4397</v>
      </c>
      <c r="Q15" s="2273">
        <f>'+3 programa'!K16</f>
        <v>30.15</v>
      </c>
      <c r="R15" s="2325">
        <f>'+3 programa'!L16</f>
        <v>32.549999999999997</v>
      </c>
      <c r="S15" s="2273">
        <f>'+3 programa'!O16</f>
        <v>32.549999999999997</v>
      </c>
      <c r="T15" s="2326">
        <f>'+3 programa'!Q82</f>
        <v>32.549999999999997</v>
      </c>
      <c r="V15" s="150"/>
      <c r="W15" s="2291" t="s">
        <v>4397</v>
      </c>
      <c r="X15" s="2251"/>
      <c r="Y15" s="2249"/>
      <c r="Z15" s="2280">
        <f>SUM('+3 programa'!L17)</f>
        <v>48</v>
      </c>
      <c r="AA15" s="2249">
        <f>SUM('+3 programa'!L17)</f>
        <v>48</v>
      </c>
      <c r="AB15" s="2249">
        <f>SUM('+3 programa'!Q17)</f>
        <v>48</v>
      </c>
      <c r="AC15" s="150"/>
      <c r="AD15" s="150"/>
      <c r="AE15" s="150"/>
      <c r="AF15" s="2291" t="s">
        <v>4397</v>
      </c>
      <c r="AG15" s="2273"/>
      <c r="AH15" s="2325"/>
      <c r="AI15" s="2273"/>
      <c r="AJ15" s="2326"/>
      <c r="BA15" s="2291" t="s">
        <v>4397</v>
      </c>
      <c r="BB15" s="2273">
        <v>0</v>
      </c>
      <c r="BC15" s="2325">
        <v>0</v>
      </c>
      <c r="BD15" s="2511"/>
      <c r="BE15" s="2273">
        <v>0</v>
      </c>
      <c r="BF15" s="2326">
        <v>0</v>
      </c>
      <c r="BL15" s="150"/>
      <c r="BM15" s="150"/>
      <c r="BN15" s="150"/>
      <c r="BP15" s="2291" t="s">
        <v>4397</v>
      </c>
      <c r="BQ15" s="2308">
        <v>0</v>
      </c>
      <c r="BR15" s="2309">
        <v>0</v>
      </c>
      <c r="BS15" s="2408"/>
      <c r="BT15" s="2308">
        <v>0</v>
      </c>
      <c r="BU15" s="2310">
        <v>0</v>
      </c>
      <c r="BV15" s="2383">
        <v>0</v>
      </c>
      <c r="BW15" s="2000">
        <v>0</v>
      </c>
      <c r="BX15" s="113"/>
      <c r="BZ15" s="150"/>
      <c r="CA15" s="150"/>
      <c r="CB15" s="150"/>
      <c r="CC15" s="2456" t="s">
        <v>4397</v>
      </c>
      <c r="CD15" s="2273">
        <f>SUM('+3 programa'!K55,)</f>
        <v>23.436</v>
      </c>
      <c r="CE15" s="2325">
        <f>SUM('+3 programa'!L55,)</f>
        <v>0</v>
      </c>
      <c r="CF15" s="2273">
        <f>SUM('+3 programa'!O55,)</f>
        <v>0</v>
      </c>
      <c r="CG15" s="2326">
        <f>SUM('+3 programa'!P55,)</f>
        <v>0</v>
      </c>
      <c r="CI15" s="2456" t="s">
        <v>4397</v>
      </c>
      <c r="CJ15" s="2308"/>
      <c r="CK15" s="2309"/>
      <c r="CL15" s="2408"/>
      <c r="CM15" s="2308"/>
      <c r="CN15" s="2310"/>
      <c r="CO15" s="150"/>
      <c r="CP15" s="2456" t="s">
        <v>4397</v>
      </c>
      <c r="CQ15" s="2482"/>
      <c r="CR15" s="2495"/>
      <c r="CS15" s="2482"/>
      <c r="CT15" s="2437"/>
      <c r="CU15" s="150"/>
      <c r="CV15" s="2456" t="s">
        <v>4397</v>
      </c>
      <c r="CW15" s="2305"/>
      <c r="CX15" s="2325">
        <f>SUM('+3 programa'!L62)</f>
        <v>80.198999999999998</v>
      </c>
      <c r="CY15" s="2308"/>
      <c r="CZ15" s="2310"/>
      <c r="DA15" s="150"/>
      <c r="DC15" s="2456" t="s">
        <v>4397</v>
      </c>
      <c r="DD15" s="2273">
        <f>SUM(C15,J15,Q15,Y15,AG15,BB15,BQ15,CD15,CW15)</f>
        <v>1836.4610000000005</v>
      </c>
      <c r="DE15" s="2325">
        <f>SUM(D15,K15,R15,Z15,AH15,BC15,BR15,CE15,CK15,CR15,CX15,)</f>
        <v>2423.0640000000003</v>
      </c>
      <c r="DF15" s="2368"/>
      <c r="DG15" s="2273">
        <f>SUM(F15,M15,S15,AA15,AI15,BE15,BS15,CF15,CL15,CS15,CY15,)</f>
        <v>1986.5150000000001</v>
      </c>
      <c r="DH15" s="2273">
        <f>SUM(G15,N15,T15,AB15,AJ15,BF15,BT15,CG15,CM15,CT15,CZ15,)</f>
        <v>2074.5632500000002</v>
      </c>
      <c r="DI15" s="150"/>
      <c r="DJ15" s="150"/>
      <c r="DL15" s="150"/>
      <c r="DM15" s="150"/>
      <c r="DN15" s="150"/>
      <c r="DO15" s="150"/>
    </row>
    <row r="16" spans="2:122" ht="22.2" hidden="1" customHeight="1">
      <c r="B16" s="2289"/>
      <c r="C16" s="1990"/>
      <c r="D16" s="2023"/>
      <c r="E16" s="2512"/>
      <c r="F16" s="1990"/>
      <c r="G16" s="2300"/>
      <c r="I16" s="2289"/>
      <c r="J16" s="1990"/>
      <c r="K16" s="2024"/>
      <c r="L16" s="2512"/>
      <c r="M16" s="2000"/>
      <c r="N16" s="2307"/>
      <c r="P16" s="2289"/>
      <c r="Q16" s="1990"/>
      <c r="R16" s="2024"/>
      <c r="S16" s="1990"/>
      <c r="T16" s="2307"/>
      <c r="V16" s="150"/>
      <c r="W16" s="2289"/>
      <c r="X16" s="2009"/>
      <c r="Y16" s="2003"/>
      <c r="Z16" s="2281"/>
      <c r="AA16" s="2003"/>
      <c r="AB16" s="2244"/>
      <c r="AC16" s="150"/>
      <c r="AD16" s="150"/>
      <c r="AE16" s="150"/>
      <c r="AF16" s="2289"/>
      <c r="AG16" s="1989"/>
      <c r="AH16" s="2022"/>
      <c r="AI16" s="1989"/>
      <c r="AJ16" s="2316"/>
      <c r="BA16" s="2289"/>
      <c r="BB16" s="1990"/>
      <c r="BC16" s="2024"/>
      <c r="BD16" s="2512"/>
      <c r="BE16" s="1990"/>
      <c r="BF16" s="2369"/>
      <c r="BL16" s="150"/>
      <c r="BM16" s="150"/>
      <c r="BN16" s="150"/>
      <c r="BP16" s="2289"/>
      <c r="BQ16" s="1990"/>
      <c r="BR16" s="2024"/>
      <c r="BS16" s="809"/>
      <c r="BT16" s="1990"/>
      <c r="BU16" s="2300"/>
      <c r="BV16" s="2383"/>
      <c r="BW16" s="2000"/>
      <c r="BX16" s="113"/>
      <c r="BZ16" s="150"/>
      <c r="CA16" s="150"/>
      <c r="CB16" s="150"/>
      <c r="CC16" s="2457"/>
      <c r="CD16" s="1989"/>
      <c r="CE16" s="2022"/>
      <c r="CF16" s="1989"/>
      <c r="CG16" s="2316"/>
      <c r="CI16" s="2457"/>
      <c r="CJ16" s="1990"/>
      <c r="CK16" s="2024"/>
      <c r="CL16" s="809"/>
      <c r="CM16" s="1990"/>
      <c r="CN16" s="2300"/>
      <c r="CO16" s="150"/>
      <c r="CP16" s="2457"/>
      <c r="CQ16" s="2431"/>
      <c r="CR16" s="2496"/>
      <c r="CS16" s="2431"/>
      <c r="CT16" s="2432"/>
      <c r="CU16" s="150"/>
      <c r="CV16" s="2457"/>
      <c r="CW16" s="1995"/>
      <c r="CX16" s="2024"/>
      <c r="CY16" s="1995"/>
      <c r="CZ16" s="2307"/>
      <c r="DA16" s="150"/>
      <c r="DC16" s="2457"/>
      <c r="DD16" s="1989"/>
      <c r="DE16" s="2022"/>
      <c r="DF16" s="2025"/>
      <c r="DG16" s="1989"/>
      <c r="DH16" s="2300"/>
      <c r="DI16" s="150"/>
      <c r="DJ16" s="150"/>
      <c r="DM16" s="150"/>
      <c r="DN16" s="150"/>
      <c r="DO16" s="150"/>
    </row>
    <row r="17" spans="2:122" ht="26.4" customHeight="1">
      <c r="B17" s="2289" t="s">
        <v>4398</v>
      </c>
      <c r="C17" s="1990">
        <v>1542.9</v>
      </c>
      <c r="D17" s="2024">
        <v>1842.77</v>
      </c>
      <c r="E17" s="2512"/>
      <c r="F17" s="1990"/>
      <c r="G17" s="2300"/>
      <c r="I17" s="2289" t="s">
        <v>4398</v>
      </c>
      <c r="J17" s="1990">
        <v>239.97499999999999</v>
      </c>
      <c r="K17" s="2024">
        <f>SUM('+3 programa'!L55)</f>
        <v>0</v>
      </c>
      <c r="L17" s="2512"/>
      <c r="M17" s="2000">
        <f>SUM('+3 programa'!O55)</f>
        <v>0</v>
      </c>
      <c r="N17" s="2307"/>
      <c r="P17" s="2289" t="s">
        <v>4398</v>
      </c>
      <c r="Q17" s="1990">
        <v>30.15</v>
      </c>
      <c r="R17" s="2024">
        <v>32.549999999999997</v>
      </c>
      <c r="S17" s="1989"/>
      <c r="T17" s="2307"/>
      <c r="V17" s="151"/>
      <c r="W17" s="2289" t="s">
        <v>4398</v>
      </c>
      <c r="X17" s="2010"/>
      <c r="Y17" s="2240"/>
      <c r="Z17" s="2281">
        <v>48</v>
      </c>
      <c r="AA17" s="2240"/>
      <c r="AB17" s="2244"/>
      <c r="AC17" s="151"/>
      <c r="AD17" s="150"/>
      <c r="AE17" s="150"/>
      <c r="AF17" s="2289" t="s">
        <v>4398</v>
      </c>
      <c r="AG17" s="1989"/>
      <c r="AH17" s="2022"/>
      <c r="AI17" s="1989"/>
      <c r="AJ17" s="2316"/>
      <c r="BA17" s="2289" t="s">
        <v>4398</v>
      </c>
      <c r="BB17" s="1990"/>
      <c r="BC17" s="2024"/>
      <c r="BD17" s="2512"/>
      <c r="BE17" s="1990"/>
      <c r="BF17" s="2369"/>
      <c r="BL17" s="151"/>
      <c r="BM17" s="150"/>
      <c r="BN17" s="150"/>
      <c r="BO17" s="493"/>
      <c r="BP17" s="2289" t="s">
        <v>4398</v>
      </c>
      <c r="BQ17" s="2002"/>
      <c r="BR17" s="2403"/>
      <c r="BS17" s="2409"/>
      <c r="BT17" s="2002"/>
      <c r="BU17" s="2387"/>
      <c r="BV17" s="2384"/>
      <c r="BW17" s="2011"/>
      <c r="BX17" s="2016"/>
      <c r="BZ17" s="151"/>
      <c r="CA17" s="150"/>
      <c r="CB17" s="150"/>
      <c r="CC17" s="2457" t="s">
        <v>4398</v>
      </c>
      <c r="CD17" s="1989"/>
      <c r="CE17" s="2022"/>
      <c r="CF17" s="1989"/>
      <c r="CG17" s="2316"/>
      <c r="CI17" s="2457" t="s">
        <v>4398</v>
      </c>
      <c r="CJ17" s="1990"/>
      <c r="CK17" s="2024"/>
      <c r="CL17" s="809"/>
      <c r="CM17" s="1990"/>
      <c r="CN17" s="2300"/>
      <c r="CO17" s="151"/>
      <c r="CP17" s="2457" t="s">
        <v>4398</v>
      </c>
      <c r="CQ17" s="2431"/>
      <c r="CR17" s="2496"/>
      <c r="CS17" s="2431"/>
      <c r="CT17" s="2432"/>
      <c r="CU17" s="150"/>
      <c r="CV17" s="2457" t="s">
        <v>4398</v>
      </c>
      <c r="CW17" s="1995"/>
      <c r="CX17" s="2028"/>
      <c r="CY17" s="1995"/>
      <c r="CZ17" s="2307"/>
      <c r="DA17" s="150"/>
      <c r="DC17" s="2457" t="s">
        <v>4398</v>
      </c>
      <c r="DD17" s="1989"/>
      <c r="DE17" s="2022"/>
      <c r="DF17" s="2025"/>
      <c r="DG17" s="1989"/>
      <c r="DH17" s="2300"/>
      <c r="DI17" s="150"/>
      <c r="DJ17" s="150"/>
      <c r="DM17" s="151"/>
      <c r="DN17" s="150"/>
      <c r="DO17" s="150"/>
      <c r="DP17" s="493"/>
      <c r="DQ17" s="151"/>
      <c r="DR17" s="151"/>
    </row>
    <row r="18" spans="2:122" ht="27" customHeight="1" thickBot="1">
      <c r="B18" s="2290" t="s">
        <v>3534</v>
      </c>
      <c r="C18" s="2327">
        <f>C15-C17</f>
        <v>0</v>
      </c>
      <c r="D18" s="2328">
        <f>D15-D17</f>
        <v>0</v>
      </c>
      <c r="E18" s="2513"/>
      <c r="F18" s="2327">
        <f>F15-F17</f>
        <v>1905.9650000000001</v>
      </c>
      <c r="G18" s="2329">
        <f>G15-G17</f>
        <v>1994.0132500000002</v>
      </c>
      <c r="I18" s="2290" t="s">
        <v>3534</v>
      </c>
      <c r="J18" s="2327">
        <f>J15-J17</f>
        <v>0</v>
      </c>
      <c r="K18" s="2328">
        <f>K15-K17</f>
        <v>419.54500000000002</v>
      </c>
      <c r="L18" s="2513"/>
      <c r="M18" s="2505">
        <f>M15-M17</f>
        <v>0</v>
      </c>
      <c r="N18" s="2303"/>
      <c r="P18" s="2290" t="s">
        <v>3534</v>
      </c>
      <c r="Q18" s="2327">
        <f t="shared" ref="Q18" si="9">Q15-Q17</f>
        <v>0</v>
      </c>
      <c r="R18" s="2328">
        <f t="shared" ref="R18" si="10">R15-R17</f>
        <v>0</v>
      </c>
      <c r="S18" s="2327">
        <f t="shared" ref="S18" si="11">S15-S17</f>
        <v>32.549999999999997</v>
      </c>
      <c r="T18" s="2303">
        <f t="shared" ref="T18" si="12">T15-T17</f>
        <v>32.549999999999997</v>
      </c>
      <c r="V18" s="150"/>
      <c r="W18" s="2290" t="s">
        <v>3534</v>
      </c>
      <c r="X18" s="2253"/>
      <c r="Y18" s="2254">
        <f>Y15-Y17</f>
        <v>0</v>
      </c>
      <c r="Z18" s="2282">
        <f t="shared" ref="Z18" si="13">Z15-Z17</f>
        <v>0</v>
      </c>
      <c r="AA18" s="2254">
        <f t="shared" ref="AA18" si="14">AA15-AA17</f>
        <v>48</v>
      </c>
      <c r="AB18" s="2255">
        <f t="shared" ref="AB18" si="15">AB15-AB17</f>
        <v>48</v>
      </c>
      <c r="AC18" s="150"/>
      <c r="AD18" s="150"/>
      <c r="AE18" s="150"/>
      <c r="AF18" s="2290" t="s">
        <v>3534</v>
      </c>
      <c r="AG18" s="2317"/>
      <c r="AH18" s="2318"/>
      <c r="AI18" s="2317"/>
      <c r="AJ18" s="2319"/>
      <c r="BA18" s="2290" t="s">
        <v>3534</v>
      </c>
      <c r="BB18" s="2327"/>
      <c r="BC18" s="2328"/>
      <c r="BD18" s="2513"/>
      <c r="BE18" s="2327"/>
      <c r="BF18" s="2371"/>
      <c r="BL18" s="150"/>
      <c r="BM18" s="150"/>
      <c r="BN18" s="150"/>
      <c r="BP18" s="2290" t="s">
        <v>3534</v>
      </c>
      <c r="BQ18" s="2385"/>
      <c r="BR18" s="2402"/>
      <c r="BS18" s="2407"/>
      <c r="BT18" s="2385"/>
      <c r="BU18" s="2386"/>
      <c r="BV18" s="2384"/>
      <c r="BW18" s="2011"/>
      <c r="BX18" s="2016"/>
      <c r="BZ18" s="150"/>
      <c r="CA18" s="150"/>
      <c r="CB18" s="150"/>
      <c r="CC18" s="2458" t="s">
        <v>3534</v>
      </c>
      <c r="CD18" s="2317"/>
      <c r="CE18" s="2318"/>
      <c r="CF18" s="2317"/>
      <c r="CG18" s="2319"/>
      <c r="CI18" s="2458" t="s">
        <v>3534</v>
      </c>
      <c r="CJ18" s="2327"/>
      <c r="CK18" s="2328"/>
      <c r="CL18" s="2370"/>
      <c r="CM18" s="2327"/>
      <c r="CN18" s="2329"/>
      <c r="CO18" s="150"/>
      <c r="CP18" s="2458" t="s">
        <v>3534</v>
      </c>
      <c r="CQ18" s="2270"/>
      <c r="CR18" s="2497"/>
      <c r="CS18" s="2270"/>
      <c r="CT18" s="2434"/>
      <c r="CU18" s="150"/>
      <c r="CV18" s="2458" t="s">
        <v>3534</v>
      </c>
      <c r="CW18" s="2301"/>
      <c r="CX18" s="2302"/>
      <c r="CY18" s="2301"/>
      <c r="CZ18" s="2303"/>
      <c r="DA18" s="150"/>
      <c r="DC18" s="2458" t="s">
        <v>3534</v>
      </c>
      <c r="DD18" s="2317"/>
      <c r="DE18" s="2318"/>
      <c r="DF18" s="2470"/>
      <c r="DG18" s="2317"/>
      <c r="DH18" s="2329"/>
      <c r="DI18" s="150"/>
      <c r="DJ18" s="150"/>
      <c r="DM18" s="150"/>
      <c r="DN18" s="150"/>
      <c r="DO18" s="150"/>
      <c r="DQ18" s="151"/>
      <c r="DR18" s="151"/>
    </row>
    <row r="19" spans="2:122" ht="25.2" customHeight="1">
      <c r="B19" s="2291" t="s">
        <v>4399</v>
      </c>
      <c r="C19" s="2273">
        <f>SUM('4 programa'!K37,'4 programa'!K42,'4 programa'!K50,'4 programa'!K55,'4 programa'!K59,'4 programa'!K64,'4 programa'!K68,'4 programa'!K73,'4 programa'!K77,'4 programa'!K84,'4 programa'!K91,'4 programa'!K95,'4 programa'!K101,'4 programa'!K107,'4 programa'!K115,)</f>
        <v>474.84999999999997</v>
      </c>
      <c r="D19" s="2325">
        <f>SUM('4 programa'!L37,'4 programa'!L42,'4 programa'!L50,'4 programa'!L55,'4 programa'!L59,'4 programa'!L64,'4 programa'!L68,'4 programa'!L73,'4 programa'!L77,'4 programa'!L84,'4 programa'!L91,'4 programa'!L95,'4 programa'!L101,'4 programa'!L107,'4 programa'!L115,)</f>
        <v>586.85</v>
      </c>
      <c r="E19" s="2511"/>
      <c r="F19" s="2273">
        <f>SUM('4 programa'!O37,'4 programa'!O42,'4 programa'!O50,'4 programa'!O55,'4 programa'!O59,'4 programa'!O64,'4 programa'!O68,'4 programa'!O73,'4 programa'!O77,'4 programa'!O91,'4 programa'!O95,'4 programa'!O101,'4 programa'!O107,'4 programa'!O115)</f>
        <v>615.03000000000009</v>
      </c>
      <c r="G19" s="2326">
        <f>SUM('4 programa'!Q37,'4 programa'!Q42,'4 programa'!Q50,'4 programa'!Q55,'4 programa'!Q59,'4 programa'!Q64,'4 programa'!Q68,'4 programa'!Q74,'4 programa'!Q77,'4 programa'!Q91,'4 programa'!Q95,'4 programa'!Q101,'4 programa'!Q107,'4 programa'!Q115)</f>
        <v>727.9325</v>
      </c>
      <c r="I19" s="2291" t="s">
        <v>4399</v>
      </c>
      <c r="J19" s="2273"/>
      <c r="K19" s="2325"/>
      <c r="L19" s="2511"/>
      <c r="M19" s="2339"/>
      <c r="N19" s="2322"/>
      <c r="P19" s="2291" t="s">
        <v>4399</v>
      </c>
      <c r="Q19" s="2308"/>
      <c r="R19" s="2309"/>
      <c r="S19" s="2308"/>
      <c r="T19" s="2306"/>
      <c r="W19" s="2291" t="s">
        <v>4399</v>
      </c>
      <c r="X19" s="2251"/>
      <c r="Y19" s="2248">
        <f>SUM('4 programa'!K20)</f>
        <v>25.276</v>
      </c>
      <c r="Z19" s="2280">
        <f>SUM('4 programa'!L20)</f>
        <v>23.692</v>
      </c>
      <c r="AA19" s="2249">
        <f>SUM('4 programa'!O20)</f>
        <v>23.692</v>
      </c>
      <c r="AB19" s="2252">
        <f>SUM('4 programa'!Q20)</f>
        <v>23.692</v>
      </c>
      <c r="AF19" s="2291" t="s">
        <v>4399</v>
      </c>
      <c r="AG19" s="2320"/>
      <c r="AH19" s="2321"/>
      <c r="AI19" s="2320"/>
      <c r="AJ19" s="2322"/>
      <c r="BA19" s="2291" t="s">
        <v>4399</v>
      </c>
      <c r="BB19" s="2273">
        <f>SUM('4 programa'!K17)</f>
        <v>1654.5900000000001</v>
      </c>
      <c r="BC19" s="2325">
        <f>SUM('4 programa'!L17)</f>
        <v>1912.3500000000001</v>
      </c>
      <c r="BD19" s="2511"/>
      <c r="BE19" s="2273">
        <f>SUM('4 programa'!O17)</f>
        <v>2007.9675000000002</v>
      </c>
      <c r="BF19" s="2326">
        <f>'4 programa'!Q17</f>
        <v>2108.3658750000004</v>
      </c>
      <c r="BP19" s="2291" t="s">
        <v>4399</v>
      </c>
      <c r="BQ19" s="2308">
        <f>SUM('4 programa'!K18)</f>
        <v>48.9</v>
      </c>
      <c r="BR19" s="2325">
        <f>SUM('4 programa'!L18,'4 programa'!L19)</f>
        <v>63.650999999999996</v>
      </c>
      <c r="BS19" s="2368">
        <f>'4 programa'!L19</f>
        <v>1E-3</v>
      </c>
      <c r="BT19" s="2273">
        <f>SUM('4 programa'!O18)</f>
        <v>66.650000000000006</v>
      </c>
      <c r="BU19" s="2326">
        <f>'4 programa'!Q125</f>
        <v>69.97</v>
      </c>
      <c r="BV19" s="2383">
        <v>0</v>
      </c>
      <c r="BW19" s="2000">
        <f>BQ19+BV19</f>
        <v>48.9</v>
      </c>
      <c r="BX19" s="113"/>
      <c r="CC19" s="2456" t="s">
        <v>4399</v>
      </c>
      <c r="CD19" s="2273">
        <v>0</v>
      </c>
      <c r="CE19" s="2325">
        <v>0</v>
      </c>
      <c r="CF19" s="2273">
        <v>0</v>
      </c>
      <c r="CG19" s="2326">
        <v>0</v>
      </c>
      <c r="CI19" s="2456" t="s">
        <v>4399</v>
      </c>
      <c r="CJ19" s="2308"/>
      <c r="CK19" s="2309"/>
      <c r="CL19" s="2408"/>
      <c r="CM19" s="2308"/>
      <c r="CN19" s="2310"/>
      <c r="CP19" s="2456" t="s">
        <v>4399</v>
      </c>
      <c r="CQ19" s="2482"/>
      <c r="CR19" s="2495"/>
      <c r="CS19" s="2482"/>
      <c r="CT19" s="2437"/>
      <c r="CU19" s="150"/>
      <c r="CV19" s="2456" t="s">
        <v>4399</v>
      </c>
      <c r="CW19" s="2273">
        <f>SUM('4 programa'!K22)</f>
        <v>34</v>
      </c>
      <c r="CX19" s="2325">
        <f>SUM('4 programa'!L22)</f>
        <v>26</v>
      </c>
      <c r="CY19" s="2273">
        <f>SUM('4 programa'!O22)</f>
        <v>26</v>
      </c>
      <c r="CZ19" s="2273">
        <f>SUM('4 programa'!Q22)</f>
        <v>26.6</v>
      </c>
      <c r="DA19" s="150"/>
      <c r="DC19" s="2456" t="s">
        <v>4399</v>
      </c>
      <c r="DD19" s="2273">
        <f>SUM(C19,J19,Q19,Y19,AG19,BB19,BQ19,CD19,CJ19,CQ19,CW19,)</f>
        <v>2237.6160000000004</v>
      </c>
      <c r="DE19" s="2325">
        <f>SUM(D19,K19,R19,Z19,AH19,BC19,BR19,CE19,CK19,CR19,CX19)</f>
        <v>2612.5430000000001</v>
      </c>
      <c r="DF19" s="2368"/>
      <c r="DG19" s="2273">
        <f>SUM(F19,M19,S19,AA19,AI19,BE19,CF19,CL19,CS19,CY19,BT21)</f>
        <v>2739.3395000000005</v>
      </c>
      <c r="DH19" s="2273">
        <f>SUM(G19,N19,T19,AB19,AJ19,BF19,CG19,CM19,CT19,CZ19,BU21)</f>
        <v>2956.560375</v>
      </c>
      <c r="DI19" s="150"/>
      <c r="DJ19" s="150"/>
      <c r="DM19" s="150"/>
    </row>
    <row r="20" spans="2:122" ht="25.2" hidden="1" customHeight="1">
      <c r="B20" s="2289"/>
      <c r="C20" s="1990"/>
      <c r="D20" s="2023"/>
      <c r="E20" s="2514"/>
      <c r="F20" s="1990"/>
      <c r="G20" s="2300"/>
      <c r="I20" s="2289"/>
      <c r="J20" s="1989"/>
      <c r="K20" s="2022"/>
      <c r="L20" s="2514"/>
      <c r="M20" s="1999"/>
      <c r="N20" s="2307"/>
      <c r="P20" s="2289"/>
      <c r="Q20" s="1990"/>
      <c r="R20" s="2024"/>
      <c r="S20" s="1990"/>
      <c r="T20" s="2307"/>
      <c r="W20" s="2289"/>
      <c r="X20" s="2009"/>
      <c r="Y20" s="2004"/>
      <c r="Z20" s="2281"/>
      <c r="AA20" s="2003"/>
      <c r="AB20" s="2244"/>
      <c r="AF20" s="2289"/>
      <c r="AG20" s="1994"/>
      <c r="AH20" s="2295"/>
      <c r="AI20" s="1994"/>
      <c r="AJ20" s="2311"/>
      <c r="BA20" s="2289"/>
      <c r="BB20" s="1990"/>
      <c r="BC20" s="2024"/>
      <c r="BD20" s="2514"/>
      <c r="BE20" s="1990"/>
      <c r="BF20" s="2369"/>
      <c r="BP20" s="2289"/>
      <c r="BQ20" s="1990"/>
      <c r="BR20" s="2024"/>
      <c r="BS20" s="809"/>
      <c r="BT20" s="1990"/>
      <c r="BU20" s="2300"/>
      <c r="BV20" s="2383"/>
      <c r="BW20" s="2000"/>
      <c r="BX20" s="113"/>
      <c r="CC20" s="2457"/>
      <c r="CD20" s="1989"/>
      <c r="CE20" s="2022"/>
      <c r="CF20" s="1989"/>
      <c r="CG20" s="2316"/>
      <c r="CI20" s="2457"/>
      <c r="CJ20" s="1990"/>
      <c r="CK20" s="2024"/>
      <c r="CL20" s="809"/>
      <c r="CM20" s="1990"/>
      <c r="CN20" s="2300"/>
      <c r="CP20" s="2457"/>
      <c r="CQ20" s="2431"/>
      <c r="CR20" s="2496"/>
      <c r="CS20" s="2431"/>
      <c r="CT20" s="2432"/>
      <c r="CU20" s="150"/>
      <c r="CV20" s="2457"/>
      <c r="CW20" s="1989"/>
      <c r="CX20" s="2022"/>
      <c r="CY20" s="1989"/>
      <c r="CZ20" s="2316"/>
      <c r="DA20" s="150"/>
      <c r="DC20" s="2457"/>
      <c r="DD20" s="1989"/>
      <c r="DE20" s="2022"/>
      <c r="DF20" s="2025"/>
      <c r="DG20" s="1989"/>
      <c r="DH20" s="2300"/>
      <c r="DI20" s="150"/>
      <c r="DJ20" s="150"/>
    </row>
    <row r="21" spans="2:122" ht="26.4" customHeight="1">
      <c r="B21" s="2289" t="s">
        <v>4400</v>
      </c>
      <c r="C21" s="1990">
        <v>474.85</v>
      </c>
      <c r="D21" s="2024">
        <v>585.85</v>
      </c>
      <c r="E21" s="2514"/>
      <c r="F21" s="1990"/>
      <c r="G21" s="2300"/>
      <c r="I21" s="2289" t="s">
        <v>4400</v>
      </c>
      <c r="J21" s="1989"/>
      <c r="K21" s="2022"/>
      <c r="L21" s="2514"/>
      <c r="M21" s="1999"/>
      <c r="N21" s="2307"/>
      <c r="P21" s="2289" t="s">
        <v>4400</v>
      </c>
      <c r="Q21" s="1990"/>
      <c r="R21" s="2024"/>
      <c r="S21" s="1990"/>
      <c r="T21" s="2307"/>
      <c r="W21" s="2289" t="s">
        <v>4400</v>
      </c>
      <c r="X21" s="2009"/>
      <c r="Y21" s="2004">
        <v>25.276</v>
      </c>
      <c r="Z21" s="2281">
        <v>23.692</v>
      </c>
      <c r="AA21" s="2240"/>
      <c r="AB21" s="2244"/>
      <c r="AF21" s="2289" t="s">
        <v>4400</v>
      </c>
      <c r="AG21" s="1994"/>
      <c r="AH21" s="2295"/>
      <c r="AI21" s="1994"/>
      <c r="AJ21" s="2311"/>
      <c r="BA21" s="2289" t="s">
        <v>4400</v>
      </c>
      <c r="BB21" s="1990"/>
      <c r="BC21" s="2024">
        <v>1912.35</v>
      </c>
      <c r="BD21" s="2514"/>
      <c r="BE21" s="1990"/>
      <c r="BF21" s="2369"/>
      <c r="BP21" s="2289" t="s">
        <v>4400</v>
      </c>
      <c r="BQ21" s="2002"/>
      <c r="BR21" s="2024">
        <v>63.65</v>
      </c>
      <c r="BS21" s="809">
        <v>1E-3</v>
      </c>
      <c r="BT21" s="1990">
        <v>66.650000000000006</v>
      </c>
      <c r="BU21" s="2300">
        <v>69.97</v>
      </c>
      <c r="BV21" s="2384"/>
      <c r="BW21" s="2011"/>
      <c r="BX21" s="2016"/>
      <c r="CC21" s="2457" t="s">
        <v>4400</v>
      </c>
      <c r="CD21" s="1989"/>
      <c r="CE21" s="2022"/>
      <c r="CF21" s="1989"/>
      <c r="CG21" s="2316"/>
      <c r="CI21" s="2457" t="s">
        <v>4400</v>
      </c>
      <c r="CJ21" s="1990"/>
      <c r="CK21" s="2024"/>
      <c r="CL21" s="809"/>
      <c r="CM21" s="1990"/>
      <c r="CN21" s="2300"/>
      <c r="CP21" s="2457" t="s">
        <v>4400</v>
      </c>
      <c r="CQ21" s="2431"/>
      <c r="CR21" s="2496"/>
      <c r="CS21" s="2431"/>
      <c r="CT21" s="2432"/>
      <c r="CU21" s="150"/>
      <c r="CV21" s="2457" t="s">
        <v>4400</v>
      </c>
      <c r="CW21" s="1989"/>
      <c r="CX21" s="2022"/>
      <c r="CY21" s="1989"/>
      <c r="CZ21" s="2316"/>
      <c r="DA21" s="150"/>
      <c r="DC21" s="2457" t="s">
        <v>4400</v>
      </c>
      <c r="DD21" s="1989"/>
      <c r="DE21" s="2022"/>
      <c r="DF21" s="2025"/>
      <c r="DG21" s="1989"/>
      <c r="DH21" s="2300"/>
      <c r="DI21" s="150"/>
      <c r="DJ21" s="150"/>
    </row>
    <row r="22" spans="2:122" ht="22.8" customHeight="1" thickBot="1">
      <c r="B22" s="2290" t="s">
        <v>3534</v>
      </c>
      <c r="C22" s="2327">
        <f>C19-C21</f>
        <v>0</v>
      </c>
      <c r="D22" s="2328">
        <f>D19-D21</f>
        <v>1</v>
      </c>
      <c r="E22" s="2515"/>
      <c r="F22" s="2327">
        <f>F19-F21</f>
        <v>615.03000000000009</v>
      </c>
      <c r="G22" s="2329">
        <f>G19-G21</f>
        <v>727.9325</v>
      </c>
      <c r="I22" s="2290" t="s">
        <v>3534</v>
      </c>
      <c r="J22" s="2317"/>
      <c r="K22" s="2318"/>
      <c r="L22" s="2515"/>
      <c r="M22" s="2506"/>
      <c r="N22" s="2303"/>
      <c r="P22" s="2290" t="s">
        <v>3534</v>
      </c>
      <c r="Q22" s="2327"/>
      <c r="R22" s="2328"/>
      <c r="S22" s="2327"/>
      <c r="T22" s="2303"/>
      <c r="V22" s="161"/>
      <c r="W22" s="2290" t="s">
        <v>3534</v>
      </c>
      <c r="X22" s="2256"/>
      <c r="Y22" s="2254">
        <f t="shared" ref="Y22:AB22" si="16">Y19-Y21</f>
        <v>0</v>
      </c>
      <c r="Z22" s="2282">
        <f t="shared" si="16"/>
        <v>0</v>
      </c>
      <c r="AA22" s="2254">
        <f t="shared" si="16"/>
        <v>23.692</v>
      </c>
      <c r="AB22" s="2247">
        <f t="shared" si="16"/>
        <v>23.692</v>
      </c>
      <c r="AC22" s="161"/>
      <c r="AF22" s="2290" t="s">
        <v>3534</v>
      </c>
      <c r="AG22" s="2312"/>
      <c r="AH22" s="2313"/>
      <c r="AI22" s="2312"/>
      <c r="AJ22" s="2314"/>
      <c r="BA22" s="2290" t="s">
        <v>3534</v>
      </c>
      <c r="BB22" s="2327"/>
      <c r="BC22" s="2328">
        <f>BC19-BC21</f>
        <v>0</v>
      </c>
      <c r="BD22" s="2515"/>
      <c r="BE22" s="2327"/>
      <c r="BF22" s="2371"/>
      <c r="BL22" s="161"/>
      <c r="BO22" s="161"/>
      <c r="BP22" s="2290" t="s">
        <v>3534</v>
      </c>
      <c r="BQ22" s="2385"/>
      <c r="BR22" s="2328"/>
      <c r="BS22" s="2370"/>
      <c r="BT22" s="2327">
        <f t="shared" ref="BT22:BU22" si="17">BT21-BT19</f>
        <v>0</v>
      </c>
      <c r="BU22" s="2329">
        <f t="shared" si="17"/>
        <v>0</v>
      </c>
      <c r="BV22" s="2384"/>
      <c r="BW22" s="2011"/>
      <c r="BX22" s="2016"/>
      <c r="BZ22" s="161"/>
      <c r="CC22" s="2458" t="s">
        <v>3534</v>
      </c>
      <c r="CD22" s="2317"/>
      <c r="CE22" s="2318"/>
      <c r="CF22" s="2317"/>
      <c r="CG22" s="2319"/>
      <c r="CI22" s="2458" t="s">
        <v>3534</v>
      </c>
      <c r="CJ22" s="2327"/>
      <c r="CK22" s="2328"/>
      <c r="CL22" s="2370"/>
      <c r="CM22" s="2327"/>
      <c r="CN22" s="2329"/>
      <c r="CO22" s="161"/>
      <c r="CP22" s="2458" t="s">
        <v>3534</v>
      </c>
      <c r="CQ22" s="2270"/>
      <c r="CR22" s="2497"/>
      <c r="CS22" s="2270"/>
      <c r="CT22" s="2434"/>
      <c r="CU22" s="150"/>
      <c r="CV22" s="2458" t="s">
        <v>3534</v>
      </c>
      <c r="CW22" s="2317"/>
      <c r="CX22" s="2318"/>
      <c r="CY22" s="2317"/>
      <c r="CZ22" s="2319"/>
      <c r="DA22" s="150"/>
      <c r="DC22" s="2458" t="s">
        <v>3534</v>
      </c>
      <c r="DD22" s="2317"/>
      <c r="DE22" s="2318"/>
      <c r="DF22" s="2470"/>
      <c r="DG22" s="2317"/>
      <c r="DH22" s="2329"/>
      <c r="DI22" s="150"/>
      <c r="DJ22" s="150"/>
      <c r="DM22" s="161"/>
      <c r="DP22" s="161"/>
      <c r="DQ22" s="161"/>
      <c r="DR22" s="161"/>
    </row>
    <row r="23" spans="2:122" ht="24.6" customHeight="1">
      <c r="B23" s="2291" t="s">
        <v>4401</v>
      </c>
      <c r="C23" s="2273">
        <f>SUM('+5 programa'!K23,'+5 programa'!K26,'+5 programa'!K33,'+5 programa'!K36,'+5 programa'!K40,'+5 programa'!K43,'+5 programa'!K48,'+5 programa'!K50,'+5 programa'!K52,'+5 programa'!K54,'+5 programa'!K57,'+5 programa'!K59,'+5 programa'!K66,'+5 programa'!K68,'+5 programa'!K81,'+5 programa'!K94)</f>
        <v>626.46</v>
      </c>
      <c r="D23" s="2325">
        <f>SUM('+5 programa'!L23,'+5 programa'!L26,'+5 programa'!L33,'+5 programa'!L36,'+5 programa'!L40,'+5 programa'!L43,'+5 programa'!L45,'+5 programa'!L48,'+5 programa'!L50,'+5 programa'!L52,'+5 programa'!L54,'+5 programa'!L57,'+5 programa'!L59,'+5 programa'!L66,'+5 programa'!L70,'+5 programa'!L72,'+5 programa'!L74,'+5 programa'!L81,'+5 programa'!L94,'+5 programa'!L97,'+5 programa'!L100,'+5 programa'!L103,'+5 programa'!L41,'+5 programa'!L35,'+5 programa'!L60,)</f>
        <v>681.69</v>
      </c>
      <c r="E23" s="2511">
        <f>SUM('+5 programa'!L35,'+5 programa'!L41,'+5 programa'!L60)</f>
        <v>432.78999999999996</v>
      </c>
      <c r="F23" s="2273">
        <f>SUM('+5 programa'!O23,'+5 programa'!O26,'+5 programa'!O33,'+5 programa'!O36,'+5 programa'!O40,'+5 programa'!O43,'+5 programa'!O45,'+5 programa'!O48,'+5 programa'!O50,'+5 programa'!O52,'+5 programa'!O54,'+5 programa'!O57,'+5 programa'!O59,'+5 programa'!O66,'+5 programa'!O70,'+5 programa'!O72,'+5 programa'!O74,'+5 programa'!O81,'+5 programa'!O94,'+5 programa'!O97,'+5 programa'!O100,'+5 programa'!O103,)</f>
        <v>643.75</v>
      </c>
      <c r="G23" s="2326">
        <f>SUM('+5 programa'!Q23,'+5 programa'!Q26,'+5 programa'!Q33,'+5 programa'!Q36,'+5 programa'!Q40,'+5 programa'!Q43,'+5 programa'!Q45,'+5 programa'!Q48,'+5 programa'!Q50,'+5 programa'!Q52,'+5 programa'!Q54,'+5 programa'!Q57,'+5 programa'!Q59,'+5 programa'!Q66,'+5 programa'!Q70,'+5 programa'!Q72,'+5 programa'!Q74,'+5 programa'!Q81,'+5 programa'!Q94,'+5 programa'!Q97,'+5 programa'!Q100,'+5 programa'!Q103,)</f>
        <v>532</v>
      </c>
      <c r="I23" s="2291" t="s">
        <v>4401</v>
      </c>
      <c r="J23" s="2273"/>
      <c r="K23" s="2325">
        <f>SUM('+5 programa'!L76)</f>
        <v>0</v>
      </c>
      <c r="L23" s="2511"/>
      <c r="M23" s="2339"/>
      <c r="N23" s="2322"/>
      <c r="P23" s="2291" t="s">
        <v>4401</v>
      </c>
      <c r="Q23" s="2308"/>
      <c r="R23" s="2309"/>
      <c r="S23" s="2308"/>
      <c r="T23" s="2306"/>
      <c r="V23" s="161"/>
      <c r="W23" s="2291" t="s">
        <v>4401</v>
      </c>
      <c r="X23" s="2251"/>
      <c r="Y23" s="2249">
        <f>SUM('+5 programa'!K108)</f>
        <v>13.824999999999999</v>
      </c>
      <c r="Z23" s="2280">
        <f>SUM('+5 programa'!L108)</f>
        <v>0</v>
      </c>
      <c r="AA23" s="2249">
        <f>SUM('+5 programa'!O108)</f>
        <v>0</v>
      </c>
      <c r="AB23" s="2252">
        <f>SUM('+5 programa'!Q108)</f>
        <v>0</v>
      </c>
      <c r="AC23" s="161"/>
      <c r="AD23" s="484"/>
      <c r="AE23" s="484"/>
      <c r="AF23" s="2291" t="s">
        <v>4401</v>
      </c>
      <c r="AG23" s="2320"/>
      <c r="AH23" s="2321"/>
      <c r="AI23" s="2320"/>
      <c r="AJ23" s="2322"/>
      <c r="BA23" s="2291" t="s">
        <v>4401</v>
      </c>
      <c r="BB23" s="2273">
        <v>0</v>
      </c>
      <c r="BC23" s="2325">
        <v>0</v>
      </c>
      <c r="BD23" s="2511"/>
      <c r="BE23" s="2273">
        <v>0</v>
      </c>
      <c r="BF23" s="2326">
        <v>0</v>
      </c>
      <c r="BL23" s="161"/>
      <c r="BM23" s="484"/>
      <c r="BN23" s="484"/>
      <c r="BP23" s="2291" t="s">
        <v>4401</v>
      </c>
      <c r="BQ23" s="2308">
        <v>0</v>
      </c>
      <c r="BR23" s="2309">
        <v>0</v>
      </c>
      <c r="BS23" s="2408"/>
      <c r="BT23" s="2308">
        <v>0</v>
      </c>
      <c r="BU23" s="2310">
        <v>0</v>
      </c>
      <c r="BV23" s="2383">
        <v>0</v>
      </c>
      <c r="BW23" s="2000">
        <v>0</v>
      </c>
      <c r="BX23" s="113"/>
      <c r="BZ23" s="161"/>
      <c r="CA23" s="484"/>
      <c r="CB23" s="484"/>
      <c r="CC23" s="2456" t="s">
        <v>4401</v>
      </c>
      <c r="CD23" s="2273">
        <f>'+5 programa'!K110</f>
        <v>28.74</v>
      </c>
      <c r="CE23" s="2325">
        <f>'+5 programa'!L110</f>
        <v>28.74</v>
      </c>
      <c r="CF23" s="2273">
        <f>'+5 programa'!O110</f>
        <v>28.704000000000001</v>
      </c>
      <c r="CG23" s="2326">
        <f>'+5 programa'!P110</f>
        <v>28.704000000000001</v>
      </c>
      <c r="CI23" s="2456" t="s">
        <v>4401</v>
      </c>
      <c r="CJ23" s="2308"/>
      <c r="CK23" s="2309"/>
      <c r="CL23" s="2408"/>
      <c r="CM23" s="2308"/>
      <c r="CN23" s="2310"/>
      <c r="CO23" s="161"/>
      <c r="CP23" s="2456" t="s">
        <v>4401</v>
      </c>
      <c r="CQ23" s="2482"/>
      <c r="CR23" s="2325">
        <f>SUM('+5 programa'!L77)</f>
        <v>50</v>
      </c>
      <c r="CS23" s="2273">
        <f>SUM('+5 programa'!O77)</f>
        <v>0</v>
      </c>
      <c r="CT23" s="2273">
        <f>SUM('+5 programa'!Q77)</f>
        <v>0</v>
      </c>
      <c r="CU23" s="150"/>
      <c r="CV23" s="2456" t="s">
        <v>4401</v>
      </c>
      <c r="CW23" s="2305"/>
      <c r="CX23" s="2299"/>
      <c r="CY23" s="2305"/>
      <c r="CZ23" s="2306"/>
      <c r="DA23" s="150"/>
      <c r="DC23" s="2456" t="s">
        <v>4401</v>
      </c>
      <c r="DD23" s="2273">
        <f>SUM(C23,J23,Q23,Y23,AG23,BB23,BQ23,CD23,)</f>
        <v>669.02500000000009</v>
      </c>
      <c r="DE23" s="2325">
        <f>SUM(D23,K23,R23,Z23,AH23,BC23,BR23,CE23,CK23,CR23,CX23,)</f>
        <v>760.43000000000006</v>
      </c>
      <c r="DF23" s="2368"/>
      <c r="DG23" s="2273">
        <f>SUM(F23,M23,S23,AA23,AI23,BE23,BS23,CF23,CL23,CR23,CY23)</f>
        <v>722.45399999999995</v>
      </c>
      <c r="DH23" s="2273">
        <f>SUM(G23,N23,T23,AB23,AJ23,BF23,BT23,CG23,CM23,CT23,CZ23,)</f>
        <v>560.70399999999995</v>
      </c>
      <c r="DI23" s="150"/>
      <c r="DJ23" s="150"/>
      <c r="DM23" s="161"/>
      <c r="DN23" s="484"/>
      <c r="DO23" s="484"/>
    </row>
    <row r="24" spans="2:122" ht="24.6" hidden="1" customHeight="1">
      <c r="B24" s="2289"/>
      <c r="C24" s="1990"/>
      <c r="D24" s="2023"/>
      <c r="E24" s="2514"/>
      <c r="F24" s="1990"/>
      <c r="G24" s="2300"/>
      <c r="I24" s="2289"/>
      <c r="J24" s="1989"/>
      <c r="K24" s="2022"/>
      <c r="L24" s="2514"/>
      <c r="M24" s="1999"/>
      <c r="N24" s="2307"/>
      <c r="P24" s="2289"/>
      <c r="Q24" s="1990"/>
      <c r="R24" s="2024"/>
      <c r="S24" s="1990"/>
      <c r="T24" s="2307"/>
      <c r="V24" s="161"/>
      <c r="W24" s="2289"/>
      <c r="X24" s="2009"/>
      <c r="Y24" s="2003"/>
      <c r="Z24" s="2281"/>
      <c r="AA24" s="2003"/>
      <c r="AB24" s="2244"/>
      <c r="AC24" s="161"/>
      <c r="AD24" s="484"/>
      <c r="AE24" s="484"/>
      <c r="AF24" s="2289"/>
      <c r="AG24" s="1994"/>
      <c r="AH24" s="2295"/>
      <c r="AI24" s="1994"/>
      <c r="AJ24" s="2311"/>
      <c r="BA24" s="2289"/>
      <c r="BB24" s="1990"/>
      <c r="BC24" s="2024"/>
      <c r="BD24" s="2514"/>
      <c r="BE24" s="1990"/>
      <c r="BF24" s="2369"/>
      <c r="BL24" s="161"/>
      <c r="BM24" s="484"/>
      <c r="BN24" s="484"/>
      <c r="BP24" s="2289"/>
      <c r="BQ24" s="1990"/>
      <c r="BR24" s="2024"/>
      <c r="BS24" s="809"/>
      <c r="BT24" s="1990"/>
      <c r="BU24" s="2300"/>
      <c r="BV24" s="2383"/>
      <c r="BW24" s="2000"/>
      <c r="BX24" s="113"/>
      <c r="BZ24" s="161"/>
      <c r="CA24" s="484"/>
      <c r="CB24" s="484"/>
      <c r="CC24" s="2457"/>
      <c r="CD24" s="1989"/>
      <c r="CE24" s="2022"/>
      <c r="CF24" s="1989"/>
      <c r="CG24" s="2316"/>
      <c r="CI24" s="2457"/>
      <c r="CJ24" s="1990"/>
      <c r="CK24" s="2024"/>
      <c r="CL24" s="809"/>
      <c r="CM24" s="1990"/>
      <c r="CN24" s="2300"/>
      <c r="CO24" s="161"/>
      <c r="CP24" s="2457"/>
      <c r="CQ24" s="2431"/>
      <c r="CR24" s="2496"/>
      <c r="CS24" s="2431"/>
      <c r="CT24" s="2432"/>
      <c r="CU24" s="150"/>
      <c r="CV24" s="2457"/>
      <c r="CW24" s="1995"/>
      <c r="CX24" s="2028"/>
      <c r="CY24" s="1995"/>
      <c r="CZ24" s="2307"/>
      <c r="DA24" s="150"/>
      <c r="DC24" s="2457"/>
      <c r="DD24" s="1989"/>
      <c r="DE24" s="2022"/>
      <c r="DF24" s="2025"/>
      <c r="DG24" s="1989"/>
      <c r="DH24" s="2300"/>
      <c r="DI24" s="150"/>
      <c r="DJ24" s="150"/>
      <c r="DM24" s="161"/>
      <c r="DN24" s="484"/>
      <c r="DO24" s="484"/>
    </row>
    <row r="25" spans="2:122" ht="22.2" customHeight="1">
      <c r="B25" s="2289" t="s">
        <v>4402</v>
      </c>
      <c r="C25" s="1990">
        <v>626.46</v>
      </c>
      <c r="D25" s="2024">
        <v>681.69</v>
      </c>
      <c r="E25" s="2514"/>
      <c r="F25" s="1990"/>
      <c r="G25" s="2300"/>
      <c r="I25" s="2289" t="s">
        <v>4402</v>
      </c>
      <c r="J25" s="1989"/>
      <c r="K25" s="2022"/>
      <c r="L25" s="2514"/>
      <c r="M25" s="1999"/>
      <c r="N25" s="2307"/>
      <c r="P25" s="2289" t="s">
        <v>4402</v>
      </c>
      <c r="Q25" s="1990"/>
      <c r="R25" s="2024"/>
      <c r="S25" s="1990"/>
      <c r="T25" s="2307"/>
      <c r="V25" s="150"/>
      <c r="W25" s="2289" t="s">
        <v>4402</v>
      </c>
      <c r="X25" s="2009"/>
      <c r="Y25" s="2003">
        <v>13.824999999999999</v>
      </c>
      <c r="Z25" s="2281"/>
      <c r="AA25" s="2003"/>
      <c r="AB25" s="2257"/>
      <c r="AC25" s="150"/>
      <c r="AF25" s="2289" t="s">
        <v>4402</v>
      </c>
      <c r="AG25" s="1994"/>
      <c r="AH25" s="2295"/>
      <c r="AI25" s="1994"/>
      <c r="AJ25" s="2311"/>
      <c r="BA25" s="2289" t="s">
        <v>4402</v>
      </c>
      <c r="BB25" s="1990"/>
      <c r="BC25" s="2024"/>
      <c r="BD25" s="2514"/>
      <c r="BE25" s="1990"/>
      <c r="BF25" s="2369"/>
      <c r="BL25" s="150"/>
      <c r="BO25" s="150"/>
      <c r="BP25" s="2289" t="s">
        <v>4402</v>
      </c>
      <c r="BQ25" s="2002"/>
      <c r="BR25" s="2403"/>
      <c r="BS25" s="2409"/>
      <c r="BT25" s="2002"/>
      <c r="BU25" s="2387"/>
      <c r="BV25" s="2384"/>
      <c r="BW25" s="2011"/>
      <c r="BX25" s="2016"/>
      <c r="BZ25" s="150"/>
      <c r="CC25" s="2457" t="s">
        <v>4402</v>
      </c>
      <c r="CD25" s="1989"/>
      <c r="CE25" s="2022"/>
      <c r="CF25" s="1989"/>
      <c r="CG25" s="2316"/>
      <c r="CI25" s="2457" t="s">
        <v>4402</v>
      </c>
      <c r="CJ25" s="1990"/>
      <c r="CK25" s="2024"/>
      <c r="CL25" s="809"/>
      <c r="CM25" s="1990"/>
      <c r="CN25" s="2300"/>
      <c r="CO25" s="150"/>
      <c r="CP25" s="2457" t="s">
        <v>4402</v>
      </c>
      <c r="CQ25" s="2431"/>
      <c r="CR25" s="2496"/>
      <c r="CS25" s="2431"/>
      <c r="CT25" s="2432"/>
      <c r="CU25" s="150"/>
      <c r="CV25" s="2457" t="s">
        <v>4402</v>
      </c>
      <c r="CW25" s="1995"/>
      <c r="CX25" s="2028"/>
      <c r="CY25" s="1995"/>
      <c r="CZ25" s="2307"/>
      <c r="DA25" s="150"/>
      <c r="DC25" s="2457" t="s">
        <v>4402</v>
      </c>
      <c r="DD25" s="1989"/>
      <c r="DE25" s="2022"/>
      <c r="DF25" s="2025"/>
      <c r="DG25" s="1989"/>
      <c r="DH25" s="2300"/>
      <c r="DI25" s="150"/>
      <c r="DJ25" s="150"/>
      <c r="DM25" s="150"/>
      <c r="DP25" s="150"/>
    </row>
    <row r="26" spans="2:122" ht="25.8" customHeight="1" thickBot="1">
      <c r="B26" s="2290" t="s">
        <v>3534</v>
      </c>
      <c r="C26" s="2327">
        <f>C23-C25</f>
        <v>0</v>
      </c>
      <c r="D26" s="2328">
        <f>D23-D25</f>
        <v>0</v>
      </c>
      <c r="E26" s="2515"/>
      <c r="F26" s="2327">
        <f t="shared" ref="F26" si="18">F23-F25</f>
        <v>643.75</v>
      </c>
      <c r="G26" s="2329">
        <f t="shared" ref="G26" si="19">G23-G25</f>
        <v>532</v>
      </c>
      <c r="I26" s="2290" t="s">
        <v>3534</v>
      </c>
      <c r="J26" s="2317"/>
      <c r="K26" s="2318"/>
      <c r="L26" s="2515"/>
      <c r="M26" s="2506"/>
      <c r="N26" s="2303"/>
      <c r="P26" s="2290" t="s">
        <v>3534</v>
      </c>
      <c r="Q26" s="2327"/>
      <c r="R26" s="2328"/>
      <c r="S26" s="2327"/>
      <c r="T26" s="2303"/>
      <c r="V26" s="611"/>
      <c r="W26" s="2290" t="s">
        <v>3534</v>
      </c>
      <c r="X26" s="2256"/>
      <c r="Y26" s="2254">
        <f t="shared" ref="Y26" si="20">Y23-Y25</f>
        <v>0</v>
      </c>
      <c r="Z26" s="2282">
        <f t="shared" ref="Z26" si="21">Z23-Z25</f>
        <v>0</v>
      </c>
      <c r="AA26" s="2254">
        <f t="shared" ref="AA26" si="22">AA23-AA25</f>
        <v>0</v>
      </c>
      <c r="AB26" s="2255">
        <f t="shared" ref="AB26" si="23">AB23-AB25</f>
        <v>0</v>
      </c>
      <c r="AC26" s="611"/>
      <c r="AD26" s="611"/>
      <c r="AE26" s="611"/>
      <c r="AF26" s="2290" t="s">
        <v>3534</v>
      </c>
      <c r="AG26" s="2312"/>
      <c r="AH26" s="2313"/>
      <c r="AI26" s="2312"/>
      <c r="AJ26" s="2314"/>
      <c r="BA26" s="2290" t="s">
        <v>3534</v>
      </c>
      <c r="BB26" s="2327"/>
      <c r="BC26" s="2328"/>
      <c r="BD26" s="2515"/>
      <c r="BE26" s="2327"/>
      <c r="BF26" s="2371"/>
      <c r="BL26" s="611"/>
      <c r="BM26" s="611"/>
      <c r="BN26" s="611"/>
      <c r="BP26" s="2290" t="s">
        <v>3534</v>
      </c>
      <c r="BQ26" s="2385"/>
      <c r="BR26" s="2402"/>
      <c r="BS26" s="2407"/>
      <c r="BT26" s="2385"/>
      <c r="BU26" s="2386"/>
      <c r="BV26" s="2384"/>
      <c r="BW26" s="2011"/>
      <c r="BX26" s="2016"/>
      <c r="BZ26" s="611"/>
      <c r="CA26" s="611"/>
      <c r="CB26" s="611"/>
      <c r="CC26" s="2458" t="s">
        <v>3534</v>
      </c>
      <c r="CD26" s="2317"/>
      <c r="CE26" s="2318"/>
      <c r="CF26" s="2317"/>
      <c r="CG26" s="2319"/>
      <c r="CI26" s="2458" t="s">
        <v>3534</v>
      </c>
      <c r="CJ26" s="2327"/>
      <c r="CK26" s="2328"/>
      <c r="CL26" s="2370"/>
      <c r="CM26" s="2327"/>
      <c r="CN26" s="2329"/>
      <c r="CO26" s="611"/>
      <c r="CP26" s="2458" t="s">
        <v>3534</v>
      </c>
      <c r="CQ26" s="2270"/>
      <c r="CR26" s="2497"/>
      <c r="CS26" s="2270"/>
      <c r="CT26" s="2434"/>
      <c r="CU26" s="150"/>
      <c r="CV26" s="2458" t="s">
        <v>3534</v>
      </c>
      <c r="CW26" s="2301"/>
      <c r="CX26" s="2302"/>
      <c r="CY26" s="2301"/>
      <c r="CZ26" s="2303"/>
      <c r="DA26" s="150"/>
      <c r="DC26" s="2458" t="s">
        <v>3534</v>
      </c>
      <c r="DD26" s="2317"/>
      <c r="DE26" s="2318"/>
      <c r="DF26" s="2470"/>
      <c r="DG26" s="2317"/>
      <c r="DH26" s="2329"/>
      <c r="DI26" s="150"/>
      <c r="DJ26" s="150"/>
      <c r="DM26" s="611"/>
      <c r="DN26" s="611"/>
      <c r="DO26" s="611"/>
    </row>
    <row r="27" spans="2:122" ht="26.4" customHeight="1">
      <c r="B27" s="2291" t="s">
        <v>4403</v>
      </c>
      <c r="C27" s="2273">
        <f>SUM('6 programa'!L34,'6 programa'!L48,'6 programa'!L94,'6 programa'!L98,'6 programa'!L101,'6 programa'!L104,'6 programa'!L106,'6 programa'!L110,'6 programa'!L114,'6 programa'!L117,'6 programa'!L120,'6 programa'!L122,'6 programa'!L130,'6 programa'!L150,'6 programa'!L162,'6 programa'!L186,'6 programa'!L193,'6 programa'!L224,)</f>
        <v>955.51</v>
      </c>
      <c r="D27" s="2325">
        <f>SUM('6 programa'!M94,'6 programa'!M98,'6 programa'!M101,'6 programa'!M104,'6 programa'!M106,'6 programa'!M110,'6 programa'!M114,'6 programa'!M117,'6 programa'!M120,'6 programa'!M122,'6 programa'!M130,'6 programa'!M148,'6 programa'!M150,'6 programa'!M162,'6 programa'!M186,'6 programa'!M193,'6 programa'!M224,'6 programa'!M48,'6 programa'!M131,'6 programa'!M118)</f>
        <v>1160.79</v>
      </c>
      <c r="E27" s="2511">
        <f>SUM('6 programa'!M118,'6 programa'!M131)</f>
        <v>255</v>
      </c>
      <c r="F27" s="2273">
        <f>SUM('6 programa'!P48,'6 programa'!P94,'6 programa'!P98,'6 programa'!P101,'6 programa'!P104,'6 programa'!P106,'6 programa'!P110,'6 programa'!P114,'6 programa'!P117,'6 programa'!P120,'6 programa'!P122,'6 programa'!P130,'6 programa'!P148,'6 programa'!P150,'6 programa'!P162,'6 programa'!P186,'6 programa'!P193,'6 programa'!P224,)</f>
        <v>1232.9950000000001</v>
      </c>
      <c r="G27" s="2326">
        <f>SUM('6 programa'!R48,'6 programa'!R94,'6 programa'!R98,'6 programa'!R101,'6 programa'!R104,'6 programa'!R106,'6 programa'!R110,'6 programa'!R114,'6 programa'!R117,'6 programa'!R120,'6 programa'!R122,'6 programa'!R130,'6 programa'!R148,'6 programa'!R150,'6 programa'!R162,'6 programa'!R186,'6 programa'!R193,'6 programa'!R224,)</f>
        <v>1262.2155</v>
      </c>
      <c r="I27" s="2291" t="s">
        <v>4403</v>
      </c>
      <c r="J27" s="2273">
        <f>SUM('6 programa'!L135,'6 programa'!L136,'6 programa'!L164,'6 programa'!L165,'6 programa'!L211,'6 programa'!L212,'6 programa'!L231,'6 programa'!L232,'6 programa'!L237,'6 programa'!L238,'6 programa'!L254,'6 programa'!L255,'6 programa'!L267,'6 programa'!L268,)</f>
        <v>869.4129999999999</v>
      </c>
      <c r="K27" s="2325">
        <f>SUM('6 programa'!M135,'6 programa'!M136,'6 programa'!M165,'6 programa'!M211,'6 programa'!M212,'6 programa'!M231,'6 programa'!M237,'6 programa'!M238,'6 programa'!M254,'6 programa'!M255,'6 programa'!M267)</f>
        <v>693.47399999999993</v>
      </c>
      <c r="L27" s="2511"/>
      <c r="M27" s="2339">
        <f>SUM('6 programa'!P136,'6 programa'!P143,'6 programa'!P164,'6 programa'!P212,'6 programa'!P232,'6 programa'!P238,'6 programa'!P254,'6 programa'!P268)</f>
        <v>128.29499999999999</v>
      </c>
      <c r="N27" s="2322">
        <f>SUM('6 programa'!R164,'6 programa'!R232,'6 programa'!R268)</f>
        <v>138.82999999999998</v>
      </c>
      <c r="P27" s="2291" t="s">
        <v>4403</v>
      </c>
      <c r="Q27" s="2305"/>
      <c r="R27" s="2299"/>
      <c r="S27" s="2305"/>
      <c r="T27" s="2306"/>
      <c r="V27" s="150"/>
      <c r="W27" s="2291" t="s">
        <v>4403</v>
      </c>
      <c r="X27" s="2241"/>
      <c r="Y27" s="2269">
        <f>SUM('6 programa'!L19,'6 programa'!L44,'6 programa'!L62,'6 programa'!L99,'6 programa'!L107,'6 programa'!L145,'6 programa'!L154,'6 programa'!L158,'6 programa'!L179,'6 programa'!L187,'6 programa'!L194,'6 programa'!L203,)</f>
        <v>422.17599999999993</v>
      </c>
      <c r="Z27" s="2283">
        <f>SUM('6 programa'!M19,'6 programa'!M44,'6 programa'!M62,'6 programa'!M99,'6 programa'!M107,'6 programa'!M145,'6 programa'!M154,'6 programa'!M158,'6 programa'!M179,'6 programa'!M187,'6 programa'!M194,'6 programa'!M203,)</f>
        <v>587.43600000000004</v>
      </c>
      <c r="AA27" s="2269">
        <f>SUM('6 programa'!P19,'6 programa'!P44,'6 programa'!P62,'6 programa'!P99,'6 programa'!P107,'6 programa'!P145,'6 programa'!P154,'6 programa'!P158,'6 programa'!P179,'6 programa'!P187,'6 programa'!P194,'6 programa'!P203,)</f>
        <v>587.43600000000004</v>
      </c>
      <c r="AB27" s="2269">
        <f>SUM('6 programa'!R19,'6 programa'!R44,'6 programa'!R62,'6 programa'!R99,'6 programa'!R107,'6 programa'!R145,'6 programa'!R154,'6 programa'!R158,'6 programa'!R179,'6 programa'!R187,'6 programa'!R194,'6 programa'!R203,)</f>
        <v>587.43600000000004</v>
      </c>
      <c r="AC27" s="150"/>
      <c r="AD27" s="150"/>
      <c r="AE27" s="150"/>
      <c r="AF27" s="2291" t="s">
        <v>4403</v>
      </c>
      <c r="AG27" s="2273">
        <f>SUM('6 programa'!L42,'6 programa'!L59,'6 programa'!L61,'6 programa'!L75,'6 programa'!L89,'6 programa'!L153,'6 programa'!L180,)</f>
        <v>2056.9519999999998</v>
      </c>
      <c r="AH27" s="2325">
        <f>SUM('6 programa'!M42,'6 programa'!M59,'6 programa'!M61,'6 programa'!M75,'6 programa'!M89,'6 programa'!M153,'6 programa'!M180,)</f>
        <v>2423.7669999999998</v>
      </c>
      <c r="AI27" s="2273">
        <f>SUM('6 programa'!P42,'6 programa'!P59,'6 programa'!P61,'6 programa'!P75,'6 programa'!P89,'6 programa'!P153,'6 programa'!P180,)</f>
        <v>2423.7669999999998</v>
      </c>
      <c r="AJ27" s="2326">
        <f>SUM('6 programa'!R42,'6 programa'!R59,'6 programa'!R61,'6 programa'!R75,'6 programa'!R89,'6 programa'!R153,'6 programa'!R180,)</f>
        <v>2423.7669999999998</v>
      </c>
      <c r="BA27" s="2291" t="s">
        <v>4403</v>
      </c>
      <c r="BB27" s="2273">
        <f>SUM('6 programa'!L22,'6 programa'!L28,'6 programa'!L43)</f>
        <v>3276.4399999999996</v>
      </c>
      <c r="BC27" s="2325">
        <f>SUM('6 programa'!M22,'6 programa'!M28,'6 programa'!M43)</f>
        <v>3487.37</v>
      </c>
      <c r="BD27" s="2511"/>
      <c r="BE27" s="2273">
        <f>SUM('6 programa'!P16,'6 programa'!P43)</f>
        <v>3552.8919999999998</v>
      </c>
      <c r="BF27" s="2326">
        <f>SUM('6 programa'!R16,'6 programa'!R43)</f>
        <v>3621.6900999999998</v>
      </c>
      <c r="BL27" s="150"/>
      <c r="BM27" s="150"/>
      <c r="BN27" s="150"/>
      <c r="BP27" s="2291" t="s">
        <v>4403</v>
      </c>
      <c r="BQ27" s="2308">
        <f>SUM('6 programa'!L17,'6 programa'!L115,'6 programa'!L132,'6 programa'!L178,'6 programa'!L271,)</f>
        <v>617.85</v>
      </c>
      <c r="BR27" s="2325">
        <f>SUM('6 programa'!M17,'6 programa'!M18,'6 programa'!M115,'6 programa'!M132,'6 programa'!M133,'6 programa'!M178,'6 programa'!M271)</f>
        <v>697.92599999999993</v>
      </c>
      <c r="BS27" s="2368">
        <v>66.486000000000004</v>
      </c>
      <c r="BT27" s="2273">
        <f>SUM('6 programa'!P17,'6 programa'!P115,'6 programa'!P132,'6 programa'!P133,'6 programa'!P178,'6 programa'!P271,)</f>
        <v>641.33999999999992</v>
      </c>
      <c r="BU27" s="2326">
        <f>'6 programa'!R284</f>
        <v>651.22</v>
      </c>
      <c r="BV27" s="2388">
        <f>'6 programa'!L133</f>
        <v>13.198</v>
      </c>
      <c r="BW27" s="2000">
        <f>BQ27+BV27</f>
        <v>631.048</v>
      </c>
      <c r="BX27" s="113"/>
      <c r="BZ27" s="150"/>
      <c r="CA27" s="150"/>
      <c r="CB27" s="150"/>
      <c r="CC27" s="2456" t="s">
        <v>4403</v>
      </c>
      <c r="CD27" s="2273">
        <f>SUM('6 programa'!L128,'6 programa'!L139,'6 programa'!L144,'6 programa'!L146,'6 programa'!L166,'6 programa'!L189,'6 programa'!L190,'6 programa'!L213,'6 programa'!L233,'6 programa'!L234,'6 programa'!L239,'6 programa'!L256,'6 programa'!L269,)</f>
        <v>2025.9099999999999</v>
      </c>
      <c r="CE27" s="2325">
        <f>SUM('6 programa'!M128,'6 programa'!M139,'6 programa'!M144,'6 programa'!M146,'6 programa'!M166,'6 programa'!M189,'6 programa'!M190,'6 programa'!M213,'6 programa'!M233,'6 programa'!M234,'6 programa'!M239,'6 programa'!M256,'6 programa'!M269,'6 programa'!M228)</f>
        <v>3343.2719999999999</v>
      </c>
      <c r="CF27" s="2273">
        <f>SUM('6 programa'!P128,'6 programa'!P139,'6 programa'!P144,'6 programa'!P146,'6 programa'!P166,'6 programa'!P189,'6 programa'!P190,'6 programa'!P213,'6 programa'!P233,'6 programa'!P234,'6 programa'!P239,'6 programa'!P256,'6 programa'!P269,'6 programa'!P228)</f>
        <v>2493.6379999999999</v>
      </c>
      <c r="CG27" s="2273">
        <f>SUM('6 programa'!R128,'6 programa'!R139,'6 programa'!R144,'6 programa'!R146,'6 programa'!R166,'6 programa'!R189,'6 programa'!R190,'6 programa'!R213,'6 programa'!R233,'6 programa'!R234,'6 programa'!R239,'6 programa'!R256,'6 programa'!R269,'6 programa'!R228)</f>
        <v>572.62900000000002</v>
      </c>
      <c r="CI27" s="2456" t="s">
        <v>4403</v>
      </c>
      <c r="CJ27" s="2308"/>
      <c r="CK27" s="2309"/>
      <c r="CL27" s="2408"/>
      <c r="CM27" s="2308"/>
      <c r="CN27" s="2310"/>
      <c r="CO27" s="150"/>
      <c r="CP27" s="2456" t="s">
        <v>4403</v>
      </c>
      <c r="CQ27" s="2273">
        <f>SUM('6 programa'!L137,'6 programa'!L167,'6 programa'!L209,'6 programa'!L214,'6 programa'!L235,'6 programa'!L240,'6 programa'!L257,'6 programa'!L270,)</f>
        <v>26.21</v>
      </c>
      <c r="CR27" s="2325">
        <f>SUM('6 programa'!M137,'6 programa'!M167,'6 programa'!M214,'6 programa'!M235,'6 programa'!M240,'6 programa'!M257,)</f>
        <v>1058.3979999999999</v>
      </c>
      <c r="CS27" s="2273">
        <f>SUM('6 programa'!P137,'6 programa'!P167,'6 programa'!P214,'6 programa'!P235,'6 programa'!P240,'6 programa'!P257,)</f>
        <v>937.72900000000004</v>
      </c>
      <c r="CT27" s="2273">
        <f>SUM('6 programa'!R137,'6 programa'!R167,'6 programa'!R214,'6 programa'!R235,'6 programa'!R240,'6 programa'!R257,)</f>
        <v>22.725999999999999</v>
      </c>
      <c r="CU27" s="150"/>
      <c r="CV27" s="2456" t="s">
        <v>4403</v>
      </c>
      <c r="CW27" s="2273">
        <f>SUM('6 programa'!L36,'6 programa'!L39)</f>
        <v>7504.9000000000005</v>
      </c>
      <c r="CX27" s="2325">
        <f>SUM('6 programa'!M36,'6 programa'!M39,'6 programa'!M20)</f>
        <v>7974.92</v>
      </c>
      <c r="CY27" s="2273">
        <f>SUM('6 programa'!P20,'6 programa'!P36,'6 programa'!P39)</f>
        <v>7972.6</v>
      </c>
      <c r="CZ27" s="2273">
        <f>SUM('6 programa'!R20,'6 programa'!R36,'6 programa'!R39)</f>
        <v>7973.1</v>
      </c>
      <c r="DA27" s="150"/>
      <c r="DC27" s="2456" t="s">
        <v>4403</v>
      </c>
      <c r="DD27" s="2273">
        <f>SUM(C27,J27,Q27,Y27,AG27,BB27,BQ27,CD27,CQ27,CW27,)</f>
        <v>17755.360999999997</v>
      </c>
      <c r="DE27" s="2325">
        <f>SUM(D27,K27,R27,Z27,AH27,BC27,BR27,CE27,CK27,CR27,CX27,)</f>
        <v>21427.352999999999</v>
      </c>
      <c r="DF27" s="2368"/>
      <c r="DG27" s="2273">
        <f>SUM(F27,M27,S27,AA27,AI27,BE27,BT27,CF27,CL27,CS27,CY27,)</f>
        <v>19970.692000000003</v>
      </c>
      <c r="DH27" s="2273">
        <f>SUM(G27,N27,T27,AB27,AJ27,BF27,BU27,CG27,CM27,CT27,CZ27,)</f>
        <v>17253.613600000001</v>
      </c>
      <c r="DI27" s="150"/>
      <c r="DJ27" s="150"/>
      <c r="DM27" s="150"/>
      <c r="DN27" s="150"/>
      <c r="DO27" s="150"/>
    </row>
    <row r="28" spans="2:122" ht="26.4" hidden="1" customHeight="1">
      <c r="B28" s="2289"/>
      <c r="C28" s="1990"/>
      <c r="D28" s="2023"/>
      <c r="E28" s="2512"/>
      <c r="F28" s="1990"/>
      <c r="G28" s="2300"/>
      <c r="I28" s="2289"/>
      <c r="J28" s="1990"/>
      <c r="K28" s="2024"/>
      <c r="L28" s="2512"/>
      <c r="M28" s="2000"/>
      <c r="N28" s="2307"/>
      <c r="P28" s="2289"/>
      <c r="Q28" s="1995"/>
      <c r="R28" s="2028"/>
      <c r="S28" s="1995"/>
      <c r="T28" s="2307"/>
      <c r="V28" s="150"/>
      <c r="W28" s="2289"/>
      <c r="X28" s="2008"/>
      <c r="Y28" s="2258"/>
      <c r="Z28" s="2284"/>
      <c r="AA28" s="2258"/>
      <c r="AB28" s="2259"/>
      <c r="AC28" s="150"/>
      <c r="AD28" s="150"/>
      <c r="AE28" s="150"/>
      <c r="AF28" s="2289"/>
      <c r="AG28" s="1990"/>
      <c r="AH28" s="2024"/>
      <c r="AI28" s="1990"/>
      <c r="AJ28" s="2300"/>
      <c r="BA28" s="2289"/>
      <c r="BB28" s="1990"/>
      <c r="BC28" s="2024"/>
      <c r="BD28" s="2512"/>
      <c r="BE28" s="1990"/>
      <c r="BF28" s="2369"/>
      <c r="BL28" s="150"/>
      <c r="BM28" s="150"/>
      <c r="BN28" s="150"/>
      <c r="BP28" s="2289"/>
      <c r="BQ28" s="1990"/>
      <c r="BR28" s="2024"/>
      <c r="BS28" s="809"/>
      <c r="BT28" s="1990"/>
      <c r="BU28" s="2300"/>
      <c r="BV28" s="2388"/>
      <c r="BW28" s="2000"/>
      <c r="BX28" s="113"/>
      <c r="BZ28" s="150"/>
      <c r="CA28" s="150"/>
      <c r="CB28" s="150"/>
      <c r="CC28" s="2457"/>
      <c r="CD28" s="1989"/>
      <c r="CE28" s="2022"/>
      <c r="CF28" s="1989"/>
      <c r="CG28" s="2316"/>
      <c r="CI28" s="2457"/>
      <c r="CJ28" s="1990"/>
      <c r="CK28" s="2024"/>
      <c r="CL28" s="809"/>
      <c r="CM28" s="1990"/>
      <c r="CN28" s="2300"/>
      <c r="CO28" s="150"/>
      <c r="CP28" s="2457"/>
      <c r="CQ28" s="1998"/>
      <c r="CR28" s="2023"/>
      <c r="CS28" s="1998"/>
      <c r="CT28" s="2433"/>
      <c r="CU28" s="150"/>
      <c r="CV28" s="2457"/>
      <c r="CW28" s="1989"/>
      <c r="CX28" s="2022"/>
      <c r="CY28" s="1989"/>
      <c r="CZ28" s="2316"/>
      <c r="DA28" s="150"/>
      <c r="DC28" s="2457"/>
      <c r="DD28" s="1989"/>
      <c r="DE28" s="2022"/>
      <c r="DF28" s="2025"/>
      <c r="DG28" s="1989"/>
      <c r="DH28" s="2300"/>
      <c r="DI28" s="150"/>
      <c r="DJ28" s="150"/>
      <c r="DM28" s="150"/>
      <c r="DN28" s="150"/>
      <c r="DO28" s="150"/>
    </row>
    <row r="29" spans="2:122" ht="23.4" customHeight="1">
      <c r="B29" s="2289" t="s">
        <v>4404</v>
      </c>
      <c r="C29" s="1990">
        <v>955.51</v>
      </c>
      <c r="D29" s="2024">
        <v>1160.79</v>
      </c>
      <c r="E29" s="2516"/>
      <c r="F29" s="1990"/>
      <c r="G29" s="2300"/>
      <c r="I29" s="2289" t="s">
        <v>4404</v>
      </c>
      <c r="J29" s="1995"/>
      <c r="K29" s="2028"/>
      <c r="L29" s="2516"/>
      <c r="M29" s="2001"/>
      <c r="N29" s="2307"/>
      <c r="P29" s="2289" t="s">
        <v>4404</v>
      </c>
      <c r="Q29" s="1995"/>
      <c r="R29" s="2028"/>
      <c r="S29" s="1995"/>
      <c r="T29" s="2307"/>
      <c r="W29" s="2289" t="s">
        <v>4404</v>
      </c>
      <c r="X29" s="2008"/>
      <c r="Y29" s="2258">
        <v>422.17599999999999</v>
      </c>
      <c r="Z29" s="2284">
        <v>405.875</v>
      </c>
      <c r="AA29" s="2258"/>
      <c r="AB29" s="2259"/>
      <c r="AF29" s="2289" t="s">
        <v>4404</v>
      </c>
      <c r="AG29" s="1990">
        <v>2056.9520000000002</v>
      </c>
      <c r="AH29" s="2028">
        <v>2423.7669999999998</v>
      </c>
      <c r="AI29" s="1994"/>
      <c r="AJ29" s="2311"/>
      <c r="BA29" s="2289" t="s">
        <v>4404</v>
      </c>
      <c r="BB29" s="1990"/>
      <c r="BC29" s="2024">
        <v>3487.37</v>
      </c>
      <c r="BD29" s="2516"/>
      <c r="BE29" s="1990"/>
      <c r="BF29" s="2369"/>
      <c r="BP29" s="2289" t="s">
        <v>4404</v>
      </c>
      <c r="BQ29" s="2002"/>
      <c r="BR29" s="2281">
        <v>631.44000000000005</v>
      </c>
      <c r="BS29" s="2410">
        <v>66.486000000000004</v>
      </c>
      <c r="BT29" s="2003">
        <v>641.34</v>
      </c>
      <c r="BU29" s="2257">
        <f>'6 programa'!R284</f>
        <v>651.22</v>
      </c>
      <c r="BV29" s="2384"/>
      <c r="BW29" s="2011"/>
      <c r="BX29" s="2016"/>
      <c r="CC29" s="2457" t="s">
        <v>4404</v>
      </c>
      <c r="CD29" s="1989"/>
      <c r="CE29" s="2022"/>
      <c r="CF29" s="1989"/>
      <c r="CG29" s="2316"/>
      <c r="CI29" s="2457" t="s">
        <v>4404</v>
      </c>
      <c r="CJ29" s="1990"/>
      <c r="CK29" s="2024"/>
      <c r="CL29" s="809"/>
      <c r="CM29" s="1990"/>
      <c r="CN29" s="2300"/>
      <c r="CP29" s="2457" t="s">
        <v>4404</v>
      </c>
      <c r="CQ29" s="1998"/>
      <c r="CR29" s="2023"/>
      <c r="CS29" s="1998"/>
      <c r="CT29" s="2433"/>
      <c r="CU29" s="150"/>
      <c r="CV29" s="2457" t="s">
        <v>4404</v>
      </c>
      <c r="CW29" s="1989"/>
      <c r="CX29" s="2022"/>
      <c r="CY29" s="1989"/>
      <c r="CZ29" s="2316"/>
      <c r="DA29" s="150"/>
      <c r="DC29" s="2457" t="s">
        <v>4404</v>
      </c>
      <c r="DD29" s="1989"/>
      <c r="DE29" s="2022"/>
      <c r="DF29" s="2025"/>
      <c r="DG29" s="1989"/>
      <c r="DH29" s="2300"/>
      <c r="DI29" s="150"/>
      <c r="DJ29" s="150"/>
    </row>
    <row r="30" spans="2:122" ht="27.6" customHeight="1" thickBot="1">
      <c r="B30" s="2290" t="s">
        <v>3534</v>
      </c>
      <c r="C30" s="2327">
        <f>C27-C29</f>
        <v>0</v>
      </c>
      <c r="D30" s="2328">
        <f>D27-D29</f>
        <v>0</v>
      </c>
      <c r="E30" s="2513"/>
      <c r="F30" s="2327">
        <f t="shared" ref="F30" si="24">F27-F29</f>
        <v>1232.9950000000001</v>
      </c>
      <c r="G30" s="2329">
        <f t="shared" ref="G30" si="25">G27-G29</f>
        <v>1262.2155</v>
      </c>
      <c r="I30" s="2290" t="s">
        <v>3534</v>
      </c>
      <c r="J30" s="2327">
        <f>J27-J29</f>
        <v>869.4129999999999</v>
      </c>
      <c r="K30" s="2328">
        <f>K27-K29</f>
        <v>693.47399999999993</v>
      </c>
      <c r="L30" s="2513"/>
      <c r="M30" s="2505">
        <f>M27-M29</f>
        <v>128.29499999999999</v>
      </c>
      <c r="N30" s="2303"/>
      <c r="P30" s="2290" t="s">
        <v>3534</v>
      </c>
      <c r="Q30" s="2301"/>
      <c r="R30" s="2302"/>
      <c r="S30" s="2301"/>
      <c r="T30" s="2303"/>
      <c r="W30" s="2290" t="s">
        <v>3534</v>
      </c>
      <c r="X30" s="2245"/>
      <c r="Y30" s="2260">
        <f t="shared" ref="Y30" si="26">Y27-Y29</f>
        <v>0</v>
      </c>
      <c r="Z30" s="2285">
        <f t="shared" ref="Z30" si="27">Z27-Z29</f>
        <v>181.56100000000004</v>
      </c>
      <c r="AA30" s="2260">
        <f t="shared" ref="AA30" si="28">AA27-AA29</f>
        <v>587.43600000000004</v>
      </c>
      <c r="AB30" s="2261">
        <f t="shared" ref="AB30" si="29">AB27-AB29</f>
        <v>587.43600000000004</v>
      </c>
      <c r="AF30" s="2290" t="s">
        <v>3534</v>
      </c>
      <c r="AG30" s="2327">
        <f t="shared" ref="AG30" si="30">AG27-AG29</f>
        <v>0</v>
      </c>
      <c r="AH30" s="2302">
        <f t="shared" ref="AH30" si="31">AH27-AH29</f>
        <v>0</v>
      </c>
      <c r="AI30" s="2301">
        <f t="shared" ref="AI30" si="32">AI27-AI29</f>
        <v>2423.7669999999998</v>
      </c>
      <c r="AJ30" s="2303">
        <f t="shared" ref="AJ30" si="33">AJ27-AJ29</f>
        <v>2423.7669999999998</v>
      </c>
      <c r="BA30" s="2290" t="s">
        <v>3534</v>
      </c>
      <c r="BB30" s="2327"/>
      <c r="BC30" s="2328">
        <f>BC27-BC29</f>
        <v>0</v>
      </c>
      <c r="BD30" s="2513"/>
      <c r="BE30" s="2327"/>
      <c r="BF30" s="2371"/>
      <c r="BP30" s="2290" t="s">
        <v>3534</v>
      </c>
      <c r="BQ30" s="2385"/>
      <c r="BR30" s="2282"/>
      <c r="BS30" s="2411"/>
      <c r="BT30" s="2254">
        <f t="shared" ref="BT30:BU30" si="34">BT29-BT27</f>
        <v>0</v>
      </c>
      <c r="BU30" s="2255">
        <f t="shared" si="34"/>
        <v>0</v>
      </c>
      <c r="BV30" s="2384"/>
      <c r="BW30" s="2011"/>
      <c r="BX30" s="2016"/>
      <c r="CC30" s="2458" t="s">
        <v>3534</v>
      </c>
      <c r="CD30" s="2317"/>
      <c r="CE30" s="2318"/>
      <c r="CF30" s="2317"/>
      <c r="CG30" s="2319"/>
      <c r="CI30" s="2458" t="s">
        <v>3534</v>
      </c>
      <c r="CJ30" s="2327"/>
      <c r="CK30" s="2328"/>
      <c r="CL30" s="2370"/>
      <c r="CM30" s="2327"/>
      <c r="CN30" s="2329"/>
      <c r="CP30" s="2458" t="s">
        <v>3534</v>
      </c>
      <c r="CQ30" s="2483"/>
      <c r="CR30" s="2498"/>
      <c r="CS30" s="2483"/>
      <c r="CT30" s="2484"/>
      <c r="CU30" s="150"/>
      <c r="CV30" s="2473" t="s">
        <v>3534</v>
      </c>
      <c r="CW30" s="2447"/>
      <c r="CX30" s="2315"/>
      <c r="CY30" s="2447"/>
      <c r="CZ30" s="2489"/>
      <c r="DA30" s="150"/>
      <c r="DC30" s="2458" t="s">
        <v>3534</v>
      </c>
      <c r="DD30" s="2317"/>
      <c r="DE30" s="2318"/>
      <c r="DF30" s="2470"/>
      <c r="DG30" s="2317"/>
      <c r="DH30" s="2329"/>
      <c r="DI30" s="150"/>
      <c r="DJ30" s="150"/>
    </row>
    <row r="31" spans="2:122" ht="24.6" customHeight="1">
      <c r="B31" s="2291" t="s">
        <v>4405</v>
      </c>
      <c r="C31" s="2273">
        <f>SUM('7 programa'!K21,'7 programa'!K24,'7 programa'!K25,'7 programa'!K33,'7 programa'!K45,'7 programa'!K96,)</f>
        <v>69.929999999999993</v>
      </c>
      <c r="D31" s="2325">
        <f>SUM('7 programa'!L21,'7 programa'!L24,'7 programa'!L30,'7 programa'!L33,'7 programa'!L40,'7 programa'!L45,'7 programa'!L96,'7 programa'!L25,'7 programa'!L41,)</f>
        <v>536.05999999999995</v>
      </c>
      <c r="E31" s="2511">
        <f>SUM('7 programa'!L25,'7 programa'!L41)</f>
        <v>495</v>
      </c>
      <c r="F31" s="2273">
        <f>SUM('7 programa'!O21,'7 programa'!O24,'7 programa'!O30,'7 programa'!O33,'7 programa'!O40,'7 programa'!O45,'7 programa'!O96,)</f>
        <v>371.96500000000003</v>
      </c>
      <c r="G31" s="2326">
        <f>SUM('7 programa'!Q21,'7 programa'!Q24,'7 programa'!Q30,'7 programa'!Q33,'7 programa'!Q40,'7 programa'!Q45,'7 programa'!Q96,)</f>
        <v>371.96500000000003</v>
      </c>
      <c r="I31" s="2291" t="s">
        <v>4405</v>
      </c>
      <c r="J31" s="2273">
        <f>SUM('7 programa'!K47,'7 programa'!K48,'7 programa'!K64,'7 programa'!K65,'7 programa'!K80,'7 programa'!K81,'7 programa'!K99,'7 programa'!K100,'7 programa'!K138,'7 programa'!K139,'7 programa'!K150,'7 programa'!K151,)</f>
        <v>8.85</v>
      </c>
      <c r="K31" s="2325">
        <f>SUM('7 programa'!L65,'7 programa'!L100,'7 programa'!L151)</f>
        <v>15.013999999999999</v>
      </c>
      <c r="L31" s="2511"/>
      <c r="M31" s="2339">
        <f>SUM('7 programa'!O47,'7 programa'!O48,'7 programa'!O64,'7 programa'!O65,'7 programa'!O80,'7 programa'!O81,'7 programa'!O99,'7 programa'!O100,'7 programa'!O138,'7 programa'!O139,'7 programa'!O150,'7 programa'!O151,)</f>
        <v>17.613</v>
      </c>
      <c r="N31" s="2322">
        <f>SUM('7 programa'!Q99)</f>
        <v>3.4129999999999998</v>
      </c>
      <c r="P31" s="2291" t="s">
        <v>4405</v>
      </c>
      <c r="Q31" s="2305"/>
      <c r="R31" s="2299"/>
      <c r="S31" s="2305"/>
      <c r="T31" s="2306"/>
      <c r="W31" s="2291" t="s">
        <v>4405</v>
      </c>
      <c r="X31" s="2241"/>
      <c r="Y31" s="2242"/>
      <c r="Z31" s="2286"/>
      <c r="AA31" s="2242"/>
      <c r="AB31" s="2243"/>
      <c r="AF31" s="2291" t="s">
        <v>4405</v>
      </c>
      <c r="AG31" s="2273">
        <f>SUM('7 programa'!K20,'7 programa'!K34,'7 programa'!K43,)</f>
        <v>222.88</v>
      </c>
      <c r="AH31" s="2325">
        <f>SUM('7 programa'!L20,'7 programa'!L34,'7 programa'!L43,)</f>
        <v>225.34999999999997</v>
      </c>
      <c r="AI31" s="2273">
        <f>SUM('7 programa'!O20,'7 programa'!O34,'7 programa'!O43,)</f>
        <v>225.34999999999997</v>
      </c>
      <c r="AJ31" s="2326">
        <f>SUM('7 programa'!Q20,'7 programa'!Q34,'7 programa'!Q43,)</f>
        <v>225.34999999999997</v>
      </c>
      <c r="BA31" s="2291" t="s">
        <v>4405</v>
      </c>
      <c r="BB31" s="2273">
        <v>0</v>
      </c>
      <c r="BC31" s="2325">
        <v>0</v>
      </c>
      <c r="BD31" s="2511"/>
      <c r="BE31" s="2273">
        <v>0</v>
      </c>
      <c r="BF31" s="2326">
        <v>0</v>
      </c>
      <c r="BP31" s="2291" t="s">
        <v>4405</v>
      </c>
      <c r="BQ31" s="2242">
        <v>0</v>
      </c>
      <c r="BR31" s="2286">
        <v>0</v>
      </c>
      <c r="BS31" s="2412"/>
      <c r="BT31" s="2242">
        <v>0</v>
      </c>
      <c r="BU31" s="2243">
        <v>0</v>
      </c>
      <c r="BV31" s="2389">
        <v>0</v>
      </c>
      <c r="BW31" s="2012">
        <v>0</v>
      </c>
      <c r="BX31" s="2017"/>
      <c r="CC31" s="2456" t="s">
        <v>4405</v>
      </c>
      <c r="CD31" s="2273">
        <f>SUM('7 programa'!K49,'7 programa'!K50,'7 programa'!K66,'7 programa'!K82:K84,'7 programa'!K101,'7 programa'!K140,'7 programa'!K152,)</f>
        <v>1481.8697320000001</v>
      </c>
      <c r="CE31" s="2325">
        <f>SUM('7 programa'!L49,'7 programa'!L50,'7 programa'!L66,'7 programa'!L82:L84,'7 programa'!L101,'7 programa'!L140,'7 programa'!L152,)</f>
        <v>1353.088</v>
      </c>
      <c r="CF31" s="2273">
        <f>SUM('7 programa'!O66,'7 programa'!O101,'7 programa'!O152)</f>
        <v>298.22500000000002</v>
      </c>
      <c r="CG31" s="2273">
        <f>SUM('7 programa'!Q66,'7 programa'!Q101,'7 programa'!Q152)</f>
        <v>106.53300000000002</v>
      </c>
      <c r="CI31" s="2456" t="s">
        <v>4405</v>
      </c>
      <c r="CJ31" s="2273">
        <f>'7 programa'!K13+'7 programa'!K14</f>
        <v>25.307000000000002</v>
      </c>
      <c r="CK31" s="2325">
        <f>SUM('7 programa'!L13)</f>
        <v>12</v>
      </c>
      <c r="CL31" s="2368">
        <v>0</v>
      </c>
      <c r="CM31" s="2273">
        <f>SUM('7 programa'!O13)</f>
        <v>12</v>
      </c>
      <c r="CN31" s="2326">
        <f>SUM('7 programa'!Q13)</f>
        <v>12</v>
      </c>
      <c r="CP31" s="2456" t="s">
        <v>4405</v>
      </c>
      <c r="CQ31" s="2482"/>
      <c r="CR31" s="2495"/>
      <c r="CS31" s="2482"/>
      <c r="CT31" s="2437"/>
      <c r="CU31" s="150"/>
      <c r="CV31" s="2456" t="s">
        <v>4405</v>
      </c>
      <c r="CW31" s="2320"/>
      <c r="CX31" s="2321">
        <f>SUM('7 programa'!L85,)</f>
        <v>70.623999999999995</v>
      </c>
      <c r="CY31" s="2320"/>
      <c r="CZ31" s="2322"/>
      <c r="DA31" s="150"/>
      <c r="DC31" s="2456" t="s">
        <v>4405</v>
      </c>
      <c r="DD31" s="2273">
        <f>SUM(C31,J31,Q31,Y31,AG31,BB31,BQ31,CD31,CJ31,CQ31,CW31,)</f>
        <v>1808.836732</v>
      </c>
      <c r="DE31" s="2325">
        <f>SUM(D31,K31,R31,Z31,AH31,BC31,BR31,CE31,CK31,CR31,CX31,)</f>
        <v>2212.1359999999995</v>
      </c>
      <c r="DF31" s="2368"/>
      <c r="DG31" s="2273">
        <f>SUM(F31,M31,S31,AA31,AI31,BE31,BS31,CF31,CM31,CS31,CY31,)</f>
        <v>925.15300000000002</v>
      </c>
      <c r="DH31" s="2273">
        <f>SUM(G31,N31,T31,AB31,AJ31,BF31,BT31,CG31,CN31,CT31,CZ31,)</f>
        <v>719.26100000000008</v>
      </c>
      <c r="DI31" s="150"/>
      <c r="DJ31" s="150"/>
    </row>
    <row r="32" spans="2:122" ht="24.6" hidden="1" customHeight="1">
      <c r="B32" s="2289"/>
      <c r="C32" s="1990"/>
      <c r="D32" s="2024"/>
      <c r="E32" s="2512"/>
      <c r="F32" s="1990"/>
      <c r="G32" s="2300"/>
      <c r="I32" s="2289"/>
      <c r="J32" s="1990"/>
      <c r="K32" s="2024"/>
      <c r="L32" s="2512"/>
      <c r="M32" s="2000"/>
      <c r="N32" s="2307"/>
      <c r="P32" s="2289"/>
      <c r="Q32" s="1995"/>
      <c r="R32" s="2028"/>
      <c r="S32" s="1995"/>
      <c r="T32" s="2307"/>
      <c r="W32" s="2289"/>
      <c r="X32" s="2008"/>
      <c r="Y32" s="2004"/>
      <c r="Z32" s="2278"/>
      <c r="AA32" s="2004"/>
      <c r="AB32" s="2244"/>
      <c r="AF32" s="2289"/>
      <c r="AG32" s="1990"/>
      <c r="AH32" s="2024"/>
      <c r="AI32" s="1990"/>
      <c r="AJ32" s="2300"/>
      <c r="BA32" s="2289"/>
      <c r="BB32" s="1990"/>
      <c r="BC32" s="2024"/>
      <c r="BD32" s="2512"/>
      <c r="BE32" s="1990"/>
      <c r="BF32" s="2369"/>
      <c r="BP32" s="2289"/>
      <c r="BQ32" s="2004"/>
      <c r="BR32" s="2278"/>
      <c r="BS32" s="2413"/>
      <c r="BT32" s="2004"/>
      <c r="BU32" s="2244"/>
      <c r="BV32" s="2389"/>
      <c r="BW32" s="2012"/>
      <c r="BX32" s="2017"/>
      <c r="CC32" s="2457"/>
      <c r="CD32" s="1989"/>
      <c r="CE32" s="2022"/>
      <c r="CF32" s="1989"/>
      <c r="CG32" s="2316"/>
      <c r="CI32" s="2457"/>
      <c r="CJ32" s="1990"/>
      <c r="CK32" s="2024"/>
      <c r="CL32" s="809"/>
      <c r="CM32" s="1990"/>
      <c r="CN32" s="2300"/>
      <c r="CP32" s="2457"/>
      <c r="CQ32" s="2431"/>
      <c r="CR32" s="2496"/>
      <c r="CS32" s="2431"/>
      <c r="CT32" s="2432"/>
      <c r="CU32" s="150"/>
      <c r="CV32" s="2457"/>
      <c r="CW32" s="1994"/>
      <c r="CX32" s="2304"/>
      <c r="CY32" s="2486"/>
      <c r="CZ32" s="2487"/>
      <c r="DA32" s="150"/>
      <c r="DC32" s="2457"/>
      <c r="DD32" s="1989"/>
      <c r="DE32" s="2022"/>
      <c r="DF32" s="2025"/>
      <c r="DG32" s="1989"/>
      <c r="DH32" s="2300"/>
      <c r="DI32" s="150"/>
      <c r="DJ32" s="150"/>
    </row>
    <row r="33" spans="2:119" ht="24" customHeight="1">
      <c r="B33" s="2289" t="s">
        <v>4406</v>
      </c>
      <c r="C33" s="1990">
        <v>69.930000000000007</v>
      </c>
      <c r="D33" s="2024">
        <v>536.05999999999995</v>
      </c>
      <c r="E33" s="2512"/>
      <c r="F33" s="1990"/>
      <c r="G33" s="2300"/>
      <c r="I33" s="2289" t="s">
        <v>4406</v>
      </c>
      <c r="J33" s="1990">
        <v>8.85</v>
      </c>
      <c r="K33" s="2024"/>
      <c r="L33" s="2512"/>
      <c r="M33" s="2000">
        <v>0</v>
      </c>
      <c r="N33" s="2307"/>
      <c r="P33" s="2289" t="s">
        <v>4406</v>
      </c>
      <c r="Q33" s="1995"/>
      <c r="R33" s="2028"/>
      <c r="S33" s="1995"/>
      <c r="T33" s="2307"/>
      <c r="W33" s="2289" t="s">
        <v>4406</v>
      </c>
      <c r="X33" s="2008"/>
      <c r="Y33" s="2004"/>
      <c r="Z33" s="2278"/>
      <c r="AA33" s="2004"/>
      <c r="AB33" s="2244"/>
      <c r="AF33" s="2289" t="s">
        <v>4406</v>
      </c>
      <c r="AG33" s="1990">
        <v>222.88</v>
      </c>
      <c r="AH33" s="2024">
        <v>225.35</v>
      </c>
      <c r="AI33" s="1989"/>
      <c r="AJ33" s="2316"/>
      <c r="BA33" s="2289" t="s">
        <v>4406</v>
      </c>
      <c r="BB33" s="1990"/>
      <c r="BC33" s="2024"/>
      <c r="BD33" s="2512"/>
      <c r="BE33" s="1990"/>
      <c r="BF33" s="2369"/>
      <c r="BP33" s="2289" t="s">
        <v>4406</v>
      </c>
      <c r="BQ33" s="2004"/>
      <c r="BR33" s="2278"/>
      <c r="BS33" s="2413"/>
      <c r="BT33" s="2004"/>
      <c r="BU33" s="2244"/>
      <c r="BV33" s="2389"/>
      <c r="BW33" s="2012"/>
      <c r="BX33" s="2017"/>
      <c r="CC33" s="2457" t="s">
        <v>4406</v>
      </c>
      <c r="CD33" s="1989"/>
      <c r="CE33" s="2022"/>
      <c r="CF33" s="1989"/>
      <c r="CG33" s="2316"/>
      <c r="CI33" s="2457" t="s">
        <v>4406</v>
      </c>
      <c r="CJ33" s="1989"/>
      <c r="CK33" s="2022"/>
      <c r="CL33" s="2025"/>
      <c r="CM33" s="1989"/>
      <c r="CN33" s="2316"/>
      <c r="CP33" s="2457" t="s">
        <v>4406</v>
      </c>
      <c r="CQ33" s="2431"/>
      <c r="CR33" s="2496"/>
      <c r="CS33" s="2431"/>
      <c r="CT33" s="2432"/>
      <c r="CU33" s="150"/>
      <c r="CV33" s="2457" t="s">
        <v>4406</v>
      </c>
      <c r="CW33" s="1994"/>
      <c r="CX33" s="2295"/>
      <c r="CY33" s="1994"/>
      <c r="CZ33" s="2311"/>
      <c r="DA33" s="150"/>
      <c r="DC33" s="2457" t="s">
        <v>4406</v>
      </c>
      <c r="DD33" s="1989"/>
      <c r="DE33" s="2022"/>
      <c r="DF33" s="2025"/>
      <c r="DG33" s="1989"/>
      <c r="DH33" s="2300"/>
      <c r="DI33" s="150"/>
      <c r="DJ33" s="150"/>
    </row>
    <row r="34" spans="2:119" ht="26.4" customHeight="1" thickBot="1">
      <c r="B34" s="2290" t="s">
        <v>3534</v>
      </c>
      <c r="C34" s="2327">
        <f>C31-C33</f>
        <v>0</v>
      </c>
      <c r="D34" s="2328">
        <f t="shared" ref="D34:F34" si="35">D31-D33</f>
        <v>0</v>
      </c>
      <c r="E34" s="2513"/>
      <c r="F34" s="2327">
        <f t="shared" si="35"/>
        <v>371.96500000000003</v>
      </c>
      <c r="G34" s="2329">
        <f t="shared" ref="G34" si="36">G31-G33</f>
        <v>371.96500000000003</v>
      </c>
      <c r="I34" s="2290" t="s">
        <v>3534</v>
      </c>
      <c r="J34" s="2327">
        <f>J31-J33</f>
        <v>0</v>
      </c>
      <c r="K34" s="2328">
        <f t="shared" ref="K34:M34" si="37">K31-K33</f>
        <v>15.013999999999999</v>
      </c>
      <c r="L34" s="2513"/>
      <c r="M34" s="2505">
        <f t="shared" si="37"/>
        <v>17.613</v>
      </c>
      <c r="N34" s="2303"/>
      <c r="P34" s="2290" t="s">
        <v>3534</v>
      </c>
      <c r="Q34" s="2301"/>
      <c r="R34" s="2302"/>
      <c r="S34" s="2301"/>
      <c r="T34" s="2303"/>
      <c r="W34" s="2290" t="s">
        <v>3534</v>
      </c>
      <c r="X34" s="2245"/>
      <c r="Y34" s="2246"/>
      <c r="Z34" s="2279"/>
      <c r="AA34" s="2246"/>
      <c r="AB34" s="2247"/>
      <c r="AF34" s="2290" t="s">
        <v>3534</v>
      </c>
      <c r="AG34" s="2327">
        <f t="shared" ref="AG34" si="38">AG31-AG33</f>
        <v>0</v>
      </c>
      <c r="AH34" s="2328">
        <f t="shared" ref="AH34" si="39">AH31-AH33</f>
        <v>0</v>
      </c>
      <c r="AI34" s="2327">
        <f t="shared" ref="AI34" si="40">AI31-AI33</f>
        <v>225.34999999999997</v>
      </c>
      <c r="AJ34" s="2329">
        <f t="shared" ref="AJ34" si="41">AJ31-AJ33</f>
        <v>225.34999999999997</v>
      </c>
      <c r="BA34" s="2290" t="s">
        <v>3534</v>
      </c>
      <c r="BB34" s="2327"/>
      <c r="BC34" s="2328"/>
      <c r="BD34" s="2513"/>
      <c r="BE34" s="2327"/>
      <c r="BF34" s="2371"/>
      <c r="BP34" s="2290" t="s">
        <v>3534</v>
      </c>
      <c r="BQ34" s="2246"/>
      <c r="BR34" s="2279"/>
      <c r="BS34" s="2414"/>
      <c r="BT34" s="2246"/>
      <c r="BU34" s="2247"/>
      <c r="BV34" s="2389"/>
      <c r="BW34" s="2012"/>
      <c r="BX34" s="2017"/>
      <c r="CC34" s="2458" t="s">
        <v>3534</v>
      </c>
      <c r="CD34" s="2317"/>
      <c r="CE34" s="2318"/>
      <c r="CF34" s="2317"/>
      <c r="CG34" s="2319"/>
      <c r="CI34" s="2458" t="s">
        <v>3534</v>
      </c>
      <c r="CJ34" s="2317"/>
      <c r="CK34" s="2318"/>
      <c r="CL34" s="2470"/>
      <c r="CM34" s="2317"/>
      <c r="CN34" s="2319"/>
      <c r="CP34" s="2458" t="s">
        <v>3534</v>
      </c>
      <c r="CQ34" s="2270"/>
      <c r="CR34" s="2497"/>
      <c r="CS34" s="2270"/>
      <c r="CT34" s="2434"/>
      <c r="CU34" s="150"/>
      <c r="CV34" s="2458" t="s">
        <v>3534</v>
      </c>
      <c r="CW34" s="2312"/>
      <c r="CX34" s="2313"/>
      <c r="CY34" s="2312"/>
      <c r="CZ34" s="2371"/>
      <c r="DA34" s="150"/>
      <c r="DC34" s="2458" t="s">
        <v>3534</v>
      </c>
      <c r="DD34" s="2317"/>
      <c r="DE34" s="2318"/>
      <c r="DF34" s="2470"/>
      <c r="DG34" s="2317"/>
      <c r="DH34" s="2329"/>
      <c r="DI34" s="150"/>
      <c r="DJ34" s="150"/>
    </row>
    <row r="35" spans="2:119" ht="23.4" customHeight="1">
      <c r="B35" s="2291" t="s">
        <v>4407</v>
      </c>
      <c r="C35" s="2273">
        <f>SUM('8 programa'!K26,'8 programa'!K37,'8 programa'!K46,'8 programa'!K68,'8 programa'!K105,'8 programa'!K123,'8 programa'!K142,'8 programa'!K146,'8 programa'!K149,'8 programa'!K47)</f>
        <v>567.96</v>
      </c>
      <c r="D35" s="2325">
        <f>SUM('8 programa'!L26,'8 programa'!L37,'8 programa'!L46,'8 programa'!L68,'8 programa'!L105,'8 programa'!L123,'8 programa'!L142,'8 programa'!L146,'8 programa'!L149,'8 programa'!L47)</f>
        <v>621.03600000000006</v>
      </c>
      <c r="E35" s="2511">
        <f>SUM('8 programa'!L47)</f>
        <v>376.536</v>
      </c>
      <c r="F35" s="2273">
        <f>SUM('8 programa'!O26,'8 programa'!O37,'8 programa'!O46,'8 programa'!O68,'8 programa'!O105,'8 programa'!O123,'8 programa'!O142,'8 programa'!O146,'8 programa'!O149,)</f>
        <v>876.95</v>
      </c>
      <c r="G35" s="2326">
        <f>SUM('8 programa'!Q26,'8 programa'!Q37,'8 programa'!Q46,'8 programa'!Q68,'8 programa'!Q105,'8 programa'!Q123,'8 programa'!Q142,'8 programa'!Q146,'8 programa'!Q149,)</f>
        <v>314.5</v>
      </c>
      <c r="I35" s="2291" t="s">
        <v>4407</v>
      </c>
      <c r="J35" s="2273">
        <f>SUM('8 programa'!K62,'8 programa'!K63,'8 programa'!K113,'8 programa'!K114,'8 programa'!K117,'8 programa'!K118,)</f>
        <v>87.741</v>
      </c>
      <c r="K35" s="2325">
        <f>SUM('8 programa'!L62,'8 programa'!L114,)</f>
        <v>200.6</v>
      </c>
      <c r="L35" s="2511"/>
      <c r="M35" s="2339">
        <f>SUM('8 programa'!O63,'8 programa'!O113)</f>
        <v>4.5999999999999996</v>
      </c>
      <c r="N35" s="2326">
        <f>'8 programa'!Q113</f>
        <v>4.5999999999999996</v>
      </c>
      <c r="P35" s="2291" t="s">
        <v>4407</v>
      </c>
      <c r="Q35" s="2305"/>
      <c r="R35" s="2299"/>
      <c r="S35" s="2305"/>
      <c r="T35" s="2306"/>
      <c r="W35" s="2291" t="s">
        <v>4407</v>
      </c>
      <c r="X35" s="2241"/>
      <c r="Y35" s="2242"/>
      <c r="Z35" s="2286"/>
      <c r="AA35" s="2242"/>
      <c r="AB35" s="2243"/>
      <c r="AF35" s="2291" t="s">
        <v>4407</v>
      </c>
      <c r="AG35" s="2305"/>
      <c r="AH35" s="2299"/>
      <c r="AI35" s="2305"/>
      <c r="AJ35" s="2306"/>
      <c r="BA35" s="2291" t="s">
        <v>4407</v>
      </c>
      <c r="BB35" s="2273">
        <f>SUM('8 programa'!K21,'8 programa'!K28,'8 programa'!K29)</f>
        <v>3934.45</v>
      </c>
      <c r="BC35" s="2325">
        <f>SUM('8 programa'!L21,'8 programa'!L28)</f>
        <v>4323.38</v>
      </c>
      <c r="BD35" s="2511"/>
      <c r="BE35" s="2273">
        <f>SUM('8 programa'!O21,'8 programa'!O28)</f>
        <v>4539.549</v>
      </c>
      <c r="BF35" s="2326">
        <f>SUM('8 programa'!Q21,'8 programa'!Q28)</f>
        <v>4766.5264500000003</v>
      </c>
      <c r="BP35" s="2291" t="s">
        <v>4407</v>
      </c>
      <c r="BQ35" s="2242">
        <v>0</v>
      </c>
      <c r="BR35" s="2286">
        <v>0</v>
      </c>
      <c r="BS35" s="2412"/>
      <c r="BT35" s="2242">
        <v>0</v>
      </c>
      <c r="BU35" s="2243">
        <v>0</v>
      </c>
      <c r="BV35" s="2389">
        <v>0</v>
      </c>
      <c r="BW35" s="2012">
        <v>0</v>
      </c>
      <c r="BX35" s="2017"/>
      <c r="CC35" s="2456" t="s">
        <v>4407</v>
      </c>
      <c r="CD35" s="2320">
        <f>SUM('8 programa'!K64,'8 programa'!K115,'8 programa'!K119,)</f>
        <v>497.19299999999998</v>
      </c>
      <c r="CE35" s="2321">
        <f>SUM('8 programa'!L64,'8 programa'!L115,'8 programa'!L119,)</f>
        <v>741.95499999999993</v>
      </c>
      <c r="CF35" s="2320">
        <f>SUM('8 programa'!O64,'8 programa'!O115,'8 programa'!O119,)</f>
        <v>946.22399999999993</v>
      </c>
      <c r="CG35" s="2322">
        <f>SUM('8 programa'!Q64,'8 programa'!Q115,'8 programa'!Q119,)</f>
        <v>353.89100000000002</v>
      </c>
      <c r="CI35" s="2456" t="s">
        <v>4407</v>
      </c>
      <c r="CJ35" s="2273">
        <f>SUM('8 programa'!K18,'8 programa'!K19,'8 programa'!K38,'8 programa'!K39,'8 programa'!K48,'8 programa'!K49,'8 programa'!K69,'8 programa'!K70,'8 programa'!K86,'8 programa'!K87,'8 programa'!K95,'8 programa'!K96,'8 programa'!K107,'8 programa'!K106,)</f>
        <v>103.02</v>
      </c>
      <c r="CK35" s="2325">
        <f>SUM('8 programa'!L18,'8 programa'!L19,'8 programa'!L38,'8 programa'!L39,'8 programa'!L48,'8 programa'!L49,'8 programa'!L69,'8 programa'!L70,'8 programa'!L86,'8 programa'!L87,'8 programa'!L95,'8 programa'!L96,'8 programa'!L106,'8 programa'!L107,)</f>
        <v>80.87</v>
      </c>
      <c r="CL35" s="2368">
        <f>SUM('8 programa'!L19,'8 programa'!L39,'8 programa'!L49,'8 programa'!L70,'8 programa'!L87,'8 programa'!L96,'8 programa'!L107,)</f>
        <v>30.87</v>
      </c>
      <c r="CM35" s="2273">
        <f>SUM('8 programa'!O18,'8 programa'!O38,'8 programa'!O48,'8 programa'!O69,'8 programa'!O86,'8 programa'!O95,'8 programa'!O106,)</f>
        <v>75.2</v>
      </c>
      <c r="CN35" s="2326">
        <f>SUM('8 programa'!Q18,'8 programa'!Q38,'8 programa'!Q48,'8 programa'!Q69,'8 programa'!Q86,'8 programa'!Q95,'8 programa'!Q106,)</f>
        <v>75.2</v>
      </c>
      <c r="CP35" s="2456" t="s">
        <v>4407</v>
      </c>
      <c r="CQ35" s="2482"/>
      <c r="CR35" s="2321">
        <f>SUM('8 programa'!L66,)</f>
        <v>17.373999999999999</v>
      </c>
      <c r="CS35" s="2320">
        <f>SUM('8 programa'!O66,)</f>
        <v>10.852</v>
      </c>
      <c r="CT35" s="2320">
        <f>SUM('8 programa'!Q66,)</f>
        <v>0</v>
      </c>
      <c r="CU35" s="150"/>
      <c r="CV35" s="2469" t="s">
        <v>4407</v>
      </c>
      <c r="CW35" s="2454"/>
      <c r="CX35" s="2460">
        <f>SUM('8 programa'!L120)</f>
        <v>132.709</v>
      </c>
      <c r="CY35" s="2459">
        <f>'8 programa'!O120</f>
        <v>132.709</v>
      </c>
      <c r="CZ35" s="2488"/>
      <c r="DA35" s="150"/>
      <c r="DC35" s="2456" t="s">
        <v>4407</v>
      </c>
      <c r="DD35" s="2273">
        <f>SUM(C35,J35,Q35,Y35,AG35,BB35,BQ35,CD35,CJ35,CQ35,CW35)</f>
        <v>5190.3640000000005</v>
      </c>
      <c r="DE35" s="2325">
        <f>SUM(D35,K35,R35,Z35,AH35,BC35,BR35,CE35,CK35,CR35,CX35,)</f>
        <v>6117.924</v>
      </c>
      <c r="DF35" s="2368"/>
      <c r="DG35" s="2273">
        <f>SUM(F35,M35,S35,AA35,AI35,BE35,BS35,CF35,CM35,CS35,CY35,)</f>
        <v>6586.0839999999998</v>
      </c>
      <c r="DH35" s="2273">
        <f>SUM(G35,N35,T35,AB35,AJ35,BF35,BT35,CG35,CN35,CT35,CZ35,)</f>
        <v>5514.7174500000001</v>
      </c>
      <c r="DI35" s="150"/>
      <c r="DJ35" s="150"/>
    </row>
    <row r="36" spans="2:119" ht="23.4" hidden="1" customHeight="1">
      <c r="B36" s="2289"/>
      <c r="C36" s="1990"/>
      <c r="D36" s="2024"/>
      <c r="E36" s="2512"/>
      <c r="F36" s="1990"/>
      <c r="G36" s="2300"/>
      <c r="I36" s="2289"/>
      <c r="J36" s="1990"/>
      <c r="K36" s="2024"/>
      <c r="L36" s="2512"/>
      <c r="M36" s="2000"/>
      <c r="N36" s="2307"/>
      <c r="P36" s="2289"/>
      <c r="Q36" s="1995"/>
      <c r="R36" s="2028"/>
      <c r="S36" s="1995"/>
      <c r="T36" s="2307"/>
      <c r="W36" s="2289"/>
      <c r="X36" s="2008"/>
      <c r="Y36" s="2004"/>
      <c r="Z36" s="2278"/>
      <c r="AA36" s="2004"/>
      <c r="AB36" s="2244"/>
      <c r="AF36" s="2289"/>
      <c r="AG36" s="1995"/>
      <c r="AH36" s="2028"/>
      <c r="AI36" s="1995"/>
      <c r="AJ36" s="2307"/>
      <c r="BA36" s="2289"/>
      <c r="BB36" s="1990"/>
      <c r="BC36" s="2024"/>
      <c r="BD36" s="2512"/>
      <c r="BE36" s="1990"/>
      <c r="BF36" s="2369"/>
      <c r="BP36" s="2289"/>
      <c r="BQ36" s="2005"/>
      <c r="BR36" s="2404"/>
      <c r="BS36" s="2415"/>
      <c r="BT36" s="2005"/>
      <c r="BU36" s="2390"/>
      <c r="BV36" s="2389"/>
      <c r="BW36" s="2012"/>
      <c r="BX36" s="2017"/>
      <c r="CC36" s="2457"/>
      <c r="CD36" s="1994"/>
      <c r="CE36" s="2295"/>
      <c r="CF36" s="1994"/>
      <c r="CG36" s="2311"/>
      <c r="CI36" s="2457"/>
      <c r="CJ36" s="1990"/>
      <c r="CK36" s="2024"/>
      <c r="CL36" s="809"/>
      <c r="CM36" s="1990"/>
      <c r="CN36" s="2300"/>
      <c r="CP36" s="2457"/>
      <c r="CQ36" s="2431"/>
      <c r="CR36" s="2496"/>
      <c r="CS36" s="2431"/>
      <c r="CT36" s="2432"/>
      <c r="CU36" s="150"/>
      <c r="CV36" s="2457"/>
      <c r="CW36" s="1995"/>
      <c r="CX36" s="2028"/>
      <c r="CY36" s="1995"/>
      <c r="CZ36" s="2307"/>
      <c r="DA36" s="150"/>
      <c r="DC36" s="2457"/>
      <c r="DD36" s="1989"/>
      <c r="DE36" s="2022"/>
      <c r="DF36" s="2025"/>
      <c r="DG36" s="1989"/>
      <c r="DH36" s="2300"/>
      <c r="DI36" s="150"/>
      <c r="DJ36" s="150"/>
    </row>
    <row r="37" spans="2:119" ht="21.6" customHeight="1">
      <c r="B37" s="2289" t="s">
        <v>4408</v>
      </c>
      <c r="C37" s="113">
        <v>567.96</v>
      </c>
      <c r="D37" s="2024">
        <v>621.03599999999994</v>
      </c>
      <c r="E37" s="2512"/>
      <c r="F37" s="1990"/>
      <c r="G37" s="2300"/>
      <c r="I37" s="2289" t="s">
        <v>4408</v>
      </c>
      <c r="J37" s="1990">
        <v>87.741</v>
      </c>
      <c r="K37" s="2024"/>
      <c r="L37" s="2512"/>
      <c r="M37" s="2000">
        <v>0</v>
      </c>
      <c r="N37" s="2307"/>
      <c r="P37" s="2289" t="s">
        <v>4408</v>
      </c>
      <c r="Q37" s="1995"/>
      <c r="R37" s="2028"/>
      <c r="S37" s="1995"/>
      <c r="T37" s="2307"/>
      <c r="V37" s="150"/>
      <c r="W37" s="2289" t="s">
        <v>4408</v>
      </c>
      <c r="X37" s="2008"/>
      <c r="Y37" s="2004"/>
      <c r="Z37" s="2278"/>
      <c r="AA37" s="2004"/>
      <c r="AB37" s="2244"/>
      <c r="AC37" s="150"/>
      <c r="AF37" s="2289" t="s">
        <v>4408</v>
      </c>
      <c r="AG37" s="1995"/>
      <c r="AH37" s="2028"/>
      <c r="AI37" s="1995"/>
      <c r="AJ37" s="2307"/>
      <c r="BA37" s="2289" t="s">
        <v>4408</v>
      </c>
      <c r="BB37" s="1990"/>
      <c r="BC37" s="2024">
        <v>4263.38</v>
      </c>
      <c r="BD37" s="2512"/>
      <c r="BE37" s="1990"/>
      <c r="BF37" s="2369"/>
      <c r="BL37" s="150"/>
      <c r="BP37" s="2289" t="s">
        <v>4408</v>
      </c>
      <c r="BQ37" s="2005"/>
      <c r="BR37" s="2404"/>
      <c r="BS37" s="2415"/>
      <c r="BT37" s="2005"/>
      <c r="BU37" s="2390"/>
      <c r="BV37" s="2389"/>
      <c r="BW37" s="2012"/>
      <c r="BX37" s="2017"/>
      <c r="BZ37" s="150"/>
      <c r="CC37" s="2457" t="s">
        <v>4408</v>
      </c>
      <c r="CD37" s="1994"/>
      <c r="CE37" s="2295"/>
      <c r="CF37" s="1994"/>
      <c r="CG37" s="2311"/>
      <c r="CI37" s="2457" t="s">
        <v>4408</v>
      </c>
      <c r="CJ37" s="1990"/>
      <c r="CK37" s="2024"/>
      <c r="CL37" s="809"/>
      <c r="CM37" s="1990"/>
      <c r="CN37" s="2300"/>
      <c r="CO37" s="150"/>
      <c r="CP37" s="2457" t="s">
        <v>4408</v>
      </c>
      <c r="CQ37" s="2431"/>
      <c r="CR37" s="2496"/>
      <c r="CS37" s="2431"/>
      <c r="CT37" s="2432"/>
      <c r="CU37" s="150"/>
      <c r="CV37" s="2457" t="s">
        <v>4408</v>
      </c>
      <c r="CW37" s="1995"/>
      <c r="CX37" s="2028"/>
      <c r="CY37" s="1995"/>
      <c r="CZ37" s="2307"/>
      <c r="DA37" s="150"/>
      <c r="DC37" s="2457" t="s">
        <v>4408</v>
      </c>
      <c r="DD37" s="1989"/>
      <c r="DE37" s="2022"/>
      <c r="DF37" s="2025"/>
      <c r="DG37" s="1989"/>
      <c r="DH37" s="2300"/>
      <c r="DI37" s="150"/>
      <c r="DJ37" s="150"/>
      <c r="DM37" s="150"/>
    </row>
    <row r="38" spans="2:119" ht="24.6" customHeight="1" thickBot="1">
      <c r="B38" s="2290" t="s">
        <v>3534</v>
      </c>
      <c r="C38" s="2327">
        <f>C35-C37</f>
        <v>0</v>
      </c>
      <c r="D38" s="2328">
        <f t="shared" ref="D38:F38" si="42">D35-D37</f>
        <v>0</v>
      </c>
      <c r="E38" s="2513"/>
      <c r="F38" s="2327">
        <f t="shared" si="42"/>
        <v>876.95</v>
      </c>
      <c r="G38" s="2329">
        <f t="shared" ref="G38" si="43">G35-G37</f>
        <v>314.5</v>
      </c>
      <c r="I38" s="2290" t="s">
        <v>3534</v>
      </c>
      <c r="J38" s="2327">
        <f>J35-J37</f>
        <v>0</v>
      </c>
      <c r="K38" s="2328">
        <f t="shared" ref="K38:M38" si="44">K35-K37</f>
        <v>200.6</v>
      </c>
      <c r="L38" s="2513"/>
      <c r="M38" s="2505">
        <f t="shared" si="44"/>
        <v>4.5999999999999996</v>
      </c>
      <c r="N38" s="2303"/>
      <c r="P38" s="2290" t="s">
        <v>3534</v>
      </c>
      <c r="Q38" s="2301"/>
      <c r="R38" s="2302"/>
      <c r="S38" s="2301"/>
      <c r="T38" s="2303"/>
      <c r="V38" s="150"/>
      <c r="W38" s="2290" t="s">
        <v>3534</v>
      </c>
      <c r="X38" s="2245"/>
      <c r="Y38" s="2246"/>
      <c r="Z38" s="2279"/>
      <c r="AA38" s="2246"/>
      <c r="AB38" s="2247"/>
      <c r="AC38" s="150"/>
      <c r="AD38" s="150"/>
      <c r="AE38" s="150"/>
      <c r="AF38" s="2290" t="s">
        <v>3534</v>
      </c>
      <c r="AG38" s="2301"/>
      <c r="AH38" s="2302"/>
      <c r="AI38" s="2301"/>
      <c r="AJ38" s="2303"/>
      <c r="BA38" s="2290" t="s">
        <v>3534</v>
      </c>
      <c r="BB38" s="2359"/>
      <c r="BC38" s="2328">
        <f>BC35-BC37</f>
        <v>60</v>
      </c>
      <c r="BD38" s="2513"/>
      <c r="BE38" s="2327"/>
      <c r="BF38" s="2371"/>
      <c r="BL38" s="150"/>
      <c r="BM38" s="150"/>
      <c r="BN38" s="150"/>
      <c r="BP38" s="2290" t="s">
        <v>3534</v>
      </c>
      <c r="BQ38" s="2391"/>
      <c r="BR38" s="2405"/>
      <c r="BS38" s="2416"/>
      <c r="BT38" s="2391"/>
      <c r="BU38" s="2392"/>
      <c r="BV38" s="2389"/>
      <c r="BW38" s="2012"/>
      <c r="BX38" s="2017"/>
      <c r="BZ38" s="150"/>
      <c r="CA38" s="150"/>
      <c r="CB38" s="150"/>
      <c r="CC38" s="2458" t="s">
        <v>3534</v>
      </c>
      <c r="CD38" s="2312"/>
      <c r="CE38" s="2313"/>
      <c r="CF38" s="2312"/>
      <c r="CG38" s="2314"/>
      <c r="CI38" s="2458" t="s">
        <v>3534</v>
      </c>
      <c r="CJ38" s="2327"/>
      <c r="CK38" s="2328"/>
      <c r="CL38" s="2370"/>
      <c r="CM38" s="2327"/>
      <c r="CN38" s="2329"/>
      <c r="CO38" s="150"/>
      <c r="CP38" s="2458" t="s">
        <v>3534</v>
      </c>
      <c r="CQ38" s="2270"/>
      <c r="CR38" s="2497"/>
      <c r="CS38" s="2270"/>
      <c r="CT38" s="2434"/>
      <c r="CU38" s="150"/>
      <c r="CV38" s="2458" t="s">
        <v>3534</v>
      </c>
      <c r="CW38" s="2301"/>
      <c r="CX38" s="2302"/>
      <c r="CY38" s="2301"/>
      <c r="CZ38" s="2303"/>
      <c r="DA38" s="150"/>
      <c r="DC38" s="2458" t="s">
        <v>3534</v>
      </c>
      <c r="DD38" s="2317"/>
      <c r="DE38" s="2318"/>
      <c r="DF38" s="2470"/>
      <c r="DG38" s="2317"/>
      <c r="DH38" s="2329"/>
      <c r="DI38" s="150"/>
      <c r="DJ38" s="150"/>
      <c r="DM38" s="150"/>
      <c r="DN38" s="150"/>
      <c r="DO38" s="150"/>
    </row>
    <row r="39" spans="2:119" s="84" customFormat="1" ht="22.2" customHeight="1">
      <c r="B39" s="2291" t="s">
        <v>4409</v>
      </c>
      <c r="C39" s="2273">
        <f>SUM('+9 programa'!H32,'+9 programa'!H34,'+9 programa'!H36,'+9 programa'!H38,'+9 programa'!H43,'+9 programa'!H53,'+9 programa'!H55,'+9 programa'!H57,'+9 programa'!H62,'+9 programa'!H67,'+9 programa'!H70,'+9 programa'!H120,'+9 programa'!H144,'+9 programa'!H168,'+9 programa'!H185,'+9 programa'!H196,'+9 programa'!H121)</f>
        <v>1427.92</v>
      </c>
      <c r="D39" s="2325">
        <f>SUM('+9 programa'!I32,'+9 programa'!I34,'+9 programa'!I36,'+9 programa'!I38,'+9 programa'!I41,'+9 programa'!I43,'+9 programa'!I53,'+9 programa'!I55,'+9 programa'!I57,'+9 programa'!I62,'+9 programa'!I67,'+9 programa'!I70,'+9 programa'!I93,'+9 programa'!I120,'+9 programa'!I121,'+9 programa'!I144,'+9 programa'!I168,'+9 programa'!I169,'+9 programa'!I186,'+9 programa'!I196,'+9 programa'!I68)</f>
        <v>1580.7909999999999</v>
      </c>
      <c r="E39" s="2511">
        <f>SUM('+9 programa'!I44,'+9 programa'!I93,'+9 programa'!I121,'+9 programa'!I169,'+9 programa'!I186,'+9 programa'!I68)</f>
        <v>677.96</v>
      </c>
      <c r="F39" s="2273">
        <f>SUM('+9 programa'!L32,'+9 programa'!L34,'+9 programa'!L36,'+9 programa'!L38,'+9 programa'!L41,'+9 programa'!L43,'+9 programa'!L53,'+9 programa'!L55,'+9 programa'!L57,'+9 programa'!L62,'+9 programa'!L67,'+9 programa'!L70,'+9 programa'!L94,'+9 programa'!L120,'+9 programa'!L144,'+9 programa'!L168,'+9 programa'!L196,'+9 programa'!L185)</f>
        <v>1066.8389999999999</v>
      </c>
      <c r="G39" s="2326">
        <f>SUM('+9 programa'!N32,'+9 programa'!N34,'+9 programa'!N36,'+9 programa'!N38,'+9 programa'!N41,'+9 programa'!N43,'+9 programa'!N53,'+9 programa'!N55,'+9 programa'!N57,'+9 programa'!N62,'+9 programa'!N67,'+9 programa'!N70,'+9 programa'!N94,'+9 programa'!N120,'+9 programa'!N144,'+9 programa'!N168,'+9 programa'!N185,'+9 programa'!N196)</f>
        <v>979.6</v>
      </c>
      <c r="I39" s="2291" t="s">
        <v>4409</v>
      </c>
      <c r="J39" s="2273">
        <f>SUM('+9 programa'!H23,'+9 programa'!H29,'+9 programa'!H44,'+9 programa'!H75,'+9 programa'!H87,'+9 programa'!H93,'+9 programa'!H125,'+9 programa'!H126,'+9 programa'!H131,'+9 programa'!H132,'+9 programa'!H164,'+9 programa'!H169,)</f>
        <v>763.66800000000001</v>
      </c>
      <c r="K39" s="2325">
        <f>SUM('+9 programa'!I23,'+9 programa'!I29,'+9 programa'!I44,'+9 programa'!I126,'+9 programa'!I87)</f>
        <v>371.041</v>
      </c>
      <c r="L39" s="2511"/>
      <c r="M39" s="2339">
        <f>SUM('+9 programa'!L22,'+9 programa'!L28,'+9 programa'!L88,'+9 programa'!L125,'+9 programa'!L131,)</f>
        <v>1433.088</v>
      </c>
      <c r="N39" s="2322">
        <f>SUM('+9 programa'!N22,'+9 programa'!N88,'+9 programa'!N131,)</f>
        <v>1250</v>
      </c>
      <c r="P39" s="2291" t="s">
        <v>4409</v>
      </c>
      <c r="Q39" s="2305"/>
      <c r="R39" s="2299"/>
      <c r="S39" s="2305"/>
      <c r="T39" s="2306"/>
      <c r="W39" s="2291" t="s">
        <v>4409</v>
      </c>
      <c r="X39" s="2241"/>
      <c r="Y39" s="2248">
        <f>SUM('+9 programa'!H74)</f>
        <v>25.212</v>
      </c>
      <c r="Z39" s="2277">
        <f>SUM('+9 programa'!I72)</f>
        <v>0</v>
      </c>
      <c r="AA39" s="2248">
        <f>SUM('+9 programa'!L72)</f>
        <v>0</v>
      </c>
      <c r="AB39" s="2250">
        <f>SUM('+9 programa'!N72)</f>
        <v>0</v>
      </c>
      <c r="AF39" s="2291" t="s">
        <v>4409</v>
      </c>
      <c r="AG39" s="2273">
        <f>SUM('+9 programa'!H39)</f>
        <v>89.81</v>
      </c>
      <c r="AH39" s="2325">
        <f>SUM('+9 programa'!I39)</f>
        <v>73.37</v>
      </c>
      <c r="AI39" s="2273">
        <f>SUM('+9 programa'!L39)</f>
        <v>73.37</v>
      </c>
      <c r="AJ39" s="2326">
        <f>SUM('+9 programa'!N39)</f>
        <v>73.37</v>
      </c>
      <c r="BA39" s="2291" t="s">
        <v>4409</v>
      </c>
      <c r="BB39" s="2273">
        <f>SUM('+9 programa'!H178)</f>
        <v>249.98</v>
      </c>
      <c r="BC39" s="2325">
        <f>SUM('+9 programa'!I178)</f>
        <v>263.60000000000002</v>
      </c>
      <c r="BD39" s="2511"/>
      <c r="BE39" s="2273">
        <f>SUM('+9 programa'!L178)</f>
        <v>276.78000000000003</v>
      </c>
      <c r="BF39" s="2326">
        <f>SUM('+9 programa'!N178)</f>
        <v>290.61900000000003</v>
      </c>
      <c r="BP39" s="2291" t="s">
        <v>4409</v>
      </c>
      <c r="BQ39" s="2393">
        <f>SUM('+9 programa'!H179)</f>
        <v>145.30000000000001</v>
      </c>
      <c r="BR39" s="2280">
        <f>SUM('+9 programa'!I179,'+9 programa'!I180)</f>
        <v>165.62899999999999</v>
      </c>
      <c r="BS39" s="2417">
        <f>'+9 programa'!I180</f>
        <v>3.9590000000000001</v>
      </c>
      <c r="BT39" s="2249">
        <f>SUM('+9 programa'!L179)</f>
        <v>161.66999999999999</v>
      </c>
      <c r="BU39" s="2252">
        <f>SUM('+9 programa'!M179)</f>
        <v>161.66999999999999</v>
      </c>
      <c r="BV39" s="2384">
        <f>SUM('+9 programa'!P179)</f>
        <v>0</v>
      </c>
      <c r="BW39" s="2000">
        <v>0</v>
      </c>
      <c r="BX39" s="113"/>
      <c r="CC39" s="2456" t="s">
        <v>4409</v>
      </c>
      <c r="CD39" s="2273">
        <f>SUM('+9 programa'!H20,'+9 programa'!H26,'+9 programa'!H123,'+9 programa'!H129,'+9 programa'!H162,'+9 programa'!H163,)</f>
        <v>156.62569999999999</v>
      </c>
      <c r="CE39" s="2325">
        <f>SUM('+9 programa'!I20,'+9 programa'!I26,'+9 programa'!I123,'+9 programa'!I129,'+9 programa'!I162,'+9 programa'!I163,)</f>
        <v>412.88500000000005</v>
      </c>
      <c r="CF39" s="2273">
        <f>SUM('+9 programa'!L20,'+9 programa'!L26,'+9 programa'!L123,'+9 programa'!L129,'+9 programa'!L162,'+9 programa'!L163,)</f>
        <v>3005.509</v>
      </c>
      <c r="CG39" s="2326">
        <f>SUM('+9 programa'!N20,'+9 programa'!N26,'+9 programa'!N123,'+9 programa'!N129,'+9 programa'!N162,'+9 programa'!N163,)</f>
        <v>931.64400000000001</v>
      </c>
      <c r="CI39" s="2456" t="s">
        <v>4409</v>
      </c>
      <c r="CJ39" s="2308"/>
      <c r="CK39" s="2309"/>
      <c r="CL39" s="2408"/>
      <c r="CM39" s="2308"/>
      <c r="CN39" s="2310"/>
      <c r="CP39" s="2456" t="s">
        <v>4409</v>
      </c>
      <c r="CQ39" s="2482"/>
      <c r="CR39" s="2321">
        <f>SUM('+9 programa'!I24,'+9 programa'!I30,'+9 programa'!I133,)</f>
        <v>451.762</v>
      </c>
      <c r="CS39" s="2273">
        <f>SUM('+9 programa'!L24,'+9 programa'!L30,'+9 programa'!L133,)</f>
        <v>236.68999999999997</v>
      </c>
      <c r="CT39" s="2273">
        <f>SUM('+9 programa'!N24,'+9 programa'!N30,'+9 programa'!N133,)</f>
        <v>54.908000000000001</v>
      </c>
      <c r="CU39" s="113"/>
      <c r="CV39" s="2456" t="s">
        <v>4409</v>
      </c>
      <c r="CW39" s="2320"/>
      <c r="CX39" s="2321"/>
      <c r="CY39" s="2320"/>
      <c r="CZ39" s="2322"/>
      <c r="DA39" s="113"/>
      <c r="DC39" s="2456" t="s">
        <v>4409</v>
      </c>
      <c r="DD39" s="2273">
        <f>SUM(C39,J39,Q39,Y39,AG39,BB39,BQ39,CD39,CJ39,CQ39,CW39,)</f>
        <v>2858.5157000000004</v>
      </c>
      <c r="DE39" s="2325">
        <f>SUM(D39,K39,R39,Z39,AH39,BC39,BR39,CE39,CK39,CR39,CX39,)</f>
        <v>3319.078</v>
      </c>
      <c r="DF39" s="2368"/>
      <c r="DG39" s="2273">
        <f>SUM(F39,M39,S39,AA39,AI39,BE39,CF39,CL39,CS39,CY39,BT39)</f>
        <v>6253.945999999999</v>
      </c>
      <c r="DH39" s="2273">
        <f>SUM(G39,N39,T39,AB39,AJ39,BF39,CG39,CM39,CT39,CZ39,BU39)</f>
        <v>3741.8110000000001</v>
      </c>
      <c r="DI39" s="113"/>
      <c r="DJ39" s="113"/>
    </row>
    <row r="40" spans="2:119" s="84" customFormat="1" ht="22.2" hidden="1" customHeight="1">
      <c r="B40" s="2289"/>
      <c r="C40" s="1990"/>
      <c r="D40" s="2024"/>
      <c r="E40" s="2512"/>
      <c r="F40" s="1990"/>
      <c r="G40" s="2300"/>
      <c r="I40" s="2289"/>
      <c r="J40" s="1990"/>
      <c r="K40" s="2024"/>
      <c r="L40" s="2512"/>
      <c r="M40" s="2000"/>
      <c r="N40" s="2307"/>
      <c r="P40" s="2289"/>
      <c r="Q40" s="1995"/>
      <c r="R40" s="2028"/>
      <c r="S40" s="1995"/>
      <c r="T40" s="2307"/>
      <c r="W40" s="2289"/>
      <c r="X40" s="2008"/>
      <c r="Y40" s="2004"/>
      <c r="Z40" s="2278"/>
      <c r="AA40" s="2004"/>
      <c r="AB40" s="2244"/>
      <c r="AF40" s="2289"/>
      <c r="AG40" s="1990"/>
      <c r="AH40" s="2024"/>
      <c r="AI40" s="1990">
        <f>SUM('+9 programa'!L40)</f>
        <v>108.37</v>
      </c>
      <c r="AJ40" s="2300"/>
      <c r="BA40" s="2289"/>
      <c r="BB40" s="1990"/>
      <c r="BC40" s="2024"/>
      <c r="BD40" s="2512"/>
      <c r="BE40" s="1990"/>
      <c r="BF40" s="2307"/>
      <c r="BP40" s="2289"/>
      <c r="BQ40" s="2006"/>
      <c r="BR40" s="2406"/>
      <c r="BS40" s="2418"/>
      <c r="BT40" s="2006"/>
      <c r="BU40" s="2394"/>
      <c r="BV40" s="2384"/>
      <c r="BW40" s="2000"/>
      <c r="BX40" s="113"/>
      <c r="CC40" s="2457"/>
      <c r="CD40" s="1989"/>
      <c r="CE40" s="2022"/>
      <c r="CF40" s="1989">
        <f>SUM('+9 programa'!L21,'+9 programa'!L27,'+9 programa'!L124,'+9 programa'!L130,'+9 programa'!L163,'+9 programa'!L164,)</f>
        <v>0</v>
      </c>
      <c r="CG40" s="2316"/>
      <c r="CI40" s="2457"/>
      <c r="CJ40" s="1990"/>
      <c r="CK40" s="2024"/>
      <c r="CL40" s="809"/>
      <c r="CM40" s="1990"/>
      <c r="CN40" s="2300"/>
      <c r="CP40" s="2457"/>
      <c r="CQ40" s="2431"/>
      <c r="CR40" s="2496"/>
      <c r="CS40" s="2431"/>
      <c r="CT40" s="2432"/>
      <c r="CU40" s="113"/>
      <c r="CV40" s="2457"/>
      <c r="CW40" s="1994"/>
      <c r="CX40" s="2295"/>
      <c r="CY40" s="1994"/>
      <c r="CZ40" s="2311"/>
      <c r="DA40" s="113"/>
      <c r="DC40" s="2457"/>
      <c r="DD40" s="1989"/>
      <c r="DE40" s="2022"/>
      <c r="DF40" s="2025"/>
      <c r="DG40" s="1989"/>
      <c r="DH40" s="2300"/>
      <c r="DI40" s="113"/>
      <c r="DJ40" s="113"/>
    </row>
    <row r="41" spans="2:119" s="84" customFormat="1" ht="24" customHeight="1">
      <c r="B41" s="2289" t="s">
        <v>4410</v>
      </c>
      <c r="C41" s="1990">
        <v>1427.92</v>
      </c>
      <c r="D41" s="2024">
        <v>1580.7909999999999</v>
      </c>
      <c r="E41" s="2512"/>
      <c r="F41" s="1990"/>
      <c r="G41" s="2300"/>
      <c r="I41" s="2289" t="s">
        <v>4410</v>
      </c>
      <c r="J41" s="1990">
        <v>763.66700000000003</v>
      </c>
      <c r="K41" s="2024"/>
      <c r="L41" s="2512"/>
      <c r="M41" s="2000"/>
      <c r="N41" s="2307"/>
      <c r="P41" s="2289" t="s">
        <v>4410</v>
      </c>
      <c r="Q41" s="1995"/>
      <c r="R41" s="2028"/>
      <c r="S41" s="1995"/>
      <c r="T41" s="2307"/>
      <c r="W41" s="2289" t="s">
        <v>4410</v>
      </c>
      <c r="X41" s="2008"/>
      <c r="Y41" s="2004">
        <v>25.212</v>
      </c>
      <c r="Z41" s="2278"/>
      <c r="AA41" s="2004"/>
      <c r="AB41" s="2244"/>
      <c r="AF41" s="2289" t="s">
        <v>4410</v>
      </c>
      <c r="AG41" s="1990">
        <v>89.81</v>
      </c>
      <c r="AH41" s="2024">
        <v>73.37</v>
      </c>
      <c r="AI41" s="1994"/>
      <c r="AJ41" s="2311"/>
      <c r="BA41" s="2289" t="s">
        <v>4410</v>
      </c>
      <c r="BB41" s="1990"/>
      <c r="BC41" s="2024">
        <v>263.60000000000002</v>
      </c>
      <c r="BD41" s="2512"/>
      <c r="BE41" s="1990"/>
      <c r="BF41" s="2307"/>
      <c r="BP41" s="2289" t="s">
        <v>4410</v>
      </c>
      <c r="BQ41" s="2002"/>
      <c r="BR41" s="2281">
        <v>161.66999999999999</v>
      </c>
      <c r="BS41" s="2410">
        <v>3.9590000000000001</v>
      </c>
      <c r="BT41" s="2003">
        <v>161.66999999999999</v>
      </c>
      <c r="BU41" s="2257">
        <v>161.66999999999999</v>
      </c>
      <c r="BV41" s="2384"/>
      <c r="BW41" s="2000"/>
      <c r="BX41" s="113"/>
      <c r="CC41" s="2457" t="s">
        <v>4410</v>
      </c>
      <c r="CD41" s="1989"/>
      <c r="CE41" s="2022"/>
      <c r="CF41" s="1989"/>
      <c r="CG41" s="2316"/>
      <c r="CI41" s="2457" t="s">
        <v>4410</v>
      </c>
      <c r="CJ41" s="1990"/>
      <c r="CK41" s="2024"/>
      <c r="CL41" s="809"/>
      <c r="CM41" s="1990"/>
      <c r="CN41" s="2300"/>
      <c r="CP41" s="2457" t="s">
        <v>4410</v>
      </c>
      <c r="CQ41" s="2431"/>
      <c r="CR41" s="2496"/>
      <c r="CS41" s="2431"/>
      <c r="CT41" s="2432"/>
      <c r="CU41" s="113"/>
      <c r="CV41" s="2457" t="s">
        <v>4410</v>
      </c>
      <c r="CW41" s="1994"/>
      <c r="CX41" s="2295"/>
      <c r="CY41" s="1994"/>
      <c r="CZ41" s="2311"/>
      <c r="DA41" s="113"/>
      <c r="DC41" s="2457" t="s">
        <v>4410</v>
      </c>
      <c r="DD41" s="1989"/>
      <c r="DE41" s="2022"/>
      <c r="DF41" s="2025"/>
      <c r="DG41" s="1989"/>
      <c r="DH41" s="2300"/>
      <c r="DI41" s="113"/>
      <c r="DJ41" s="113"/>
    </row>
    <row r="42" spans="2:119" s="84" customFormat="1" ht="27" customHeight="1" thickBot="1">
      <c r="B42" s="2290" t="s">
        <v>3534</v>
      </c>
      <c r="C42" s="2327">
        <f>C39-C41</f>
        <v>0</v>
      </c>
      <c r="D42" s="2328">
        <f t="shared" ref="D42:F42" si="45">D39-D41</f>
        <v>0</v>
      </c>
      <c r="E42" s="2513"/>
      <c r="F42" s="2327">
        <f t="shared" si="45"/>
        <v>1066.8389999999999</v>
      </c>
      <c r="G42" s="2329">
        <f t="shared" ref="G42" si="46">G39-G41</f>
        <v>979.6</v>
      </c>
      <c r="I42" s="2290" t="s">
        <v>3534</v>
      </c>
      <c r="J42" s="2327">
        <f>J39-J41</f>
        <v>9.9999999997635314E-4</v>
      </c>
      <c r="K42" s="2328">
        <f t="shared" ref="K42:M42" si="47">K39-K41</f>
        <v>371.041</v>
      </c>
      <c r="L42" s="2513"/>
      <c r="M42" s="2505">
        <f t="shared" si="47"/>
        <v>1433.088</v>
      </c>
      <c r="N42" s="2303"/>
      <c r="P42" s="2290" t="s">
        <v>3534</v>
      </c>
      <c r="Q42" s="2301"/>
      <c r="R42" s="2302"/>
      <c r="S42" s="2301"/>
      <c r="T42" s="2303"/>
      <c r="V42" s="610"/>
      <c r="W42" s="2290" t="s">
        <v>3534</v>
      </c>
      <c r="X42" s="2245"/>
      <c r="Y42" s="2246">
        <f t="shared" ref="Y42" si="48">Y39-Y41</f>
        <v>0</v>
      </c>
      <c r="Z42" s="2279">
        <f t="shared" ref="Z42" si="49">Z39-Z41</f>
        <v>0</v>
      </c>
      <c r="AA42" s="2246">
        <f t="shared" ref="AA42" si="50">AA39-AA41</f>
        <v>0</v>
      </c>
      <c r="AB42" s="2247">
        <f t="shared" ref="AB42" si="51">AB39-AB41</f>
        <v>0</v>
      </c>
      <c r="AC42" s="610"/>
      <c r="AD42" s="610"/>
      <c r="AE42" s="610"/>
      <c r="AF42" s="2290" t="s">
        <v>3534</v>
      </c>
      <c r="AG42" s="2327">
        <f t="shared" ref="AG42" si="52">AG39-AG41</f>
        <v>0</v>
      </c>
      <c r="AH42" s="2328">
        <f t="shared" ref="AH42" si="53">AH39-AH41</f>
        <v>0</v>
      </c>
      <c r="AI42" s="2327">
        <f t="shared" ref="AI42" si="54">AI39-AI41</f>
        <v>73.37</v>
      </c>
      <c r="AJ42" s="2329">
        <f t="shared" ref="AJ42" si="55">AJ39-AJ41</f>
        <v>73.37</v>
      </c>
      <c r="BA42" s="2290" t="s">
        <v>3534</v>
      </c>
      <c r="BB42" s="2327"/>
      <c r="BC42" s="2328">
        <f>BC39-BC41</f>
        <v>0</v>
      </c>
      <c r="BD42" s="2513"/>
      <c r="BE42" s="2327"/>
      <c r="BF42" s="2303"/>
      <c r="BL42" s="610"/>
      <c r="BM42" s="610"/>
      <c r="BN42" s="610"/>
      <c r="BP42" s="2290" t="s">
        <v>3534</v>
      </c>
      <c r="BQ42" s="2385"/>
      <c r="BR42" s="2282"/>
      <c r="BS42" s="2411"/>
      <c r="BT42" s="2254">
        <f t="shared" ref="BT42:BU42" si="56">BT39-BT41</f>
        <v>0</v>
      </c>
      <c r="BU42" s="2255">
        <f t="shared" si="56"/>
        <v>0</v>
      </c>
      <c r="BV42" s="2384"/>
      <c r="BW42" s="2000"/>
      <c r="BX42" s="113"/>
      <c r="BZ42" s="610"/>
      <c r="CA42" s="610"/>
      <c r="CB42" s="610"/>
      <c r="CC42" s="2458" t="s">
        <v>3534</v>
      </c>
      <c r="CD42" s="2317"/>
      <c r="CE42" s="2318"/>
      <c r="CF42" s="2317"/>
      <c r="CG42" s="2319"/>
      <c r="CI42" s="2458" t="s">
        <v>3534</v>
      </c>
      <c r="CJ42" s="2327"/>
      <c r="CK42" s="2328"/>
      <c r="CL42" s="2370"/>
      <c r="CM42" s="2327"/>
      <c r="CN42" s="2329"/>
      <c r="CO42" s="610"/>
      <c r="CP42" s="2458" t="s">
        <v>3534</v>
      </c>
      <c r="CQ42" s="2270"/>
      <c r="CR42" s="2497"/>
      <c r="CS42" s="2270"/>
      <c r="CT42" s="2434"/>
      <c r="CU42" s="113"/>
      <c r="CV42" s="2458" t="s">
        <v>3534</v>
      </c>
      <c r="CW42" s="2312"/>
      <c r="CX42" s="2313"/>
      <c r="CY42" s="2312"/>
      <c r="CZ42" s="2314"/>
      <c r="DA42" s="113"/>
      <c r="DC42" s="2458" t="s">
        <v>3534</v>
      </c>
      <c r="DD42" s="2317"/>
      <c r="DE42" s="2318"/>
      <c r="DF42" s="2470"/>
      <c r="DG42" s="2317"/>
      <c r="DH42" s="2329"/>
      <c r="DI42" s="113"/>
      <c r="DJ42" s="113"/>
      <c r="DM42" s="610"/>
      <c r="DN42" s="610"/>
      <c r="DO42" s="610"/>
    </row>
    <row r="43" spans="2:119" ht="28.2" customHeight="1">
      <c r="B43" s="2291" t="s">
        <v>4411</v>
      </c>
      <c r="C43" s="2273">
        <f>SUM('10 programa'!K28:K31,'10 programa'!K32,'10 programa'!K35,'10 programa'!K70,'10 programa'!K73,'10 programa'!K80,'10 programa'!K90,'10 programa'!K95,'10 programa'!K101,'10 programa'!K116,'10 programa'!K138,'10 programa'!K143,'10 programa'!K155,'10 programa'!K176,'10 programa'!K195,'10 programa'!K212,'10 programa'!K222,'10 programa'!K232,'10 programa'!K233,'10 programa'!K252,'10 programa'!K257,'10 programa'!K263,'10 programa'!K267,'10 programa'!K270,'10 programa'!K276,'10 programa'!K277,)</f>
        <v>4450.34</v>
      </c>
      <c r="D43" s="2325">
        <f>SUM('10 programa'!L28,'10 programa'!L29,'10 programa'!L30,'10 programa'!L31,'10 programa'!L36,'10 programa'!L70,'10 programa'!L80,'10 programa'!L90,'10 programa'!L95,'10 programa'!L101,'10 programa'!L116,'10 programa'!L133,'10 programa'!L138,'10 programa'!L143,'10 programa'!L155,'10 programa'!L175,'10 programa'!L195,'10 programa'!L200,'10 programa'!L203,'10 programa'!L206,'10 programa'!L209,'10 programa'!L212,'10 programa'!L222,'10 programa'!L232,'10 programa'!L257,'10 programa'!L263,'10 programa'!L267,'10 programa'!L270,'10 programa'!L277,'10 programa'!L73,'10 programa'!L91,'10 programa'!L115,'10 programa'!L134,'10 programa'!L176,'10 programa'!L201,'10 programa'!L204,'10 programa'!L207,'10 programa'!L262,'10 programa'!L271,)</f>
        <v>5377.4110000000001</v>
      </c>
      <c r="E43" s="2511">
        <f>SUM('10 programa'!L73,'10 programa'!L91,'10 programa'!L115,'10 programa'!L134,'10 programa'!L176,'10 programa'!L201,'10 programa'!L204,'10 programa'!L207,'10 programa'!L271,)</f>
        <v>3273.9490000000001</v>
      </c>
      <c r="F43" s="2273">
        <f>SUM('10 programa'!O28,'10 programa'!O29,'10 programa'!O30,'10 programa'!O31,'10 programa'!O36,'10 programa'!O70,'10 programa'!O80,'10 programa'!O90,'10 programa'!O95,'10 programa'!O101,'10 programa'!O116,'10 programa'!O133,'10 programa'!O138,'10 programa'!O143,'10 programa'!O155,'10 programa'!O175,'10 programa'!O195,'10 programa'!O200,'10 programa'!O203,'10 programa'!O206,'10 programa'!O209,'10 programa'!O212,'10 programa'!O222,'10 programa'!O232,'10 programa'!O252,'10 programa'!O257,'10 programa'!O263,'10 programa'!O267,'10 programa'!O270,'10 programa'!O277,)</f>
        <v>11586.648999999999</v>
      </c>
      <c r="G43" s="2326">
        <f>SUM('10 programa'!Q28,'10 programa'!Q29,'10 programa'!Q30,'10 programa'!Q31,'10 programa'!Q36,'10 programa'!Q70,'10 programa'!Q80,'10 programa'!Q90,'10 programa'!Q95,'10 programa'!Q101,'10 programa'!Q116,'10 programa'!Q133,'10 programa'!Q138,'10 programa'!Q143,'10 programa'!Q155,'10 programa'!Q175,'10 programa'!Q195,'10 programa'!Q200,'10 programa'!Q203,'10 programa'!Q206,'10 programa'!Q209,'10 programa'!Q212,'10 programa'!Q222,'10 programa'!Q232,'10 programa'!Q252,'10 programa'!Q257,'10 programa'!Q263,'10 programa'!Q267,'10 programa'!Q270,'10 programa'!Q277,)</f>
        <v>10243.711000000001</v>
      </c>
      <c r="I43" s="2291" t="s">
        <v>4411</v>
      </c>
      <c r="J43" s="2320">
        <f>SUM('10 programa'!K48,'10 programa'!K54,'10 programa'!K60)</f>
        <v>263.68799999999999</v>
      </c>
      <c r="K43" s="2325">
        <f>SUM('10 programa'!L48,'10 programa'!L54,'10 programa'!L60,'10 programa'!L282,'10 programa'!L286)</f>
        <v>546.90200000000004</v>
      </c>
      <c r="L43" s="2511"/>
      <c r="M43" s="2587">
        <f>SUM('10 programa'!O49,'10 programa'!O55,'10 programa'!O61,'10 programa'!O285)</f>
        <v>250</v>
      </c>
      <c r="N43" s="2322">
        <f>SUM('10 programa'!Q55,'10 programa'!Q61,)</f>
        <v>0</v>
      </c>
      <c r="P43" s="2291" t="s">
        <v>4411</v>
      </c>
      <c r="Q43" s="2305"/>
      <c r="R43" s="2299"/>
      <c r="S43" s="2305"/>
      <c r="T43" s="2306"/>
      <c r="W43" s="2291" t="s">
        <v>4411</v>
      </c>
      <c r="X43" s="2241"/>
      <c r="Y43" s="2249">
        <f>SUM('10 programa'!K40,'10 programa'!K71,'10 programa'!K280)</f>
        <v>1389.7</v>
      </c>
      <c r="Z43" s="2280">
        <f>SUM('10 programa'!L71)</f>
        <v>1087.3</v>
      </c>
      <c r="AA43" s="2249">
        <f>SUM('10 programa'!O71)</f>
        <v>1087.3</v>
      </c>
      <c r="AB43" s="2252">
        <f>SUM('10 programa'!Q71)</f>
        <v>1087.3</v>
      </c>
      <c r="AF43" s="2291" t="s">
        <v>4411</v>
      </c>
      <c r="AG43" s="2305"/>
      <c r="AH43" s="2299"/>
      <c r="AI43" s="2305"/>
      <c r="AJ43" s="2306"/>
      <c r="BA43" s="2291" t="s">
        <v>4411</v>
      </c>
      <c r="BB43" s="2273">
        <f>SUM('10 programa'!K33,'10 programa'!K39,'10 programa'!K45,'10 programa'!K230)</f>
        <v>568.74</v>
      </c>
      <c r="BC43" s="2325">
        <f>SUM('10 programa'!L33,'10 programa'!L230,'10 programa'!L45,'10 programa'!L39,)</f>
        <v>669.35</v>
      </c>
      <c r="BD43" s="2511"/>
      <c r="BE43" s="2273">
        <f>SUM('10 programa'!O33,'10 programa'!O230,'10 programa'!O45,'10 programa'!O39,)</f>
        <v>714.54649999999992</v>
      </c>
      <c r="BF43" s="2326">
        <f>SUM('10 programa'!Q33,'10 programa'!Q230,'10 programa'!Q45,'10 programa'!Q39,)</f>
        <v>744.83847500000002</v>
      </c>
      <c r="BP43" s="2291" t="s">
        <v>4411</v>
      </c>
      <c r="BQ43" s="2373">
        <f>SUM('10 programa'!K292)</f>
        <v>3.3</v>
      </c>
      <c r="BR43" s="2325">
        <f>SUM('10 programa'!L292)</f>
        <v>16.68</v>
      </c>
      <c r="BS43" s="2368"/>
      <c r="BT43" s="2273">
        <f>SUM('10 programa'!O292)</f>
        <v>16.68</v>
      </c>
      <c r="BU43" s="2326">
        <f>SUM('10 programa'!P292)</f>
        <v>16.68</v>
      </c>
      <c r="BV43" s="2395">
        <f>SUM('10 programa'!S292)</f>
        <v>0</v>
      </c>
      <c r="BW43" s="2013"/>
      <c r="BX43" s="150"/>
      <c r="CC43" s="2456" t="s">
        <v>4411</v>
      </c>
      <c r="CD43" s="2273">
        <f>SUM('10 programa'!K50,'10 programa'!K56,'10 programa'!K62,)</f>
        <v>2285.328</v>
      </c>
      <c r="CE43" s="2325">
        <f>SUM('10 programa'!L50,'10 programa'!L56,'10 programa'!L62,)</f>
        <v>1311.3</v>
      </c>
      <c r="CF43" s="2273">
        <f>SUM('10 programa'!O50,'10 programa'!O56,'10 programa'!O62,'10 programa'!O280,'10 programa'!O284)</f>
        <v>4547.1139999999996</v>
      </c>
      <c r="CG43" s="2326">
        <f>SUM('10 programa'!Q50,'10 programa'!Q56,'10 programa'!Q62,)</f>
        <v>1589.8330000000001</v>
      </c>
      <c r="CI43" s="2456" t="s">
        <v>4411</v>
      </c>
      <c r="CJ43" s="2308"/>
      <c r="CK43" s="2309"/>
      <c r="CL43" s="2408"/>
      <c r="CM43" s="2308"/>
      <c r="CN43" s="2310"/>
      <c r="CP43" s="2456" t="s">
        <v>4411</v>
      </c>
      <c r="CQ43" s="2482"/>
      <c r="CR43" s="2325">
        <f>SUM('10 programa'!L52,'10 programa'!L58,'10 programa'!L64)</f>
        <v>493</v>
      </c>
      <c r="CS43" s="2273">
        <f>SUM('10 programa'!O52,'10 programa'!O58,'10 programa'!O64)</f>
        <v>723.27099999999996</v>
      </c>
      <c r="CT43" s="2273">
        <f>SUM('10 programa'!Q52,'10 programa'!Q58,'10 programa'!Q64)</f>
        <v>210.66800000000001</v>
      </c>
      <c r="CU43" s="150"/>
      <c r="CV43" s="2456" t="s">
        <v>4411</v>
      </c>
      <c r="CW43" s="2305"/>
      <c r="CX43" s="2299"/>
      <c r="CY43" s="2305"/>
      <c r="CZ43" s="2306"/>
      <c r="DA43" s="150"/>
      <c r="DC43" s="2456" t="s">
        <v>4411</v>
      </c>
      <c r="DD43" s="2273">
        <f>SUM(C43,J43,Y43,AG43,BB43,BQ43,CD43,)</f>
        <v>8961.0959999999995</v>
      </c>
      <c r="DE43" s="2325">
        <f>SUM(D43,K43,R43,Z43,AH43,BC43,BR43,CE43,CK43,CR43,CX43,)</f>
        <v>9501.9430000000011</v>
      </c>
      <c r="DF43" s="2368"/>
      <c r="DG43" s="2273">
        <f>SUM(F43,M43,S43,AA43,AI43,BE43,CF43,CL43,CS43,CY43,BT43,)</f>
        <v>18925.5605</v>
      </c>
      <c r="DH43" s="2273">
        <f>SUM(G43,N43,T43,AB43,AJ43,BF43,CG43,CM43,CT43,CZ43,BU43,)</f>
        <v>13893.030475000001</v>
      </c>
      <c r="DI43" s="150"/>
      <c r="DJ43" s="150"/>
    </row>
    <row r="44" spans="2:119" ht="28.2" hidden="1" customHeight="1">
      <c r="B44" s="2289"/>
      <c r="C44" s="1990"/>
      <c r="D44" s="2024"/>
      <c r="E44" s="2516"/>
      <c r="F44" s="1990"/>
      <c r="G44" s="2300"/>
      <c r="I44" s="2289"/>
      <c r="J44" s="1995"/>
      <c r="K44" s="2028"/>
      <c r="L44" s="2516"/>
      <c r="M44" s="2001"/>
      <c r="N44" s="2307"/>
      <c r="P44" s="2289"/>
      <c r="Q44" s="1995"/>
      <c r="R44" s="2028"/>
      <c r="S44" s="1995"/>
      <c r="T44" s="2307"/>
      <c r="W44" s="2289"/>
      <c r="X44" s="2008"/>
      <c r="Y44" s="2003"/>
      <c r="Z44" s="2281"/>
      <c r="AA44" s="2003"/>
      <c r="AB44" s="2244"/>
      <c r="AF44" s="2289"/>
      <c r="AG44" s="1995"/>
      <c r="AH44" s="2028"/>
      <c r="AI44" s="1995"/>
      <c r="AJ44" s="2307"/>
      <c r="BA44" s="2289"/>
      <c r="BB44" s="1990"/>
      <c r="BC44" s="2380"/>
      <c r="BD44" s="2516"/>
      <c r="BE44" s="1990"/>
      <c r="BF44" s="2369"/>
      <c r="BP44" s="2289"/>
      <c r="BQ44" s="1993"/>
      <c r="BR44" s="2360"/>
      <c r="BS44" s="2026"/>
      <c r="BT44" s="1993"/>
      <c r="BU44" s="2397"/>
      <c r="BV44" s="2395"/>
      <c r="BW44" s="2013"/>
      <c r="BX44" s="150"/>
      <c r="CC44" s="2457"/>
      <c r="CD44" s="1989"/>
      <c r="CE44" s="2022"/>
      <c r="CF44" s="1989"/>
      <c r="CG44" s="2316"/>
      <c r="CI44" s="2457"/>
      <c r="CJ44" s="1990"/>
      <c r="CK44" s="2024"/>
      <c r="CL44" s="809"/>
      <c r="CM44" s="1990"/>
      <c r="CN44" s="2300"/>
      <c r="CP44" s="2457"/>
      <c r="CQ44" s="2431"/>
      <c r="CR44" s="2496"/>
      <c r="CS44" s="2431"/>
      <c r="CT44" s="2432"/>
      <c r="CU44" s="150"/>
      <c r="CV44" s="2457"/>
      <c r="CW44" s="1995"/>
      <c r="CX44" s="2028"/>
      <c r="CY44" s="1995"/>
      <c r="CZ44" s="2307"/>
      <c r="DA44" s="150"/>
      <c r="DC44" s="2457"/>
      <c r="DD44" s="1989"/>
      <c r="DE44" s="2022"/>
      <c r="DF44" s="2025"/>
      <c r="DG44" s="1989"/>
      <c r="DH44" s="2300"/>
      <c r="DI44" s="150"/>
      <c r="DJ44" s="150"/>
    </row>
    <row r="45" spans="2:119" ht="22.2" customHeight="1">
      <c r="B45" s="2289" t="s">
        <v>4412</v>
      </c>
      <c r="C45" s="1990">
        <v>4450.34</v>
      </c>
      <c r="D45" s="2024">
        <v>5377.4110000000001</v>
      </c>
      <c r="E45" s="2516"/>
      <c r="F45" s="1990"/>
      <c r="G45" s="2300"/>
      <c r="I45" s="2289" t="s">
        <v>4412</v>
      </c>
      <c r="J45" s="1995">
        <v>263.68799999999999</v>
      </c>
      <c r="K45" s="2028"/>
      <c r="L45" s="2516"/>
      <c r="M45" s="2001"/>
      <c r="N45" s="2307"/>
      <c r="P45" s="2289" t="s">
        <v>4412</v>
      </c>
      <c r="Q45" s="1995"/>
      <c r="R45" s="2028"/>
      <c r="S45" s="1995"/>
      <c r="T45" s="2307"/>
      <c r="W45" s="2289" t="s">
        <v>4412</v>
      </c>
      <c r="X45" s="2008"/>
      <c r="Y45" s="2003">
        <v>1389.7</v>
      </c>
      <c r="Z45" s="2021"/>
      <c r="AA45" s="2240"/>
      <c r="AB45" s="2244"/>
      <c r="AF45" s="2289" t="s">
        <v>4412</v>
      </c>
      <c r="AG45" s="1995"/>
      <c r="AH45" s="2028"/>
      <c r="AI45" s="1995"/>
      <c r="AJ45" s="2307"/>
      <c r="BA45" s="2289" t="s">
        <v>4412</v>
      </c>
      <c r="BB45" s="1990"/>
      <c r="BC45" s="2024">
        <v>669.35</v>
      </c>
      <c r="BD45" s="2516"/>
      <c r="BE45" s="1990"/>
      <c r="BF45" s="2369"/>
      <c r="BP45" s="2289" t="s">
        <v>4412</v>
      </c>
      <c r="BQ45" s="1993"/>
      <c r="BR45" s="2360">
        <v>16.68</v>
      </c>
      <c r="BS45" s="2026"/>
      <c r="BT45" s="1993">
        <v>16.68</v>
      </c>
      <c r="BU45" s="2397">
        <v>16.68</v>
      </c>
      <c r="BV45" s="2383"/>
      <c r="BW45" s="2013"/>
      <c r="BX45" s="150"/>
      <c r="CC45" s="2457" t="s">
        <v>4412</v>
      </c>
      <c r="CD45" s="1989"/>
      <c r="CE45" s="2022"/>
      <c r="CF45" s="1989"/>
      <c r="CG45" s="2316"/>
      <c r="CI45" s="2457" t="s">
        <v>4412</v>
      </c>
      <c r="CJ45" s="1990"/>
      <c r="CK45" s="2024"/>
      <c r="CL45" s="809"/>
      <c r="CM45" s="1990"/>
      <c r="CN45" s="2300"/>
      <c r="CP45" s="2457" t="s">
        <v>4412</v>
      </c>
      <c r="CQ45" s="2431"/>
      <c r="CR45" s="2496"/>
      <c r="CS45" s="2431"/>
      <c r="CT45" s="2432"/>
      <c r="CU45" s="150"/>
      <c r="CV45" s="2457" t="s">
        <v>4412</v>
      </c>
      <c r="CW45" s="1995"/>
      <c r="CX45" s="2028"/>
      <c r="CY45" s="1995"/>
      <c r="CZ45" s="2307"/>
      <c r="DA45" s="150"/>
      <c r="DC45" s="2457" t="s">
        <v>4412</v>
      </c>
      <c r="DD45" s="1989"/>
      <c r="DE45" s="2022"/>
      <c r="DF45" s="2025"/>
      <c r="DG45" s="1989"/>
      <c r="DH45" s="2300"/>
      <c r="DI45" s="150"/>
      <c r="DJ45" s="150"/>
    </row>
    <row r="46" spans="2:119" ht="19.8" customHeight="1" thickBot="1">
      <c r="B46" s="2290" t="s">
        <v>3534</v>
      </c>
      <c r="C46" s="2327">
        <f>C43-C45</f>
        <v>0</v>
      </c>
      <c r="D46" s="2328">
        <f t="shared" ref="D46:F46" si="57">D43-D45</f>
        <v>0</v>
      </c>
      <c r="E46" s="2513"/>
      <c r="F46" s="2327">
        <f t="shared" si="57"/>
        <v>11586.648999999999</v>
      </c>
      <c r="G46" s="2329">
        <f t="shared" ref="G46" si="58">G43-G45</f>
        <v>10243.711000000001</v>
      </c>
      <c r="I46" s="2289" t="s">
        <v>3534</v>
      </c>
      <c r="J46" s="2323">
        <f>J43-J45</f>
        <v>0</v>
      </c>
      <c r="K46" s="2324">
        <f>K43-K45</f>
        <v>546.90200000000004</v>
      </c>
      <c r="L46" s="2517"/>
      <c r="M46" s="2518">
        <f>M43-M45</f>
        <v>250</v>
      </c>
      <c r="N46" s="2472"/>
      <c r="P46" s="2290" t="s">
        <v>3534</v>
      </c>
      <c r="Q46" s="2301"/>
      <c r="R46" s="2302"/>
      <c r="S46" s="2301"/>
      <c r="T46" s="2303"/>
      <c r="W46" s="2289" t="s">
        <v>3534</v>
      </c>
      <c r="X46" s="2262"/>
      <c r="Y46" s="2263">
        <f t="shared" ref="Y46" si="59">Y43-Y45</f>
        <v>0</v>
      </c>
      <c r="Z46" s="2287">
        <f t="shared" ref="Z46" si="60">Z43-Z45</f>
        <v>1087.3</v>
      </c>
      <c r="AA46" s="2264">
        <f t="shared" ref="AA46" si="61">AA43-AA45</f>
        <v>1087.3</v>
      </c>
      <c r="AB46" s="2265">
        <f t="shared" ref="AB46" si="62">AB43-AB45</f>
        <v>1087.3</v>
      </c>
      <c r="AF46" s="2290" t="s">
        <v>3534</v>
      </c>
      <c r="AG46" s="2301"/>
      <c r="AH46" s="2302"/>
      <c r="AI46" s="2301"/>
      <c r="AJ46" s="2303"/>
      <c r="BA46" s="2290" t="s">
        <v>3534</v>
      </c>
      <c r="BB46" s="2301"/>
      <c r="BC46" s="2328">
        <f>BC43-BC45</f>
        <v>0</v>
      </c>
      <c r="BD46" s="2517"/>
      <c r="BE46" s="2301"/>
      <c r="BF46" s="2371"/>
      <c r="BP46" s="2290" t="s">
        <v>3534</v>
      </c>
      <c r="BQ46" s="2398"/>
      <c r="BR46" s="2382">
        <f>BR43-BR45</f>
        <v>0</v>
      </c>
      <c r="BS46" s="2375"/>
      <c r="BT46" s="2374">
        <f>BT43-BT45</f>
        <v>0</v>
      </c>
      <c r="BU46" s="2399">
        <f>BU43-BU45</f>
        <v>0</v>
      </c>
      <c r="BV46" s="2396"/>
      <c r="BW46" s="2014"/>
      <c r="CC46" s="2458" t="s">
        <v>3534</v>
      </c>
      <c r="CD46" s="2301"/>
      <c r="CE46" s="2302"/>
      <c r="CF46" s="2301"/>
      <c r="CG46" s="2303"/>
      <c r="CI46" s="2473" t="s">
        <v>3534</v>
      </c>
      <c r="CJ46" s="2296"/>
      <c r="CK46" s="2297"/>
      <c r="CL46" s="2471"/>
      <c r="CM46" s="2296"/>
      <c r="CN46" s="2472"/>
      <c r="CP46" s="2458" t="s">
        <v>3534</v>
      </c>
      <c r="CQ46" s="2435"/>
      <c r="CR46" s="2499"/>
      <c r="CS46" s="2435"/>
      <c r="CT46" s="2436"/>
      <c r="CV46" s="2473" t="s">
        <v>3534</v>
      </c>
      <c r="CW46" s="2296"/>
      <c r="CX46" s="2297"/>
      <c r="CY46" s="2296"/>
      <c r="CZ46" s="2472"/>
      <c r="DC46" s="2458" t="s">
        <v>3534</v>
      </c>
      <c r="DD46" s="2312"/>
      <c r="DE46" s="2313"/>
      <c r="DF46" s="2521"/>
      <c r="DG46" s="2317"/>
      <c r="DH46" s="2303"/>
    </row>
    <row r="47" spans="2:119" ht="40.200000000000003" thickBot="1">
      <c r="B47" s="2508" t="s">
        <v>4442</v>
      </c>
      <c r="C47" s="2379">
        <f>SUM(C7,C11,C15,C19,C23,C27,C31,C35,C39,C43,)</f>
        <v>12810.52</v>
      </c>
      <c r="D47" s="2381">
        <f t="shared" ref="D47:G47" si="63">SUM(D7,D11,D15,D19,D23,D27,D31,D35,D39,D43,)</f>
        <v>15557.782999999999</v>
      </c>
      <c r="E47" s="2419">
        <f>SUM(E7,E11,E15,E19,E23,E27,E31,E35,E39,E43,)</f>
        <v>6330.7550000000001</v>
      </c>
      <c r="F47" s="2379">
        <f t="shared" si="63"/>
        <v>20625.479500000001</v>
      </c>
      <c r="G47" s="2379">
        <f t="shared" si="63"/>
        <v>18800.535575000002</v>
      </c>
      <c r="I47" s="2378" t="s">
        <v>4440</v>
      </c>
      <c r="J47" s="2379">
        <f>SUM(J7,J11,J15,J19,J23,J27,J31,J35,J39,J43,)</f>
        <v>3758.23</v>
      </c>
      <c r="K47" s="2381">
        <f>SUM(K7,K11,K15,K19,K23,K27,K31,K35,K39,K43,)</f>
        <v>3004.5790000000002</v>
      </c>
      <c r="L47" s="2419">
        <f t="shared" ref="L47:N47" si="64">SUM(L7,L11,L15,L19,L23,L27,L31,L35,L39,L43,)</f>
        <v>0</v>
      </c>
      <c r="M47" s="2379">
        <f t="shared" si="64"/>
        <v>1835.779</v>
      </c>
      <c r="N47" s="2526">
        <f t="shared" si="64"/>
        <v>1396.8430000000001</v>
      </c>
      <c r="P47" s="2353" t="s">
        <v>4421</v>
      </c>
      <c r="Q47" s="2354">
        <f>SUM(Q11,Q15)</f>
        <v>10540</v>
      </c>
      <c r="R47" s="2355">
        <f t="shared" ref="R47:T47" si="65">SUM(R11,R15)</f>
        <v>11317.699999999999</v>
      </c>
      <c r="S47" s="2354">
        <f t="shared" si="65"/>
        <v>11317.699999999999</v>
      </c>
      <c r="T47" s="2354">
        <f t="shared" si="65"/>
        <v>11317.699999999999</v>
      </c>
      <c r="V47" s="150"/>
      <c r="W47" s="2292" t="s">
        <v>4413</v>
      </c>
      <c r="X47" s="2271"/>
      <c r="Y47" s="2351">
        <f>SUM(Y7,Y11,Y19,Y23,Y27,Y31,Y35,Y39,Y43)</f>
        <v>2400.75</v>
      </c>
      <c r="Z47" s="2280">
        <f>SUM(Z7,Z11,Z19,Z23,Z27,Z31,Z35,Z39,Z43,Z15)</f>
        <v>1916.0029999999999</v>
      </c>
      <c r="AA47" s="2351">
        <f t="shared" ref="AA47:AB47" si="66">SUM(AA7,AA11,AA19,AA23,AA27,AA31,AA35,AA39,AA43,AA15)</f>
        <v>1916.0029999999999</v>
      </c>
      <c r="AB47" s="2352">
        <f t="shared" si="66"/>
        <v>1916.0029999999999</v>
      </c>
      <c r="AC47" s="150"/>
      <c r="AD47" s="150"/>
      <c r="AE47" s="150"/>
      <c r="AF47" s="2298" t="s">
        <v>4416</v>
      </c>
      <c r="AG47" s="2350">
        <f>SUM(AG7,AG11,AG15,AG19,AG23,AG27,AG31,AG35,AG39,AG43)</f>
        <v>2653.5839999999998</v>
      </c>
      <c r="AH47" s="2325">
        <f>SUM(AH7,AH11,AH15,AH19,AH23,AH27,AH31,AH35,AH39,AH43)</f>
        <v>3069.2839999999997</v>
      </c>
      <c r="AI47" s="2350">
        <f t="shared" ref="AI47:AJ47" si="67">SUM(AI7,AI11,AI15,AI19,AI23,AI27,AI31,AI35,AI39,AI43)</f>
        <v>3069.2839999999997</v>
      </c>
      <c r="AJ47" s="2350">
        <f t="shared" si="67"/>
        <v>3069.2839999999997</v>
      </c>
      <c r="BA47" s="2378" t="s">
        <v>4427</v>
      </c>
      <c r="BB47" s="2379">
        <f>SUM(BB7,BB11,BB15,BB19,BB23,BB27,BB31,BB35,BB39,BB43,)</f>
        <v>20403.2</v>
      </c>
      <c r="BC47" s="2381">
        <f t="shared" ref="BC47:BF47" si="68">SUM(BC7,BC11,BC15,BC19,BC23,BC27,BC31,BC35,BC39,BC43,)</f>
        <v>22637.471999999998</v>
      </c>
      <c r="BD47" s="808"/>
      <c r="BE47" s="2379">
        <f t="shared" si="68"/>
        <v>24828.89975</v>
      </c>
      <c r="BF47" s="2379">
        <f t="shared" si="68"/>
        <v>26093.680447454055</v>
      </c>
      <c r="BL47" s="150"/>
      <c r="BM47" s="150"/>
      <c r="BN47" s="150"/>
      <c r="BP47" s="2378" t="s">
        <v>4431</v>
      </c>
      <c r="BQ47" s="2379">
        <f>SUM(BQ7,BQ11,BQ15,BQ19,BQ23,BQ27,BQ31,BQ35,BQ39,BQ43,)</f>
        <v>1722</v>
      </c>
      <c r="BR47" s="2381">
        <f>SUM(BR7,BR11,BR15,BR19,BR23,BR27,BR31,BR35,BR39,BR43,)</f>
        <v>1792.212</v>
      </c>
      <c r="BS47" s="2419">
        <f t="shared" ref="BS47:BU47" si="69">SUM(BS7,BS11,BS15,BS19,BS23,BS27,BS31,BS35,BS39,BS43,)</f>
        <v>109.542</v>
      </c>
      <c r="BT47" s="2379">
        <f t="shared" si="69"/>
        <v>1710.6699999999998</v>
      </c>
      <c r="BU47" s="2379">
        <f t="shared" si="69"/>
        <v>1745.8700000000001</v>
      </c>
      <c r="BV47" s="150"/>
      <c r="BW47" s="150"/>
      <c r="BX47" s="150"/>
      <c r="BZ47" s="150"/>
      <c r="CA47" s="150"/>
      <c r="CB47" s="150"/>
      <c r="CC47" s="2476" t="s">
        <v>4434</v>
      </c>
      <c r="CD47" s="2477">
        <f>SUM(CD7,CD11,CD15,CD19,CD23,CD27,CD31,CD35,CD39,CD43)</f>
        <v>9658.4624319999984</v>
      </c>
      <c r="CE47" s="2466">
        <f t="shared" ref="CE47:CG47" si="70">SUM(CE7,CE11,CE15,CE19,CE23,CE27,CE31,CE35,CE39,CE43)</f>
        <v>8519.9789999999994</v>
      </c>
      <c r="CF47" s="2477">
        <f t="shared" si="70"/>
        <v>11878.992999999999</v>
      </c>
      <c r="CG47" s="2477">
        <f t="shared" si="70"/>
        <v>3605.2490000000003</v>
      </c>
      <c r="CI47" s="2476" t="s">
        <v>4435</v>
      </c>
      <c r="CJ47" s="2478">
        <f>SUM(CJ31,CJ35)</f>
        <v>128.327</v>
      </c>
      <c r="CK47" s="2381">
        <f>SUM(CK31,CK35)</f>
        <v>92.87</v>
      </c>
      <c r="CL47" s="2419">
        <f t="shared" ref="CL47:CN47" si="71">SUM(CL31,CL35)</f>
        <v>30.87</v>
      </c>
      <c r="CM47" s="2478">
        <f>SUM(CM31,CM35)</f>
        <v>87.2</v>
      </c>
      <c r="CN47" s="2479">
        <f t="shared" si="71"/>
        <v>87.2</v>
      </c>
      <c r="CO47" s="150"/>
      <c r="CP47" s="2485" t="s">
        <v>4437</v>
      </c>
      <c r="CQ47" s="2538">
        <f>CQ27</f>
        <v>26.21</v>
      </c>
      <c r="CR47" s="2381">
        <f>SUM(CR7,CR11,CR15,CR19,CR23,CR27,CR31,CR35,CR39,CR43,)</f>
        <v>2525.3440000000001</v>
      </c>
      <c r="CS47" s="2539">
        <f t="shared" ref="CS47:CT47" si="72">SUM(CS7,CS11,CS15,CS19,CS23,CS27,CS31,CS35,CS39,CS43,)</f>
        <v>2108.5420000000004</v>
      </c>
      <c r="CT47" s="2539">
        <f t="shared" si="72"/>
        <v>288.30200000000002</v>
      </c>
      <c r="CV47" s="2492" t="s">
        <v>4439</v>
      </c>
      <c r="CW47" s="2493">
        <f>SUM(CW11,CW19,CW27,CW31,CW7,CW15,CW23,CW35,CW39,CW43,)</f>
        <v>7542.8910000000005</v>
      </c>
      <c r="CX47" s="2022">
        <f t="shared" ref="CX47:CZ47" si="73">SUM(CX11,CX19,CX27,CX31,CX7,CX15,CX23,CX35,CX39,CX43,)</f>
        <v>8288.521999999999</v>
      </c>
      <c r="CY47" s="2493">
        <f t="shared" si="73"/>
        <v>8135.3789999999999</v>
      </c>
      <c r="CZ47" s="2493">
        <f t="shared" si="73"/>
        <v>8003.77</v>
      </c>
      <c r="DC47" s="2494" t="s">
        <v>4425</v>
      </c>
      <c r="DD47" s="2502">
        <f>SUM(DD7,DD11,DD15,DD19,DD23,DD27,DD31,DD35,DD39,DD43)</f>
        <v>71644.174432000014</v>
      </c>
      <c r="DE47" s="2336">
        <f>SUM(DE7,DE11,DE15,DE19,DE23,DE27,DE31,DE35,DE39,DE43)</f>
        <v>78721.747999999992</v>
      </c>
      <c r="DF47" s="2365"/>
      <c r="DG47" s="2502">
        <f t="shared" ref="DG47" si="74">SUM(DG7,DG11,DG15,DG19,DG23,DG27,DG31,DG35,DG39,DG43)</f>
        <v>87563.929249999986</v>
      </c>
      <c r="DH47" s="2502">
        <f>SUM(DH7,DH11,DH15,DH19,DH23,DH27,DH31,DH35,DH39,DH43)</f>
        <v>76324.437022454062</v>
      </c>
      <c r="DM47" s="150"/>
      <c r="DN47" s="150"/>
      <c r="DO47" s="150"/>
    </row>
    <row r="48" spans="2:119" ht="27.6" customHeight="1" thickBot="1">
      <c r="B48" s="2507" t="s">
        <v>4443</v>
      </c>
      <c r="C48" s="2337">
        <v>12810.52</v>
      </c>
      <c r="D48" s="2338">
        <v>15557.782999999999</v>
      </c>
      <c r="E48" s="2467"/>
      <c r="F48" s="2523"/>
      <c r="G48" s="2520"/>
      <c r="I48" s="2509" t="s">
        <v>4441</v>
      </c>
      <c r="J48" s="2335">
        <f>SUM(J7,J11,J15,J19,J23,J27,J31,J35,J39,J43,)</f>
        <v>3758.23</v>
      </c>
      <c r="K48" s="2336">
        <f>SUM(K7,K11,K15,K19,K23,K27,K31,K35,K39,K43,)</f>
        <v>3004.5790000000002</v>
      </c>
      <c r="L48" s="2519"/>
      <c r="M48" s="2503">
        <f>SUM(M7,M11,M15,M19,M23,M27,M31,M35,M39,M43,)</f>
        <v>1835.779</v>
      </c>
      <c r="N48" s="2520">
        <f>SUM(N7,N11,N15,N19,N23,N27,N31,N35,N39,N43,)</f>
        <v>1396.8430000000001</v>
      </c>
      <c r="P48" s="2356" t="s">
        <v>4422</v>
      </c>
      <c r="Q48" s="2308">
        <f>Q11+Q15</f>
        <v>10540</v>
      </c>
      <c r="R48" s="2309">
        <f>R11+R15</f>
        <v>11317.699999999999</v>
      </c>
      <c r="S48" s="2308"/>
      <c r="T48" s="2306"/>
      <c r="W48" s="2293" t="s">
        <v>4414</v>
      </c>
      <c r="X48" s="1998"/>
      <c r="Y48" s="2003">
        <f>SUM(Y9,Y13,Y17,Y21,Y25,Y29,Y33,Y37,Y41,Y45,)</f>
        <v>2400.75</v>
      </c>
      <c r="Z48" s="2281">
        <f t="shared" ref="Z48:AB48" si="75">SUM(Z9,Z13,Z17,Z21,Z25,Z29,Z33,Z37,Z41,Z45,)</f>
        <v>647.14200000000005</v>
      </c>
      <c r="AA48" s="2003">
        <f t="shared" si="75"/>
        <v>0</v>
      </c>
      <c r="AB48" s="2257">
        <f t="shared" si="75"/>
        <v>0</v>
      </c>
      <c r="AF48" s="2293" t="s">
        <v>4417</v>
      </c>
      <c r="AG48" s="1990">
        <f>SUM(AG7,AG11,AG27,AG31,AG39)</f>
        <v>2653.5839999999998</v>
      </c>
      <c r="AH48" s="2024">
        <f>SUM(AH7,AH11,AH27,AH31,AH39)</f>
        <v>3069.2839999999997</v>
      </c>
      <c r="AI48" s="1990"/>
      <c r="AJ48" s="2300"/>
      <c r="BA48" s="2376" t="s">
        <v>4428</v>
      </c>
      <c r="BB48" s="2373">
        <v>20402.8</v>
      </c>
      <c r="BC48" s="2325">
        <v>22577.472000000002</v>
      </c>
      <c r="BD48" s="2519"/>
      <c r="BE48" s="2373"/>
      <c r="BF48" s="2342"/>
      <c r="BP48" s="2376" t="s">
        <v>4432</v>
      </c>
      <c r="BQ48" s="2373"/>
      <c r="BR48" s="2325">
        <v>1682.67</v>
      </c>
      <c r="BS48" s="2420">
        <v>109.542</v>
      </c>
      <c r="BT48" s="2342"/>
      <c r="BU48" s="2342"/>
      <c r="BV48" s="150"/>
      <c r="BW48" s="150"/>
      <c r="BX48" s="150"/>
      <c r="CC48" s="2461"/>
      <c r="CD48" s="2462"/>
      <c r="CE48" s="2463"/>
      <c r="CF48" s="2464"/>
      <c r="CG48" s="2465"/>
      <c r="CI48" s="2475" t="s">
        <v>4436</v>
      </c>
      <c r="CJ48" s="2273">
        <f>SUM(CJ31,CJ35)</f>
        <v>128.327</v>
      </c>
      <c r="CK48" s="2325"/>
      <c r="CL48" s="2368"/>
      <c r="CM48" s="2273"/>
      <c r="CN48" s="2326"/>
      <c r="CP48" s="2475" t="s">
        <v>4438</v>
      </c>
      <c r="CQ48" s="2441"/>
      <c r="CR48" s="2500"/>
      <c r="CS48" s="2441"/>
      <c r="CT48" s="2442"/>
      <c r="CV48" s="2474"/>
      <c r="CW48" s="1995"/>
      <c r="CX48" s="2028">
        <v>8288.5221999999994</v>
      </c>
      <c r="CY48" s="1995"/>
      <c r="CZ48" s="1995"/>
      <c r="DC48" s="2491" t="s">
        <v>4426</v>
      </c>
      <c r="DD48" s="2296"/>
      <c r="DE48" s="2297"/>
      <c r="DF48" s="2471"/>
      <c r="DG48" s="2296"/>
      <c r="DH48" s="2296"/>
    </row>
    <row r="49" spans="2:119" ht="24.6" customHeight="1" thickBot="1">
      <c r="B49" s="2294" t="s">
        <v>3504</v>
      </c>
      <c r="C49" s="2327">
        <f>C47-C48</f>
        <v>0</v>
      </c>
      <c r="D49" s="2328">
        <f>D47-D48</f>
        <v>0</v>
      </c>
      <c r="E49" s="2370"/>
      <c r="F49" s="2505"/>
      <c r="G49" s="2319"/>
      <c r="I49" s="2294" t="s">
        <v>3504</v>
      </c>
      <c r="J49" s="2317">
        <f>J47-J48</f>
        <v>0</v>
      </c>
      <c r="K49" s="2318"/>
      <c r="L49" s="2515"/>
      <c r="M49" s="2506"/>
      <c r="N49" s="2303"/>
      <c r="P49" s="2294" t="s">
        <v>3504</v>
      </c>
      <c r="Q49" s="2327">
        <f>Q47-Q48</f>
        <v>0</v>
      </c>
      <c r="R49" s="2328">
        <f t="shared" ref="R49:T49" si="76">R47-R48</f>
        <v>0</v>
      </c>
      <c r="S49" s="2327">
        <f t="shared" si="76"/>
        <v>11317.699999999999</v>
      </c>
      <c r="T49" s="2329">
        <f t="shared" si="76"/>
        <v>11317.699999999999</v>
      </c>
      <c r="V49" s="150"/>
      <c r="W49" s="2294" t="s">
        <v>3504</v>
      </c>
      <c r="X49" s="2270"/>
      <c r="Y49" s="2254">
        <f>Y47-Y48</f>
        <v>0</v>
      </c>
      <c r="Z49" s="2282">
        <f t="shared" ref="Z49:AB49" si="77">Z47-Z48</f>
        <v>1268.8609999999999</v>
      </c>
      <c r="AA49" s="2254">
        <f t="shared" si="77"/>
        <v>1916.0029999999999</v>
      </c>
      <c r="AB49" s="2255">
        <f t="shared" si="77"/>
        <v>1916.0029999999999</v>
      </c>
      <c r="AC49" s="150"/>
      <c r="AF49" s="2294" t="s">
        <v>3504</v>
      </c>
      <c r="AG49" s="2327">
        <f>AG47-AG48</f>
        <v>0</v>
      </c>
      <c r="AH49" s="2328">
        <f t="shared" ref="AH49:AJ49" si="78">AH47-AH48</f>
        <v>0</v>
      </c>
      <c r="AI49" s="2327">
        <f t="shared" si="78"/>
        <v>3069.2839999999997</v>
      </c>
      <c r="AJ49" s="2327">
        <f t="shared" si="78"/>
        <v>3069.2839999999997</v>
      </c>
      <c r="BA49" s="2294" t="s">
        <v>3504</v>
      </c>
      <c r="BB49" s="2374">
        <f>BB47-BB48</f>
        <v>0.40000000000145519</v>
      </c>
      <c r="BC49" s="2382">
        <f t="shared" ref="BC49:BF49" si="79">BC47-BC48</f>
        <v>59.999999999996362</v>
      </c>
      <c r="BD49" s="2515"/>
      <c r="BE49" s="2374">
        <f t="shared" si="79"/>
        <v>24828.89975</v>
      </c>
      <c r="BF49" s="2374">
        <f t="shared" si="79"/>
        <v>26093.680447454055</v>
      </c>
      <c r="BL49" s="150"/>
      <c r="BP49" s="2294" t="s">
        <v>3504</v>
      </c>
      <c r="BQ49" s="2374">
        <f>BQ47-BQ48</f>
        <v>1722</v>
      </c>
      <c r="BR49" s="2382">
        <f t="shared" ref="BR49" si="80">BR47-BR48</f>
        <v>109.54199999999992</v>
      </c>
      <c r="BS49" s="2375">
        <f t="shared" ref="BS49" si="81">BS47-BS48</f>
        <v>0</v>
      </c>
      <c r="BT49" s="2374">
        <f t="shared" ref="BT49:BU49" si="82">BT47-BT48</f>
        <v>1710.6699999999998</v>
      </c>
      <c r="BU49" s="2374">
        <f t="shared" si="82"/>
        <v>1745.8700000000001</v>
      </c>
      <c r="BW49" s="150"/>
      <c r="BX49" s="150"/>
      <c r="BZ49" s="150"/>
      <c r="CC49" s="2448" t="s">
        <v>3504</v>
      </c>
      <c r="CD49" s="2449"/>
      <c r="CE49" s="2453"/>
      <c r="CF49" s="2450"/>
      <c r="CG49" s="2451"/>
      <c r="CI49" s="2275" t="s">
        <v>3504</v>
      </c>
      <c r="CJ49" s="2301"/>
      <c r="CK49" s="2302"/>
      <c r="CL49" s="2372"/>
      <c r="CM49" s="2301"/>
      <c r="CN49" s="2303"/>
      <c r="CO49" s="150"/>
      <c r="CP49" s="2275" t="s">
        <v>3504</v>
      </c>
      <c r="CQ49" s="2443"/>
      <c r="CR49" s="2501"/>
      <c r="CS49" s="2443"/>
      <c r="CT49" s="2444"/>
      <c r="CV49" s="1994" t="s">
        <v>3504</v>
      </c>
      <c r="CW49" s="1995"/>
      <c r="CX49" s="2024">
        <f>CX48-CX47</f>
        <v>2.0000000040454324E-4</v>
      </c>
      <c r="CY49" s="1995"/>
      <c r="CZ49" s="1995"/>
      <c r="DC49" s="2448" t="s">
        <v>3504</v>
      </c>
      <c r="DD49" s="2450"/>
      <c r="DE49" s="2463"/>
      <c r="DF49" s="2522"/>
      <c r="DG49" s="2450"/>
      <c r="DH49" s="2451"/>
      <c r="DM49" s="150"/>
    </row>
    <row r="50" spans="2:119" ht="25.2" customHeight="1" thickBot="1">
      <c r="B50" s="91"/>
      <c r="C50" s="610"/>
      <c r="D50" s="610"/>
      <c r="E50" s="610"/>
      <c r="F50" s="610"/>
      <c r="G50" s="610"/>
      <c r="I50" s="91"/>
      <c r="J50" s="113"/>
      <c r="K50" s="113"/>
      <c r="L50" s="113"/>
      <c r="M50" s="113"/>
      <c r="N50" s="84"/>
      <c r="P50" s="91"/>
      <c r="Q50" s="610"/>
      <c r="R50" s="610"/>
      <c r="S50" s="610"/>
      <c r="T50" s="610"/>
      <c r="W50" s="91"/>
      <c r="X50" s="484"/>
      <c r="Y50" s="2267"/>
      <c r="Z50" s="2268"/>
      <c r="AA50" s="2268"/>
      <c r="AB50" s="2266"/>
      <c r="AC50" s="150"/>
      <c r="AF50" s="91"/>
      <c r="AG50" s="610"/>
      <c r="AH50" s="611"/>
      <c r="AI50" s="611"/>
      <c r="AJ50" s="611"/>
      <c r="BA50" s="84"/>
      <c r="BB50" s="150"/>
      <c r="BC50" s="151"/>
      <c r="BD50" s="113"/>
      <c r="BE50" s="150"/>
      <c r="BF50" s="150"/>
      <c r="BP50" s="84"/>
      <c r="BQ50" s="150"/>
      <c r="BR50" s="151"/>
      <c r="BS50" s="150"/>
      <c r="BT50" s="150"/>
      <c r="BU50" s="2400"/>
      <c r="BV50" s="2401"/>
      <c r="CC50" s="84"/>
      <c r="CD50" s="91"/>
      <c r="CE50" s="91"/>
      <c r="CF50" s="91"/>
      <c r="CG50" s="91"/>
      <c r="CI50" s="84"/>
      <c r="CJ50" s="84"/>
      <c r="CK50" s="113"/>
      <c r="CL50" s="113"/>
      <c r="CM50" s="113"/>
      <c r="CN50" s="113"/>
      <c r="CP50" s="84"/>
      <c r="CQ50" s="161"/>
      <c r="CR50" s="161"/>
      <c r="CS50" s="161"/>
      <c r="CT50" s="161"/>
      <c r="CV50" s="84"/>
      <c r="CW50" s="84"/>
      <c r="CX50" s="84"/>
      <c r="CY50" s="84"/>
      <c r="CZ50" s="84"/>
      <c r="DC50" s="84"/>
      <c r="DD50" s="84"/>
      <c r="DE50" s="84"/>
      <c r="DF50" s="84"/>
      <c r="DG50" s="84"/>
      <c r="DH50" s="84"/>
    </row>
    <row r="51" spans="2:119">
      <c r="B51" s="2272" t="s">
        <v>4201</v>
      </c>
      <c r="C51" s="2274">
        <f>D47-C47</f>
        <v>2747.262999999999</v>
      </c>
      <c r="I51" s="2272" t="s">
        <v>4201</v>
      </c>
      <c r="J51" s="2510">
        <f>K47-J47</f>
        <v>-753.65099999999984</v>
      </c>
      <c r="P51" s="2272" t="s">
        <v>4201</v>
      </c>
      <c r="Q51" s="2510">
        <f>R47-Q47</f>
        <v>777.69999999999891</v>
      </c>
      <c r="V51" s="150"/>
      <c r="W51" s="2272" t="s">
        <v>4201</v>
      </c>
      <c r="X51" s="2273">
        <f>Y47-X47</f>
        <v>2400.75</v>
      </c>
      <c r="Y51" s="2326">
        <f>Z47-Y47</f>
        <v>-484.74700000000007</v>
      </c>
      <c r="AF51" s="2272" t="s">
        <v>4201</v>
      </c>
      <c r="AG51" s="2326">
        <f>AH47-AG47</f>
        <v>415.69999999999982</v>
      </c>
      <c r="AH51" s="150"/>
      <c r="BA51" s="2272" t="s">
        <v>4201</v>
      </c>
      <c r="BB51" s="2326">
        <f>BC47-BB47</f>
        <v>2234.2719999999972</v>
      </c>
      <c r="BL51" s="150"/>
      <c r="BP51" s="2272" t="s">
        <v>4201</v>
      </c>
      <c r="BQ51" s="2326">
        <f>BR47-BQ47</f>
        <v>70.211999999999989</v>
      </c>
      <c r="BZ51" s="150"/>
      <c r="CC51" s="2272" t="s">
        <v>4201</v>
      </c>
      <c r="CD51" s="2326">
        <f>CE47-CD47</f>
        <v>-1138.4834319999991</v>
      </c>
      <c r="CE51" s="91"/>
      <c r="CF51" s="91"/>
      <c r="CG51" s="91"/>
      <c r="CI51" s="1994" t="s">
        <v>4201</v>
      </c>
      <c r="CJ51" s="610">
        <f>CK47-CJ47</f>
        <v>-35.456999999999994</v>
      </c>
      <c r="CK51" s="84"/>
      <c r="CL51" s="84"/>
      <c r="CM51" s="84"/>
      <c r="CN51" s="84"/>
      <c r="CO51" s="150"/>
      <c r="CP51" s="1994" t="s">
        <v>4201</v>
      </c>
      <c r="CQ51" s="2431"/>
      <c r="CR51" s="91"/>
      <c r="CS51" s="91"/>
      <c r="CT51" s="91"/>
      <c r="CV51" s="1994" t="s">
        <v>4201</v>
      </c>
      <c r="CW51" s="1989">
        <f>CX47-CW47</f>
        <v>745.63099999999849</v>
      </c>
      <c r="CX51" s="84"/>
      <c r="CY51" s="84"/>
      <c r="CZ51" s="84"/>
      <c r="DC51" s="1994" t="s">
        <v>4201</v>
      </c>
      <c r="DD51" s="113">
        <f>DE47-DD47</f>
        <v>7077.573567999978</v>
      </c>
      <c r="DE51" s="91"/>
      <c r="DF51" s="91"/>
      <c r="DG51" s="91"/>
      <c r="DH51" s="91"/>
      <c r="DM51" s="150"/>
    </row>
    <row r="52" spans="2:119" ht="13.8" thickBot="1">
      <c r="B52" s="2275" t="s">
        <v>4202</v>
      </c>
      <c r="C52" s="2358">
        <f>(D47-C47)/C47</f>
        <v>0.21445366776680408</v>
      </c>
      <c r="I52" s="2275" t="s">
        <v>4202</v>
      </c>
      <c r="J52" s="2358">
        <f>(K47-J47)/J47</f>
        <v>-0.20053349582117108</v>
      </c>
      <c r="M52" s="150"/>
      <c r="P52" s="2275" t="s">
        <v>4202</v>
      </c>
      <c r="Q52" s="2358">
        <f>(R47-Q47)/Q47</f>
        <v>7.3785578747627978E-2</v>
      </c>
      <c r="W52" s="2275" t="s">
        <v>4202</v>
      </c>
      <c r="X52" s="2276" t="e">
        <f>(Y47-X47)/X47</f>
        <v>#DIV/0!</v>
      </c>
      <c r="Y52" s="2358">
        <f>(Z47-Y47)/Y47</f>
        <v>-0.20191481828595234</v>
      </c>
      <c r="AF52" s="2275" t="s">
        <v>4202</v>
      </c>
      <c r="AG52" s="2341">
        <f>(AH47-AG47)/AG47</f>
        <v>0.1566560546038866</v>
      </c>
      <c r="AH52" s="2340"/>
      <c r="BA52" s="2275" t="s">
        <v>4202</v>
      </c>
      <c r="BB52" s="2341">
        <f>(BC47-BB47)/BB47</f>
        <v>0.10950595984943524</v>
      </c>
      <c r="BP52" s="2275" t="s">
        <v>4202</v>
      </c>
      <c r="BQ52" s="2341">
        <f>(BR47-BQ47)/BQ47</f>
        <v>4.077351916376306E-2</v>
      </c>
      <c r="BS52" s="151"/>
      <c r="CC52" s="2275" t="s">
        <v>4202</v>
      </c>
      <c r="CD52" s="2341">
        <f>(CE47-CD47)/CD47</f>
        <v>-0.11787418960475791</v>
      </c>
      <c r="CE52" s="91"/>
      <c r="CF52" s="91"/>
      <c r="CG52" s="91"/>
      <c r="CI52" s="1994" t="s">
        <v>4202</v>
      </c>
      <c r="CJ52" s="2357">
        <f>(CK47-CJ47)/CJ47</f>
        <v>-0.27630194736883112</v>
      </c>
      <c r="CK52" s="84"/>
      <c r="CL52" s="84"/>
      <c r="CM52" s="84"/>
      <c r="CN52" s="84"/>
      <c r="CP52" s="1994" t="s">
        <v>4202</v>
      </c>
      <c r="CQ52" s="2431"/>
      <c r="CR52" s="91"/>
      <c r="CS52" s="91"/>
      <c r="CT52" s="91"/>
      <c r="CV52" s="1994" t="s">
        <v>4202</v>
      </c>
      <c r="CW52" s="2490">
        <f>(CX47-CW47)/CW47</f>
        <v>9.8852150985609955E-2</v>
      </c>
      <c r="CX52" s="84"/>
      <c r="CY52" s="84"/>
      <c r="CZ52" s="84"/>
      <c r="DC52" s="1994" t="s">
        <v>4202</v>
      </c>
      <c r="DD52" s="1442">
        <f>(DE47-DD47)/DD47</f>
        <v>9.8787844568123964E-2</v>
      </c>
      <c r="DE52" s="91"/>
      <c r="DF52" s="91"/>
      <c r="DG52" s="91"/>
      <c r="DH52" s="91"/>
    </row>
    <row r="53" spans="2:119">
      <c r="B53" s="611"/>
      <c r="C53" s="2357"/>
      <c r="D53" s="150"/>
      <c r="E53" s="150"/>
      <c r="J53" s="2357"/>
      <c r="K53" s="150"/>
      <c r="L53" s="150"/>
      <c r="P53" s="611"/>
      <c r="Q53" s="2357"/>
      <c r="V53" s="150"/>
      <c r="AC53" s="150"/>
      <c r="BA53" s="611"/>
      <c r="BB53" s="2377"/>
      <c r="BD53" s="150"/>
      <c r="BL53" s="150"/>
      <c r="BZ53" s="150"/>
      <c r="CD53" s="91"/>
      <c r="CE53" s="91"/>
      <c r="CF53" s="91"/>
      <c r="CG53" s="91"/>
      <c r="CI53" s="150"/>
      <c r="CJ53" s="84"/>
      <c r="CK53" s="113"/>
      <c r="CL53" s="113"/>
      <c r="CM53" s="84"/>
      <c r="CN53" s="84"/>
      <c r="CO53" s="150"/>
      <c r="CQ53" s="91"/>
      <c r="CR53" s="91"/>
      <c r="CS53" s="91"/>
      <c r="CT53" s="91"/>
      <c r="CV53" s="91"/>
      <c r="CW53" s="91"/>
      <c r="CX53" s="91"/>
      <c r="CY53" s="91"/>
      <c r="CZ53" s="91"/>
      <c r="DC53" s="91"/>
      <c r="DD53" s="91"/>
      <c r="DE53" s="91"/>
      <c r="DF53" s="91"/>
      <c r="DG53" s="91"/>
      <c r="DH53" s="91"/>
      <c r="DM53" s="150"/>
    </row>
    <row r="54" spans="2:119">
      <c r="I54" s="2540"/>
      <c r="J54" s="2543">
        <v>2026</v>
      </c>
      <c r="M54" s="150"/>
      <c r="Q54" s="150"/>
      <c r="R54" s="150"/>
      <c r="Z54" s="611"/>
      <c r="AA54" s="610"/>
      <c r="BS54" s="150"/>
      <c r="CD54" s="91"/>
      <c r="CE54" s="91"/>
      <c r="CF54" s="91"/>
      <c r="CG54" s="91"/>
      <c r="CJ54" s="91"/>
      <c r="CK54" s="91"/>
      <c r="CL54" s="91"/>
      <c r="CM54" s="91"/>
      <c r="CN54" s="91"/>
      <c r="CQ54" s="91"/>
      <c r="CR54" s="91"/>
      <c r="CS54" s="91"/>
      <c r="CT54" s="91"/>
      <c r="CV54" s="91"/>
      <c r="CW54" s="91"/>
      <c r="CX54" s="91"/>
      <c r="CY54" s="91"/>
      <c r="CZ54" s="91"/>
      <c r="DC54" s="91"/>
      <c r="DD54" s="91"/>
      <c r="DE54" s="91"/>
      <c r="DF54" s="91"/>
      <c r="DG54" s="91"/>
      <c r="DH54" s="91"/>
    </row>
    <row r="55" spans="2:119">
      <c r="I55" s="2543" t="s">
        <v>4450</v>
      </c>
      <c r="J55" s="2542">
        <f>SUM(K47,CR47)</f>
        <v>5529.9230000000007</v>
      </c>
      <c r="M55" s="150"/>
      <c r="S55" s="150"/>
      <c r="V55" s="161"/>
      <c r="Z55" s="611"/>
      <c r="AA55" s="610"/>
      <c r="AC55" s="161"/>
      <c r="BL55" s="161"/>
      <c r="BR55" s="150"/>
      <c r="BZ55" s="161"/>
      <c r="CD55" s="91"/>
      <c r="CE55" s="91"/>
      <c r="CF55" s="91"/>
      <c r="CG55" s="91"/>
      <c r="CI55" s="161"/>
      <c r="CJ55" s="91"/>
      <c r="CK55" s="91"/>
      <c r="CL55" s="91"/>
      <c r="CM55" s="91"/>
      <c r="CN55" s="91"/>
      <c r="CO55" s="161"/>
      <c r="CQ55" s="91"/>
      <c r="CR55" s="91"/>
      <c r="CS55" s="91"/>
      <c r="CT55" s="91"/>
      <c r="CV55" s="91"/>
      <c r="CW55" s="91"/>
      <c r="CX55" s="91"/>
      <c r="CY55" s="91"/>
      <c r="CZ55" s="91"/>
      <c r="DC55" s="91"/>
      <c r="DD55" s="91"/>
      <c r="DE55" s="91">
        <v>78721.748000000007</v>
      </c>
      <c r="DF55" s="91">
        <v>87563.929000000004</v>
      </c>
      <c r="DG55" s="91">
        <v>76407.207999999999</v>
      </c>
      <c r="DH55" s="91"/>
      <c r="DM55" s="161"/>
    </row>
    <row r="56" spans="2:119">
      <c r="I56" s="2540" t="s">
        <v>4302</v>
      </c>
      <c r="J56" s="2541">
        <f>CR47</f>
        <v>2525.3440000000001</v>
      </c>
      <c r="K56" s="150" t="s">
        <v>4454</v>
      </c>
      <c r="M56" s="150"/>
      <c r="Q56" s="150"/>
      <c r="Z56" s="611"/>
      <c r="AA56" s="610"/>
      <c r="BR56" s="150"/>
      <c r="BS56" s="150"/>
    </row>
    <row r="57" spans="2:119" ht="16.2" customHeight="1">
      <c r="I57" s="2540" t="s">
        <v>4451</v>
      </c>
      <c r="J57" s="2541">
        <f>K47-J58</f>
        <v>2944.5790000000002</v>
      </c>
      <c r="K57" t="s">
        <v>4690</v>
      </c>
      <c r="M57">
        <v>312.01600000000002</v>
      </c>
      <c r="V57" s="150"/>
      <c r="Z57" s="611"/>
      <c r="AA57" s="610"/>
      <c r="AC57" s="150"/>
      <c r="BL57" s="150"/>
      <c r="BZ57" s="150"/>
      <c r="CI57" s="150"/>
      <c r="CO57" s="150"/>
      <c r="DE57" s="150">
        <f>DE47-DE55</f>
        <v>0</v>
      </c>
      <c r="DF57" s="150">
        <f>DG47-DF55</f>
        <v>2.4999998277053237E-4</v>
      </c>
      <c r="DG57" s="150">
        <f>DH47-DG55</f>
        <v>-82.770977545937058</v>
      </c>
      <c r="DM57" s="150"/>
    </row>
    <row r="58" spans="2:119" ht="16.2" customHeight="1">
      <c r="I58" s="2540" t="s">
        <v>48</v>
      </c>
      <c r="J58" s="2541">
        <v>60</v>
      </c>
      <c r="K58" t="s">
        <v>4452</v>
      </c>
      <c r="V58" s="150"/>
      <c r="Z58" s="611"/>
      <c r="AA58" s="610"/>
      <c r="AC58" s="150"/>
      <c r="BL58" s="150"/>
      <c r="BZ58" s="150"/>
      <c r="CI58" s="150"/>
      <c r="CO58" s="150"/>
      <c r="DE58" s="150"/>
      <c r="DF58" s="150"/>
      <c r="DG58" s="150"/>
      <c r="DM58" s="150"/>
    </row>
    <row r="59" spans="2:119" ht="13.8" thickBot="1">
      <c r="C59" s="609"/>
      <c r="D59" s="609"/>
      <c r="E59" s="610"/>
      <c r="F59" s="609"/>
      <c r="G59" s="609"/>
      <c r="I59" s="2540"/>
      <c r="J59" s="2542">
        <f>J56+J57+J58</f>
        <v>5529.9230000000007</v>
      </c>
      <c r="K59" s="610"/>
      <c r="L59" s="610"/>
      <c r="P59" s="610"/>
      <c r="Q59" s="150"/>
      <c r="R59" s="150"/>
      <c r="S59" s="150"/>
      <c r="V59" s="150"/>
      <c r="X59" s="150"/>
      <c r="Y59" s="150"/>
      <c r="Z59" s="113"/>
      <c r="AA59" s="610"/>
      <c r="AC59" s="150"/>
      <c r="AG59" s="150"/>
      <c r="AH59" s="150"/>
      <c r="AI59" s="150"/>
      <c r="AJ59" s="150"/>
      <c r="BA59" s="609"/>
      <c r="BD59" s="610"/>
      <c r="BL59" s="150"/>
      <c r="BQ59" s="151"/>
      <c r="BR59" s="151"/>
      <c r="BS59" s="151"/>
      <c r="BT59" s="151"/>
      <c r="BU59" s="151"/>
      <c r="BV59" s="151"/>
      <c r="BW59" s="151"/>
      <c r="BX59" s="151"/>
      <c r="BZ59" s="150"/>
      <c r="CC59" s="151"/>
      <c r="CD59" s="151"/>
      <c r="CE59" s="151"/>
      <c r="CF59" s="151"/>
      <c r="CG59" s="151"/>
      <c r="CI59" s="150"/>
      <c r="CJ59" s="151"/>
      <c r="CK59" s="151"/>
      <c r="CL59" s="151"/>
      <c r="CM59" s="151"/>
      <c r="CN59" s="151"/>
      <c r="CO59" s="150"/>
      <c r="CQ59" s="150"/>
      <c r="CR59" s="150"/>
      <c r="CS59" s="150"/>
      <c r="CT59" s="150"/>
      <c r="CV59" s="150"/>
      <c r="DE59" s="150">
        <f>DE57-CX49</f>
        <v>-2.0000000040454324E-4</v>
      </c>
      <c r="DM59" s="150"/>
    </row>
    <row r="60" spans="2:119" ht="44.4" customHeight="1">
      <c r="C60" s="2549" t="s">
        <v>4429</v>
      </c>
      <c r="D60" s="2550">
        <f>D47</f>
        <v>15557.782999999999</v>
      </c>
      <c r="E60" s="610"/>
      <c r="F60" s="623"/>
      <c r="G60" s="623"/>
      <c r="J60" s="610">
        <f>J55-J59</f>
        <v>0</v>
      </c>
      <c r="K60" s="610"/>
      <c r="L60" s="610"/>
      <c r="M60" s="610"/>
      <c r="P60" s="610"/>
      <c r="T60" s="3669" t="s">
        <v>4419</v>
      </c>
      <c r="U60" s="3670"/>
      <c r="V60" s="2544">
        <f>Z47</f>
        <v>1916.0029999999999</v>
      </c>
      <c r="Y60" s="1951"/>
      <c r="Z60" s="113"/>
      <c r="AA60" s="610"/>
      <c r="AE60" s="150"/>
      <c r="AH60" s="150"/>
      <c r="AI60" s="150"/>
      <c r="AJ60" s="150"/>
      <c r="BA60" s="623"/>
      <c r="BB60" s="150"/>
      <c r="BC60" s="150"/>
      <c r="BD60" s="610"/>
      <c r="BE60" s="150"/>
      <c r="BN60" s="150"/>
      <c r="BQ60" s="151"/>
      <c r="BR60" s="151"/>
      <c r="BS60" s="151"/>
      <c r="BT60" s="151"/>
      <c r="BU60" s="151"/>
      <c r="BV60" s="151"/>
      <c r="BW60" s="151"/>
      <c r="BX60" s="151"/>
      <c r="CB60" s="150"/>
      <c r="CC60" s="151"/>
      <c r="CD60" s="151"/>
      <c r="CE60" s="151"/>
      <c r="CF60" s="151"/>
      <c r="CG60" s="151"/>
      <c r="CJ60" s="151"/>
      <c r="CK60" s="151"/>
      <c r="CL60" s="151"/>
      <c r="CM60" s="151"/>
      <c r="CN60" s="151"/>
      <c r="CQ60" s="150"/>
      <c r="CR60" s="150"/>
      <c r="CS60" s="150"/>
      <c r="CT60" s="150"/>
      <c r="CV60" s="150"/>
      <c r="DO60" s="150"/>
    </row>
    <row r="61" spans="2:119" ht="43.2" customHeight="1">
      <c r="B61" s="1951"/>
      <c r="C61" s="2551" t="s">
        <v>4156</v>
      </c>
      <c r="D61" s="2552">
        <f>BC47</f>
        <v>22637.471999999998</v>
      </c>
      <c r="E61" s="610"/>
      <c r="F61" s="640"/>
      <c r="G61" s="640"/>
      <c r="J61" s="610"/>
      <c r="K61" s="610"/>
      <c r="L61" s="610"/>
      <c r="M61" s="610"/>
      <c r="P61" s="610"/>
      <c r="Q61" s="150"/>
      <c r="R61" s="150"/>
      <c r="S61" s="150"/>
      <c r="T61" s="3671" t="s">
        <v>4420</v>
      </c>
      <c r="U61" s="3672"/>
      <c r="V61" s="2545">
        <f>AH47</f>
        <v>3069.2839999999997</v>
      </c>
      <c r="X61" s="150"/>
      <c r="Y61" s="150"/>
      <c r="Z61" s="150"/>
      <c r="AG61" s="150"/>
      <c r="AH61" s="150"/>
      <c r="AI61" s="150"/>
      <c r="AJ61" s="150"/>
      <c r="BA61" s="640"/>
      <c r="BB61" s="150"/>
      <c r="BC61" s="150"/>
      <c r="BD61" s="610"/>
      <c r="BE61" s="150"/>
      <c r="CQ61" s="150"/>
      <c r="CR61" s="150"/>
      <c r="CS61" s="150"/>
      <c r="CT61" s="150"/>
      <c r="CV61" s="150"/>
    </row>
    <row r="62" spans="2:119" ht="54.6" customHeight="1" thickBot="1">
      <c r="C62" s="2553" t="s">
        <v>4155</v>
      </c>
      <c r="D62" s="2554">
        <f>J59</f>
        <v>5529.9230000000007</v>
      </c>
      <c r="E62" s="610"/>
      <c r="F62" s="640"/>
      <c r="G62" s="2586">
        <f>D47+K47+CR47+BC47</f>
        <v>43725.178</v>
      </c>
      <c r="H62" s="150"/>
      <c r="I62" s="150"/>
      <c r="J62" s="610"/>
      <c r="K62" s="610"/>
      <c r="L62" s="610"/>
      <c r="M62" s="610"/>
      <c r="P62" s="610"/>
      <c r="Q62" s="150"/>
      <c r="R62" s="150"/>
      <c r="T62" s="2546" t="s">
        <v>4423</v>
      </c>
      <c r="U62" s="2361"/>
      <c r="V62" s="2547">
        <f>R47</f>
        <v>11317.699999999999</v>
      </c>
      <c r="Z62" s="150"/>
      <c r="AA62" s="150"/>
      <c r="AB62" s="150"/>
      <c r="BA62" s="640"/>
      <c r="BB62" s="150"/>
      <c r="BC62" s="150"/>
      <c r="BD62" s="610"/>
      <c r="BE62" s="150"/>
    </row>
    <row r="63" spans="2:119" ht="23.25" customHeight="1" thickBot="1">
      <c r="B63" s="1951"/>
      <c r="C63" s="2555" t="s">
        <v>2646</v>
      </c>
      <c r="D63" s="2556">
        <f>SUM(D60,D61,D62)</f>
        <v>43725.178</v>
      </c>
      <c r="E63" s="610"/>
      <c r="F63" s="640"/>
      <c r="G63" s="640">
        <f>G62-J56-D47-K47-BC47</f>
        <v>0</v>
      </c>
      <c r="J63" s="610"/>
      <c r="K63" s="610"/>
      <c r="L63" s="610"/>
      <c r="M63" s="610"/>
      <c r="P63" s="610"/>
      <c r="Q63" s="150"/>
      <c r="R63" s="150"/>
      <c r="T63" s="2548" t="s">
        <v>4425</v>
      </c>
      <c r="U63" s="1994"/>
      <c r="V63" s="2316">
        <f>SUM(V60,V61,V62)</f>
        <v>16302.986999999997</v>
      </c>
      <c r="W63" s="611"/>
      <c r="Y63" s="611"/>
      <c r="Z63" s="610"/>
      <c r="AF63" s="150"/>
      <c r="AG63" s="150"/>
      <c r="BA63" s="640"/>
      <c r="BB63" s="150"/>
      <c r="BC63" s="150"/>
      <c r="BD63" s="610"/>
      <c r="BE63" s="150"/>
    </row>
    <row r="64" spans="2:119" ht="24" customHeight="1" thickBot="1">
      <c r="C64" s="610"/>
      <c r="D64" s="610"/>
      <c r="E64" s="611"/>
      <c r="F64" s="610"/>
      <c r="G64" s="610"/>
      <c r="H64" s="150"/>
      <c r="J64" s="610"/>
      <c r="K64" s="611"/>
      <c r="L64" s="611"/>
      <c r="M64" s="610"/>
      <c r="P64" s="611"/>
      <c r="Q64" s="150"/>
      <c r="R64" s="150"/>
      <c r="T64" s="2275" t="s">
        <v>4426</v>
      </c>
      <c r="U64" s="2312"/>
      <c r="V64" s="2319">
        <f>R48+Z48+AH48</f>
        <v>15034.125999999998</v>
      </c>
      <c r="W64" s="611"/>
      <c r="Y64" s="611"/>
      <c r="Z64" s="161"/>
      <c r="AB64" s="150"/>
      <c r="AF64" s="150"/>
      <c r="AG64" s="150"/>
      <c r="BA64" s="610"/>
      <c r="BB64" s="150"/>
      <c r="BC64" s="150"/>
      <c r="BD64" s="611"/>
      <c r="BE64" s="150"/>
    </row>
    <row r="65" spans="2:57" ht="73.8" customHeight="1">
      <c r="C65" s="2557" t="s">
        <v>4453</v>
      </c>
      <c r="D65" s="2558">
        <v>43222.966</v>
      </c>
      <c r="E65" s="610"/>
      <c r="F65" s="612"/>
      <c r="G65" s="612"/>
      <c r="H65" s="150"/>
      <c r="J65" s="610"/>
      <c r="K65" s="610"/>
      <c r="L65" s="610"/>
      <c r="M65" s="610"/>
      <c r="P65" s="610"/>
      <c r="Q65" s="150"/>
      <c r="R65" s="150"/>
      <c r="V65" s="150"/>
      <c r="Z65" s="150"/>
      <c r="AF65" s="150"/>
      <c r="BA65" s="612"/>
      <c r="BB65" s="150"/>
      <c r="BC65" s="150"/>
      <c r="BD65" s="610"/>
      <c r="BE65" s="150"/>
    </row>
    <row r="66" spans="2:57">
      <c r="D66" s="150"/>
      <c r="H66" s="150"/>
      <c r="Q66" s="150"/>
      <c r="R66" s="150"/>
      <c r="Z66" s="150"/>
      <c r="BB66" s="150"/>
      <c r="BC66" s="150"/>
      <c r="BE66" s="150"/>
    </row>
    <row r="67" spans="2:57">
      <c r="B67" s="623"/>
      <c r="C67" s="610"/>
      <c r="D67" s="610"/>
      <c r="F67" s="610"/>
      <c r="G67" s="610"/>
      <c r="H67" s="150"/>
      <c r="Q67" s="150"/>
      <c r="R67" s="150"/>
      <c r="Z67" s="150"/>
      <c r="BA67" s="610"/>
      <c r="BB67" s="150"/>
      <c r="BC67" s="150"/>
      <c r="BE67" s="150"/>
    </row>
    <row r="68" spans="2:57">
      <c r="E68" s="150"/>
      <c r="J68" s="150"/>
      <c r="K68" s="150"/>
      <c r="L68" s="150"/>
      <c r="M68" s="150"/>
      <c r="P68" s="150"/>
      <c r="Q68" s="150"/>
      <c r="R68" s="150"/>
      <c r="Z68" s="150"/>
      <c r="BB68" s="150"/>
      <c r="BC68" s="150"/>
      <c r="BD68" s="150"/>
      <c r="BE68" s="150"/>
    </row>
    <row r="69" spans="2:57">
      <c r="Q69" s="150"/>
      <c r="R69" s="150"/>
      <c r="Z69" s="150"/>
      <c r="BB69" s="150"/>
      <c r="BC69" s="150"/>
      <c r="BE69" s="150"/>
    </row>
    <row r="70" spans="2:57">
      <c r="Q70" s="150"/>
      <c r="R70" s="150"/>
      <c r="Z70" s="150"/>
    </row>
    <row r="71" spans="2:57">
      <c r="C71" s="150"/>
      <c r="D71" s="150"/>
      <c r="E71" s="161"/>
      <c r="F71" s="150"/>
      <c r="G71" s="150"/>
      <c r="J71" s="161"/>
      <c r="K71" s="161"/>
      <c r="L71" s="161"/>
      <c r="M71" s="161"/>
      <c r="P71" s="161"/>
      <c r="Q71" s="150"/>
      <c r="R71" s="150"/>
      <c r="BA71" s="150"/>
      <c r="BD71" s="161"/>
    </row>
    <row r="72" spans="2:57">
      <c r="K72" s="150"/>
      <c r="Q72" s="150"/>
      <c r="R72" s="150"/>
    </row>
    <row r="73" spans="2:57">
      <c r="K73" s="150"/>
      <c r="Q73" s="150"/>
      <c r="R73" s="150"/>
    </row>
    <row r="74" spans="2:57">
      <c r="K74" s="150"/>
      <c r="N74" s="150"/>
      <c r="Q74" s="150"/>
      <c r="R74" s="150"/>
    </row>
    <row r="75" spans="2:57">
      <c r="Q75" s="150"/>
      <c r="R75" s="150"/>
    </row>
    <row r="76" spans="2:57">
      <c r="Q76" s="150"/>
      <c r="R76" s="150"/>
    </row>
    <row r="77" spans="2:57">
      <c r="Q77" s="150"/>
      <c r="R77" s="150"/>
    </row>
    <row r="78" spans="2:57">
      <c r="Q78" s="150"/>
      <c r="R78" s="150"/>
    </row>
    <row r="80" spans="2:57">
      <c r="R80" s="150"/>
    </row>
    <row r="81" spans="18:18">
      <c r="R81" s="150"/>
    </row>
    <row r="82" spans="18:18">
      <c r="R82" s="150"/>
    </row>
  </sheetData>
  <mergeCells count="19">
    <mergeCell ref="J2:BB2"/>
    <mergeCell ref="W5:AB5"/>
    <mergeCell ref="BA5:BF5"/>
    <mergeCell ref="I5:N5"/>
    <mergeCell ref="BZ5:CB5"/>
    <mergeCell ref="B5:G5"/>
    <mergeCell ref="T60:U60"/>
    <mergeCell ref="T61:U61"/>
    <mergeCell ref="AF5:AJ5"/>
    <mergeCell ref="P5:T5"/>
    <mergeCell ref="DM5:DO5"/>
    <mergeCell ref="AC5:AE5"/>
    <mergeCell ref="CC5:CG5"/>
    <mergeCell ref="CI5:CN5"/>
    <mergeCell ref="CP5:CT5"/>
    <mergeCell ref="CV5:CZ5"/>
    <mergeCell ref="DC5:DH5"/>
    <mergeCell ref="BL5:BN5"/>
    <mergeCell ref="BP5:BU5"/>
  </mergeCells>
  <pageMargins left="0.7" right="0.7" top="0.75" bottom="0.75" header="0.3" footer="0.3"/>
  <pageSetup paperSize="9" scale="52" fitToHeight="0" orientation="landscape"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409"/>
  <sheetViews>
    <sheetView workbookViewId="0">
      <selection activeCell="A74" sqref="A74:D74"/>
    </sheetView>
  </sheetViews>
  <sheetFormatPr defaultRowHeight="13.2"/>
  <cols>
    <col min="1" max="1" width="58.5546875" customWidth="1"/>
    <col min="2" max="2" width="16.5546875" customWidth="1"/>
    <col min="5" max="5" width="1.88671875" customWidth="1"/>
  </cols>
  <sheetData>
    <row r="1" spans="1:7" ht="15.6">
      <c r="A1" s="42" t="s">
        <v>695</v>
      </c>
      <c r="B1" s="42"/>
      <c r="C1" s="42"/>
      <c r="D1" s="42"/>
      <c r="E1" s="3"/>
      <c r="F1" s="3"/>
      <c r="G1" s="42"/>
    </row>
    <row r="2" spans="1:7">
      <c r="A2" s="3"/>
      <c r="B2" s="3"/>
      <c r="C2" s="3"/>
      <c r="D2" s="3747"/>
      <c r="E2" s="3747"/>
      <c r="F2" s="3"/>
      <c r="G2" s="3"/>
    </row>
    <row r="3" spans="1:7" ht="13.8" thickBot="1">
      <c r="A3" s="5"/>
      <c r="B3" s="5"/>
      <c r="C3" s="5"/>
      <c r="D3" s="3748" t="s">
        <v>478</v>
      </c>
      <c r="E3" s="3748"/>
      <c r="F3" s="5"/>
      <c r="G3" s="3"/>
    </row>
    <row r="4" spans="1:7" ht="24.75" customHeight="1">
      <c r="A4" s="3749" t="s">
        <v>221</v>
      </c>
      <c r="B4" s="3749" t="s">
        <v>500</v>
      </c>
      <c r="C4" s="3749" t="s">
        <v>118</v>
      </c>
      <c r="D4" s="3751" t="s">
        <v>598</v>
      </c>
      <c r="E4" s="3752"/>
      <c r="F4" s="4" t="s">
        <v>599</v>
      </c>
      <c r="G4" s="43" t="s">
        <v>696</v>
      </c>
    </row>
    <row r="5" spans="1:7" ht="13.8" thickBot="1">
      <c r="A5" s="3750"/>
      <c r="B5" s="3750"/>
      <c r="C5" s="3750"/>
      <c r="D5" s="3753" t="s">
        <v>550</v>
      </c>
      <c r="E5" s="3754"/>
      <c r="F5" s="6" t="s">
        <v>550</v>
      </c>
      <c r="G5" s="43" t="s">
        <v>550</v>
      </c>
    </row>
    <row r="6" spans="1:7" ht="40.5" customHeight="1" thickBot="1">
      <c r="A6" s="3729" t="s">
        <v>492</v>
      </c>
      <c r="B6" s="3730"/>
      <c r="C6" s="3730"/>
      <c r="D6" s="3730"/>
      <c r="E6" s="3730"/>
      <c r="F6" s="3730"/>
      <c r="G6" s="44"/>
    </row>
    <row r="7" spans="1:7" ht="14.4" thickBot="1">
      <c r="A7" s="3729" t="s">
        <v>493</v>
      </c>
      <c r="B7" s="3730"/>
      <c r="C7" s="3730"/>
      <c r="D7" s="3730"/>
      <c r="E7" s="3730"/>
      <c r="F7" s="3730"/>
      <c r="G7" s="44"/>
    </row>
    <row r="8" spans="1:7" ht="22.5" customHeight="1" thickBot="1">
      <c r="A8" s="7" t="s">
        <v>494</v>
      </c>
      <c r="B8" s="8" t="s">
        <v>313</v>
      </c>
      <c r="C8" s="9" t="s">
        <v>314</v>
      </c>
      <c r="D8" s="3680">
        <v>85</v>
      </c>
      <c r="E8" s="3681"/>
      <c r="F8" s="10">
        <v>85</v>
      </c>
      <c r="G8" s="45">
        <v>85</v>
      </c>
    </row>
    <row r="9" spans="1:7" ht="29.25" customHeight="1" thickBot="1">
      <c r="A9" s="7" t="s">
        <v>583</v>
      </c>
      <c r="B9" s="8" t="s">
        <v>584</v>
      </c>
      <c r="C9" s="9" t="s">
        <v>176</v>
      </c>
      <c r="D9" s="3680" t="s">
        <v>585</v>
      </c>
      <c r="E9" s="3681"/>
      <c r="F9" s="10" t="s">
        <v>585</v>
      </c>
      <c r="G9" s="45" t="s">
        <v>585</v>
      </c>
    </row>
    <row r="10" spans="1:7" ht="31.5" customHeight="1" thickBot="1">
      <c r="A10" s="3732" t="s">
        <v>294</v>
      </c>
      <c r="B10" s="3733"/>
      <c r="C10" s="3733"/>
      <c r="D10" s="3733"/>
      <c r="E10" s="3708"/>
      <c r="F10" s="3708"/>
      <c r="G10" s="46"/>
    </row>
    <row r="11" spans="1:7" ht="27" customHeight="1" thickBot="1">
      <c r="A11" s="3695" t="s">
        <v>199</v>
      </c>
      <c r="B11" s="3696"/>
      <c r="C11" s="3696"/>
      <c r="D11" s="3696"/>
      <c r="E11" s="3697"/>
      <c r="F11" s="3697"/>
      <c r="G11" s="47"/>
    </row>
    <row r="12" spans="1:7" ht="14.4" thickBot="1">
      <c r="A12" s="3695" t="s">
        <v>200</v>
      </c>
      <c r="B12" s="3696"/>
      <c r="C12" s="3696"/>
      <c r="D12" s="3696"/>
      <c r="E12" s="3697"/>
      <c r="F12" s="3697"/>
      <c r="G12" s="47"/>
    </row>
    <row r="13" spans="1:7" ht="20.25" customHeight="1" thickBot="1">
      <c r="A13" s="7" t="s">
        <v>150</v>
      </c>
      <c r="B13" s="8" t="s">
        <v>201</v>
      </c>
      <c r="C13" s="9" t="s">
        <v>202</v>
      </c>
      <c r="D13" s="3680">
        <v>250</v>
      </c>
      <c r="E13" s="3681"/>
      <c r="F13" s="10">
        <v>250</v>
      </c>
      <c r="G13" s="45">
        <v>250</v>
      </c>
    </row>
    <row r="14" spans="1:7" ht="30" customHeight="1" thickBot="1">
      <c r="A14" s="7" t="s">
        <v>484</v>
      </c>
      <c r="B14" s="8" t="s">
        <v>174</v>
      </c>
      <c r="C14" s="9" t="s">
        <v>202</v>
      </c>
      <c r="D14" s="3680">
        <v>1400</v>
      </c>
      <c r="E14" s="3681"/>
      <c r="F14" s="10">
        <v>1400</v>
      </c>
      <c r="G14" s="45">
        <v>1400</v>
      </c>
    </row>
    <row r="15" spans="1:7" ht="33" customHeight="1" thickBot="1">
      <c r="A15" s="7" t="s">
        <v>71</v>
      </c>
      <c r="B15" s="8" t="s">
        <v>72</v>
      </c>
      <c r="C15" s="9" t="s">
        <v>314</v>
      </c>
      <c r="D15" s="3680">
        <v>99</v>
      </c>
      <c r="E15" s="3681"/>
      <c r="F15" s="10">
        <v>99</v>
      </c>
      <c r="G15" s="45">
        <v>99</v>
      </c>
    </row>
    <row r="16" spans="1:7" ht="36.75" customHeight="1" thickBot="1">
      <c r="A16" s="7" t="s">
        <v>600</v>
      </c>
      <c r="B16" s="8" t="s">
        <v>423</v>
      </c>
      <c r="C16" s="9" t="s">
        <v>202</v>
      </c>
      <c r="D16" s="3680">
        <v>11</v>
      </c>
      <c r="E16" s="3681"/>
      <c r="F16" s="10">
        <v>1</v>
      </c>
      <c r="G16" s="45">
        <v>10</v>
      </c>
    </row>
    <row r="17" spans="1:7" ht="13.8" thickBot="1">
      <c r="A17" s="3703" t="s">
        <v>73</v>
      </c>
      <c r="B17" s="3704"/>
      <c r="C17" s="3704"/>
      <c r="D17" s="3704"/>
      <c r="E17" s="3705"/>
      <c r="F17" s="3705"/>
      <c r="G17" s="48"/>
    </row>
    <row r="18" spans="1:7" ht="14.4" thickBot="1">
      <c r="A18" s="3745" t="s">
        <v>74</v>
      </c>
      <c r="B18" s="3746"/>
      <c r="C18" s="3746"/>
      <c r="D18" s="3746"/>
      <c r="E18" s="3705"/>
      <c r="F18" s="3705"/>
      <c r="G18" s="48"/>
    </row>
    <row r="19" spans="1:7" ht="13.8" thickBot="1">
      <c r="A19" s="11" t="s">
        <v>601</v>
      </c>
      <c r="B19" s="8" t="s">
        <v>489</v>
      </c>
      <c r="C19" s="9" t="s">
        <v>314</v>
      </c>
      <c r="D19" s="3680">
        <v>100</v>
      </c>
      <c r="E19" s="3681"/>
      <c r="F19" s="10">
        <v>100</v>
      </c>
      <c r="G19" s="45">
        <v>100</v>
      </c>
    </row>
    <row r="20" spans="1:7" ht="13.8" thickBot="1">
      <c r="A20" s="11" t="s">
        <v>487</v>
      </c>
      <c r="B20" s="8" t="s">
        <v>274</v>
      </c>
      <c r="C20" s="9" t="s">
        <v>202</v>
      </c>
      <c r="D20" s="3680">
        <v>450</v>
      </c>
      <c r="E20" s="3681"/>
      <c r="F20" s="10">
        <v>400</v>
      </c>
      <c r="G20" s="45">
        <v>450</v>
      </c>
    </row>
    <row r="21" spans="1:7" ht="14.4" thickBot="1">
      <c r="A21" s="3745" t="s">
        <v>312</v>
      </c>
      <c r="B21" s="3746"/>
      <c r="C21" s="3746"/>
      <c r="D21" s="3746"/>
      <c r="E21" s="3705"/>
      <c r="F21" s="3705"/>
      <c r="G21" s="48"/>
    </row>
    <row r="22" spans="1:7" ht="37.5" customHeight="1" thickBot="1">
      <c r="A22" s="12" t="s">
        <v>152</v>
      </c>
      <c r="B22" s="8" t="s">
        <v>286</v>
      </c>
      <c r="C22" s="9" t="s">
        <v>202</v>
      </c>
      <c r="D22" s="3680">
        <v>95</v>
      </c>
      <c r="E22" s="3681"/>
      <c r="F22" s="10">
        <v>100</v>
      </c>
      <c r="G22" s="45">
        <v>85</v>
      </c>
    </row>
    <row r="23" spans="1:7" ht="13.8" thickBot="1">
      <c r="A23" s="11" t="s">
        <v>333</v>
      </c>
      <c r="B23" s="8" t="s">
        <v>267</v>
      </c>
      <c r="C23" s="9" t="s">
        <v>202</v>
      </c>
      <c r="D23" s="3680">
        <v>900</v>
      </c>
      <c r="E23" s="3681"/>
      <c r="F23" s="10">
        <v>900</v>
      </c>
      <c r="G23" s="45">
        <v>900</v>
      </c>
    </row>
    <row r="24" spans="1:7" ht="35.25" customHeight="1" thickBot="1">
      <c r="A24" s="13" t="s">
        <v>562</v>
      </c>
      <c r="B24" s="8" t="s">
        <v>268</v>
      </c>
      <c r="C24" s="9" t="s">
        <v>202</v>
      </c>
      <c r="D24" s="3680">
        <v>4300</v>
      </c>
      <c r="E24" s="3681"/>
      <c r="F24" s="10">
        <v>4200</v>
      </c>
      <c r="G24" s="45">
        <v>4500</v>
      </c>
    </row>
    <row r="25" spans="1:7" ht="13.8" thickBot="1">
      <c r="A25" s="11" t="s">
        <v>269</v>
      </c>
      <c r="B25" s="8" t="s">
        <v>270</v>
      </c>
      <c r="C25" s="9" t="s">
        <v>202</v>
      </c>
      <c r="D25" s="3680">
        <v>1100</v>
      </c>
      <c r="E25" s="3681"/>
      <c r="F25" s="10">
        <v>1100</v>
      </c>
      <c r="G25" s="45">
        <v>1150</v>
      </c>
    </row>
    <row r="26" spans="1:7" ht="13.8" thickBot="1">
      <c r="A26" s="11" t="s">
        <v>602</v>
      </c>
      <c r="B26" s="8" t="s">
        <v>458</v>
      </c>
      <c r="C26" s="9" t="s">
        <v>202</v>
      </c>
      <c r="D26" s="3680">
        <v>104</v>
      </c>
      <c r="E26" s="3681"/>
      <c r="F26" s="10">
        <v>104</v>
      </c>
      <c r="G26" s="45">
        <v>104</v>
      </c>
    </row>
    <row r="27" spans="1:7" ht="13.8" thickBot="1">
      <c r="A27" s="11" t="s">
        <v>563</v>
      </c>
      <c r="B27" s="8" t="s">
        <v>366</v>
      </c>
      <c r="C27" s="9" t="s">
        <v>202</v>
      </c>
      <c r="D27" s="3680">
        <v>1</v>
      </c>
      <c r="E27" s="3681"/>
      <c r="F27" s="10">
        <v>1</v>
      </c>
      <c r="G27" s="45">
        <v>1</v>
      </c>
    </row>
    <row r="28" spans="1:7" ht="27.75" customHeight="1" thickBot="1">
      <c r="A28" s="36" t="s">
        <v>51</v>
      </c>
      <c r="B28" s="37"/>
      <c r="C28" s="37"/>
      <c r="D28" s="37"/>
      <c r="E28" s="30"/>
      <c r="F28" s="30"/>
      <c r="G28" s="48"/>
    </row>
    <row r="29" spans="1:7" ht="13.8" thickBot="1">
      <c r="A29" s="11" t="s">
        <v>485</v>
      </c>
      <c r="B29" s="8" t="s">
        <v>52</v>
      </c>
      <c r="C29" s="9" t="s">
        <v>202</v>
      </c>
      <c r="D29" s="3680">
        <v>10</v>
      </c>
      <c r="E29" s="3681"/>
      <c r="F29" s="10">
        <v>10</v>
      </c>
      <c r="G29" s="45">
        <v>10</v>
      </c>
    </row>
    <row r="30" spans="1:7" ht="13.8" thickBot="1">
      <c r="A30" s="11" t="s">
        <v>603</v>
      </c>
      <c r="B30" s="8" t="s">
        <v>321</v>
      </c>
      <c r="C30" s="9" t="s">
        <v>202</v>
      </c>
      <c r="D30" s="3680">
        <v>3</v>
      </c>
      <c r="E30" s="3681"/>
      <c r="F30" s="10">
        <v>3</v>
      </c>
      <c r="G30" s="45">
        <v>5</v>
      </c>
    </row>
    <row r="31" spans="1:7" ht="26.25" customHeight="1" thickBot="1">
      <c r="A31" s="36" t="s">
        <v>410</v>
      </c>
      <c r="B31" s="37"/>
      <c r="C31" s="37"/>
      <c r="D31" s="37"/>
      <c r="E31" s="30"/>
      <c r="F31" s="30"/>
      <c r="G31" s="48"/>
    </row>
    <row r="32" spans="1:7" ht="13.8" thickBot="1">
      <c r="A32" s="11" t="s">
        <v>604</v>
      </c>
      <c r="B32" s="8" t="s">
        <v>525</v>
      </c>
      <c r="C32" s="9" t="s">
        <v>314</v>
      </c>
      <c r="D32" s="3680">
        <v>100</v>
      </c>
      <c r="E32" s="3681"/>
      <c r="F32" s="10">
        <v>100</v>
      </c>
      <c r="G32" s="45">
        <v>100</v>
      </c>
    </row>
    <row r="33" spans="1:7" ht="28.5" customHeight="1" thickBot="1">
      <c r="A33" s="13" t="s">
        <v>84</v>
      </c>
      <c r="B33" s="8" t="s">
        <v>406</v>
      </c>
      <c r="C33" s="9" t="s">
        <v>314</v>
      </c>
      <c r="D33" s="3680">
        <v>100</v>
      </c>
      <c r="E33" s="3681"/>
      <c r="F33" s="10">
        <v>100</v>
      </c>
      <c r="G33" s="45">
        <v>100</v>
      </c>
    </row>
    <row r="34" spans="1:7" ht="42.75" customHeight="1" thickBot="1">
      <c r="A34" s="13" t="s">
        <v>228</v>
      </c>
      <c r="B34" s="8" t="s">
        <v>229</v>
      </c>
      <c r="C34" s="9" t="s">
        <v>314</v>
      </c>
      <c r="D34" s="3680">
        <v>100</v>
      </c>
      <c r="E34" s="3681"/>
      <c r="F34" s="10">
        <v>100</v>
      </c>
      <c r="G34" s="45">
        <v>100</v>
      </c>
    </row>
    <row r="35" spans="1:7" ht="14.4" thickBot="1">
      <c r="A35" s="3745" t="s">
        <v>526</v>
      </c>
      <c r="B35" s="3746"/>
      <c r="C35" s="3746"/>
      <c r="D35" s="3746"/>
      <c r="E35" s="3705"/>
      <c r="F35" s="3705"/>
      <c r="G35" s="48"/>
    </row>
    <row r="36" spans="1:7" ht="13.8" thickBot="1">
      <c r="A36" s="11" t="s">
        <v>605</v>
      </c>
      <c r="B36" s="8" t="s">
        <v>23</v>
      </c>
      <c r="C36" s="9" t="s">
        <v>314</v>
      </c>
      <c r="D36" s="3680">
        <v>100</v>
      </c>
      <c r="E36" s="3681"/>
      <c r="F36" s="10">
        <v>100</v>
      </c>
      <c r="G36" s="45">
        <v>90</v>
      </c>
    </row>
    <row r="37" spans="1:7" ht="13.8" thickBot="1">
      <c r="A37" s="11" t="s">
        <v>606</v>
      </c>
      <c r="B37" s="8" t="s">
        <v>17</v>
      </c>
      <c r="C37" s="14" t="s">
        <v>18</v>
      </c>
      <c r="D37" s="3680">
        <v>40</v>
      </c>
      <c r="E37" s="3681"/>
      <c r="F37" s="10">
        <v>40</v>
      </c>
      <c r="G37" s="45">
        <v>35</v>
      </c>
    </row>
    <row r="38" spans="1:7" ht="38.25" customHeight="1" thickBot="1">
      <c r="A38" s="3695" t="s">
        <v>113</v>
      </c>
      <c r="B38" s="3696"/>
      <c r="C38" s="3696"/>
      <c r="D38" s="3696"/>
      <c r="E38" s="3697"/>
      <c r="F38" s="3697"/>
      <c r="G38" s="47"/>
    </row>
    <row r="39" spans="1:7" ht="14.4" thickBot="1">
      <c r="A39" s="3695" t="s">
        <v>200</v>
      </c>
      <c r="B39" s="3696"/>
      <c r="C39" s="3696"/>
      <c r="D39" s="3696"/>
      <c r="E39" s="3697"/>
      <c r="F39" s="3697"/>
      <c r="G39" s="47"/>
    </row>
    <row r="40" spans="1:7" ht="38.25" customHeight="1" thickBot="1">
      <c r="A40" s="7" t="s">
        <v>298</v>
      </c>
      <c r="B40" s="8" t="s">
        <v>299</v>
      </c>
      <c r="C40" s="9" t="s">
        <v>314</v>
      </c>
      <c r="D40" s="3680">
        <v>50</v>
      </c>
      <c r="E40" s="3681"/>
      <c r="F40" s="10">
        <v>50</v>
      </c>
      <c r="G40" s="45">
        <v>40</v>
      </c>
    </row>
    <row r="41" spans="1:7" ht="29.25" customHeight="1" thickBot="1">
      <c r="A41" s="7" t="s">
        <v>300</v>
      </c>
      <c r="B41" s="8" t="s">
        <v>301</v>
      </c>
      <c r="C41" s="9" t="s">
        <v>202</v>
      </c>
      <c r="D41" s="3680">
        <v>500</v>
      </c>
      <c r="E41" s="3681"/>
      <c r="F41" s="10">
        <v>550</v>
      </c>
      <c r="G41" s="45">
        <v>400</v>
      </c>
    </row>
    <row r="42" spans="1:7" ht="27.75" customHeight="1" thickBot="1">
      <c r="A42" s="7" t="s">
        <v>607</v>
      </c>
      <c r="B42" s="8" t="s">
        <v>608</v>
      </c>
      <c r="C42" s="9" t="s">
        <v>202</v>
      </c>
      <c r="D42" s="3680">
        <v>2</v>
      </c>
      <c r="E42" s="3681"/>
      <c r="F42" s="10">
        <v>3</v>
      </c>
      <c r="G42" s="45">
        <v>1</v>
      </c>
    </row>
    <row r="43" spans="1:7" ht="13.8" thickBot="1">
      <c r="A43" s="3703" t="s">
        <v>73</v>
      </c>
      <c r="B43" s="3704"/>
      <c r="C43" s="3704"/>
      <c r="D43" s="3704"/>
      <c r="E43" s="3705"/>
      <c r="F43" s="3705"/>
      <c r="G43" s="48"/>
    </row>
    <row r="44" spans="1:7" ht="14.4" thickBot="1">
      <c r="A44" s="3745" t="s">
        <v>341</v>
      </c>
      <c r="B44" s="3746"/>
      <c r="C44" s="3746"/>
      <c r="D44" s="3746"/>
      <c r="E44" s="3705"/>
      <c r="F44" s="3705"/>
      <c r="G44" s="48"/>
    </row>
    <row r="45" spans="1:7" ht="30.75" customHeight="1" thickBot="1">
      <c r="A45" s="13" t="s">
        <v>609</v>
      </c>
      <c r="B45" s="8" t="s">
        <v>380</v>
      </c>
      <c r="C45" s="14" t="s">
        <v>381</v>
      </c>
      <c r="D45" s="3680">
        <v>50</v>
      </c>
      <c r="E45" s="3681"/>
      <c r="F45" s="10">
        <v>60</v>
      </c>
      <c r="G45" s="45">
        <v>46</v>
      </c>
    </row>
    <row r="46" spans="1:7" ht="14.4" thickBot="1">
      <c r="A46" s="3745" t="s">
        <v>610</v>
      </c>
      <c r="B46" s="3746"/>
      <c r="C46" s="3746"/>
      <c r="D46" s="3746"/>
      <c r="E46" s="3705"/>
      <c r="F46" s="3705"/>
      <c r="G46" s="48"/>
    </row>
    <row r="47" spans="1:7" ht="36.75" customHeight="1" thickBot="1">
      <c r="A47" s="13" t="s">
        <v>564</v>
      </c>
      <c r="B47" s="8" t="s">
        <v>255</v>
      </c>
      <c r="C47" s="14" t="s">
        <v>202</v>
      </c>
      <c r="D47" s="3680">
        <v>3</v>
      </c>
      <c r="E47" s="3681"/>
      <c r="F47" s="10">
        <v>3</v>
      </c>
      <c r="G47" s="45">
        <v>3</v>
      </c>
    </row>
    <row r="48" spans="1:7" ht="30.75" customHeight="1" thickBot="1">
      <c r="A48" s="13" t="s">
        <v>611</v>
      </c>
      <c r="B48" s="8" t="s">
        <v>252</v>
      </c>
      <c r="C48" s="9" t="s">
        <v>314</v>
      </c>
      <c r="D48" s="3680">
        <v>60</v>
      </c>
      <c r="E48" s="3681"/>
      <c r="F48" s="10">
        <v>60</v>
      </c>
      <c r="G48" s="45">
        <v>70</v>
      </c>
    </row>
    <row r="49" spans="1:7" ht="31.5" customHeight="1" thickBot="1">
      <c r="A49" s="13" t="s">
        <v>41</v>
      </c>
      <c r="B49" s="8" t="s">
        <v>253</v>
      </c>
      <c r="C49" s="9" t="s">
        <v>202</v>
      </c>
      <c r="D49" s="3680">
        <v>2</v>
      </c>
      <c r="E49" s="3681"/>
      <c r="F49" s="10">
        <v>2</v>
      </c>
      <c r="G49" s="45">
        <v>2</v>
      </c>
    </row>
    <row r="50" spans="1:7" ht="14.4" thickBot="1">
      <c r="A50" s="3745" t="s">
        <v>578</v>
      </c>
      <c r="B50" s="3746"/>
      <c r="C50" s="3746"/>
      <c r="D50" s="3746"/>
      <c r="E50" s="3705"/>
      <c r="F50" s="3705"/>
      <c r="G50" s="48"/>
    </row>
    <row r="51" spans="1:7" ht="13.8" thickBot="1">
      <c r="A51" s="11" t="s">
        <v>486</v>
      </c>
      <c r="B51" s="8" t="s">
        <v>579</v>
      </c>
      <c r="C51" s="9" t="s">
        <v>202</v>
      </c>
      <c r="D51" s="3680">
        <v>3</v>
      </c>
      <c r="E51" s="3681"/>
      <c r="F51" s="10">
        <v>3</v>
      </c>
      <c r="G51" s="45">
        <v>4</v>
      </c>
    </row>
    <row r="52" spans="1:7" ht="13.8" thickBot="1">
      <c r="A52" s="11" t="s">
        <v>353</v>
      </c>
      <c r="B52" s="8" t="s">
        <v>245</v>
      </c>
      <c r="C52" s="9" t="s">
        <v>202</v>
      </c>
      <c r="D52" s="3680">
        <v>1</v>
      </c>
      <c r="E52" s="3681"/>
      <c r="F52" s="10">
        <v>1</v>
      </c>
      <c r="G52" s="45">
        <v>0</v>
      </c>
    </row>
    <row r="53" spans="1:7" ht="27.75" customHeight="1" thickBot="1">
      <c r="A53" s="3689" t="s">
        <v>373</v>
      </c>
      <c r="B53" s="3690"/>
      <c r="C53" s="3690"/>
      <c r="D53" s="3690"/>
      <c r="E53" s="3698"/>
      <c r="F53" s="3698"/>
      <c r="G53" s="49"/>
    </row>
    <row r="54" spans="1:7" ht="13.8" thickBot="1">
      <c r="A54" s="11" t="s">
        <v>10</v>
      </c>
      <c r="B54" s="8" t="s">
        <v>11</v>
      </c>
      <c r="C54" s="9" t="s">
        <v>202</v>
      </c>
      <c r="D54" s="3680">
        <v>9</v>
      </c>
      <c r="E54" s="3681"/>
      <c r="F54" s="10">
        <v>10</v>
      </c>
      <c r="G54" s="45">
        <v>8</v>
      </c>
    </row>
    <row r="55" spans="1:7" ht="13.8" thickBot="1">
      <c r="A55" s="11" t="s">
        <v>283</v>
      </c>
      <c r="B55" s="8" t="s">
        <v>519</v>
      </c>
      <c r="C55" s="9" t="s">
        <v>202</v>
      </c>
      <c r="D55" s="3680">
        <v>0</v>
      </c>
      <c r="E55" s="3681"/>
      <c r="F55" s="10">
        <v>0</v>
      </c>
      <c r="G55" s="45">
        <v>1</v>
      </c>
    </row>
    <row r="56" spans="1:7" ht="26.4">
      <c r="A56" s="15" t="s">
        <v>612</v>
      </c>
      <c r="B56" s="3734" t="s">
        <v>569</v>
      </c>
      <c r="C56" s="3713" t="s">
        <v>202</v>
      </c>
      <c r="D56" s="3715">
        <v>2</v>
      </c>
      <c r="E56" s="3716"/>
      <c r="F56" s="3715">
        <v>2</v>
      </c>
      <c r="G56" s="3679">
        <v>2</v>
      </c>
    </row>
    <row r="57" spans="1:7" ht="13.8" thickBot="1">
      <c r="A57" s="13" t="s">
        <v>613</v>
      </c>
      <c r="B57" s="3743"/>
      <c r="C57" s="3744"/>
      <c r="D57" s="3717"/>
      <c r="E57" s="3718"/>
      <c r="F57" s="3717"/>
      <c r="G57" s="3679"/>
    </row>
    <row r="58" spans="1:7" ht="27" thickBot="1">
      <c r="A58" s="13" t="s">
        <v>45</v>
      </c>
      <c r="B58" s="3743"/>
      <c r="C58" s="3744"/>
      <c r="D58" s="3680">
        <v>2</v>
      </c>
      <c r="E58" s="3681"/>
      <c r="F58" s="10">
        <v>2</v>
      </c>
      <c r="G58" s="45">
        <v>2</v>
      </c>
    </row>
    <row r="59" spans="1:7" ht="36.75" customHeight="1" thickBot="1">
      <c r="A59" s="13" t="s">
        <v>614</v>
      </c>
      <c r="B59" s="3743"/>
      <c r="C59" s="3744"/>
      <c r="D59" s="3680">
        <v>2</v>
      </c>
      <c r="E59" s="3681"/>
      <c r="F59" s="10">
        <v>2</v>
      </c>
      <c r="G59" s="45">
        <v>2</v>
      </c>
    </row>
    <row r="60" spans="1:7" ht="38.25" customHeight="1" thickBot="1">
      <c r="A60" s="13" t="s">
        <v>615</v>
      </c>
      <c r="B60" s="3735"/>
      <c r="C60" s="3714"/>
      <c r="D60" s="3680">
        <v>52</v>
      </c>
      <c r="E60" s="3681"/>
      <c r="F60" s="10">
        <v>52</v>
      </c>
      <c r="G60" s="45">
        <v>52</v>
      </c>
    </row>
    <row r="61" spans="1:7" ht="27" customHeight="1" thickBot="1">
      <c r="A61" s="3729" t="s">
        <v>26</v>
      </c>
      <c r="B61" s="3730"/>
      <c r="C61" s="3730"/>
      <c r="D61" s="3730"/>
      <c r="E61" s="3731"/>
      <c r="F61" s="3731"/>
      <c r="G61" s="50"/>
    </row>
    <row r="62" spans="1:7" ht="14.4" thickBot="1">
      <c r="A62" s="3729" t="s">
        <v>493</v>
      </c>
      <c r="B62" s="3730"/>
      <c r="C62" s="3730"/>
      <c r="D62" s="3730"/>
      <c r="E62" s="3731"/>
      <c r="F62" s="3731"/>
      <c r="G62" s="50"/>
    </row>
    <row r="63" spans="1:7" ht="37.5" customHeight="1" thickBot="1">
      <c r="A63" s="7" t="s">
        <v>310</v>
      </c>
      <c r="B63" s="8" t="s">
        <v>440</v>
      </c>
      <c r="C63" s="9" t="s">
        <v>314</v>
      </c>
      <c r="D63" s="3680">
        <v>65</v>
      </c>
      <c r="E63" s="3681"/>
      <c r="F63" s="10">
        <v>65</v>
      </c>
      <c r="G63" s="45">
        <v>65</v>
      </c>
    </row>
    <row r="64" spans="1:7" ht="40.5" customHeight="1" thickBot="1">
      <c r="A64" s="7" t="s">
        <v>352</v>
      </c>
      <c r="B64" s="8" t="s">
        <v>441</v>
      </c>
      <c r="C64" s="9" t="s">
        <v>202</v>
      </c>
      <c r="D64" s="3680">
        <v>25</v>
      </c>
      <c r="E64" s="3681"/>
      <c r="F64" s="10">
        <v>25</v>
      </c>
      <c r="G64" s="45">
        <v>23</v>
      </c>
    </row>
    <row r="65" spans="1:7" ht="36" customHeight="1" thickBot="1">
      <c r="A65" s="7" t="s">
        <v>616</v>
      </c>
      <c r="B65" s="8" t="s">
        <v>442</v>
      </c>
      <c r="C65" s="9" t="s">
        <v>314</v>
      </c>
      <c r="D65" s="3687">
        <v>17</v>
      </c>
      <c r="E65" s="3688"/>
      <c r="F65" s="16">
        <v>17</v>
      </c>
      <c r="G65" s="51">
        <v>16</v>
      </c>
    </row>
    <row r="66" spans="1:7" ht="13.8" thickBot="1">
      <c r="A66" s="7" t="s">
        <v>446</v>
      </c>
      <c r="B66" s="8" t="s">
        <v>327</v>
      </c>
      <c r="C66" s="9" t="s">
        <v>202</v>
      </c>
      <c r="D66" s="3687">
        <v>2</v>
      </c>
      <c r="E66" s="3688"/>
      <c r="F66" s="16">
        <v>2</v>
      </c>
      <c r="G66" s="51">
        <v>2</v>
      </c>
    </row>
    <row r="67" spans="1:7" ht="32.25" customHeight="1" thickBot="1">
      <c r="A67" s="7" t="s">
        <v>326</v>
      </c>
      <c r="B67" s="8" t="s">
        <v>60</v>
      </c>
      <c r="C67" s="9" t="s">
        <v>202</v>
      </c>
      <c r="D67" s="3687">
        <v>40</v>
      </c>
      <c r="E67" s="3688"/>
      <c r="F67" s="16">
        <v>40</v>
      </c>
      <c r="G67" s="51">
        <v>40</v>
      </c>
    </row>
    <row r="68" spans="1:7" ht="37.5" customHeight="1" thickBot="1">
      <c r="A68" s="7" t="s">
        <v>59</v>
      </c>
      <c r="B68" s="8" t="s">
        <v>79</v>
      </c>
      <c r="C68" s="9" t="s">
        <v>202</v>
      </c>
      <c r="D68" s="3687" t="s">
        <v>617</v>
      </c>
      <c r="E68" s="3688"/>
      <c r="F68" s="16" t="s">
        <v>617</v>
      </c>
      <c r="G68" s="51" t="s">
        <v>617</v>
      </c>
    </row>
    <row r="69" spans="1:7" ht="30.75" customHeight="1" thickBot="1">
      <c r="A69" s="7" t="s">
        <v>78</v>
      </c>
      <c r="B69" s="8" t="s">
        <v>477</v>
      </c>
      <c r="C69" s="9" t="s">
        <v>314</v>
      </c>
      <c r="D69" s="3680">
        <v>6.5</v>
      </c>
      <c r="E69" s="3681"/>
      <c r="F69" s="10">
        <v>6.5</v>
      </c>
      <c r="G69" s="45">
        <v>6.6</v>
      </c>
    </row>
    <row r="70" spans="1:7" ht="35.25" customHeight="1" thickBot="1">
      <c r="A70" s="7" t="s">
        <v>209</v>
      </c>
      <c r="B70" s="8" t="s">
        <v>359</v>
      </c>
      <c r="C70" s="9" t="s">
        <v>202</v>
      </c>
      <c r="D70" s="3680" t="s">
        <v>212</v>
      </c>
      <c r="E70" s="3681"/>
      <c r="F70" s="10" t="s">
        <v>212</v>
      </c>
      <c r="G70" s="45" t="s">
        <v>211</v>
      </c>
    </row>
    <row r="71" spans="1:7" ht="32.25" customHeight="1" thickBot="1">
      <c r="A71" s="7" t="s">
        <v>476</v>
      </c>
      <c r="B71" s="8" t="s">
        <v>586</v>
      </c>
      <c r="C71" s="9" t="s">
        <v>202</v>
      </c>
      <c r="D71" s="3719" t="s">
        <v>462</v>
      </c>
      <c r="E71" s="3720"/>
      <c r="F71" s="17" t="s">
        <v>462</v>
      </c>
      <c r="G71" s="52" t="s">
        <v>462</v>
      </c>
    </row>
    <row r="72" spans="1:7" ht="31.2" thickBot="1">
      <c r="A72" s="7" t="s">
        <v>358</v>
      </c>
      <c r="B72" s="8" t="s">
        <v>210</v>
      </c>
      <c r="C72" s="9" t="s">
        <v>202</v>
      </c>
      <c r="D72" s="3719" t="s">
        <v>462</v>
      </c>
      <c r="E72" s="3720"/>
      <c r="F72" s="17" t="s">
        <v>462</v>
      </c>
      <c r="G72" s="52" t="s">
        <v>462</v>
      </c>
    </row>
    <row r="73" spans="1:7" ht="31.5" customHeight="1" thickBot="1">
      <c r="A73" s="3732" t="s">
        <v>287</v>
      </c>
      <c r="B73" s="3733"/>
      <c r="C73" s="3733"/>
      <c r="D73" s="3733"/>
      <c r="E73" s="3708"/>
      <c r="F73" s="3708"/>
      <c r="G73" s="46"/>
    </row>
    <row r="74" spans="1:7" ht="27" customHeight="1" thickBot="1">
      <c r="A74" s="3695" t="s">
        <v>456</v>
      </c>
      <c r="B74" s="3696"/>
      <c r="C74" s="3696"/>
      <c r="D74" s="3696"/>
      <c r="E74" s="3697"/>
      <c r="F74" s="3697"/>
      <c r="G74" s="47"/>
    </row>
    <row r="75" spans="1:7" ht="14.4" thickBot="1">
      <c r="A75" s="3695" t="s">
        <v>200</v>
      </c>
      <c r="B75" s="3696"/>
      <c r="C75" s="3696"/>
      <c r="D75" s="3696"/>
      <c r="E75" s="3697"/>
      <c r="F75" s="3697"/>
      <c r="G75" s="47"/>
    </row>
    <row r="76" spans="1:7" ht="36" customHeight="1" thickBot="1">
      <c r="A76" s="7" t="s">
        <v>92</v>
      </c>
      <c r="B76" s="18" t="s">
        <v>457</v>
      </c>
      <c r="C76" s="9" t="s">
        <v>202</v>
      </c>
      <c r="D76" s="3680">
        <v>165</v>
      </c>
      <c r="E76" s="3681"/>
      <c r="F76" s="10">
        <v>165</v>
      </c>
      <c r="G76" s="45">
        <v>160</v>
      </c>
    </row>
    <row r="77" spans="1:7" ht="28.5" customHeight="1" thickBot="1">
      <c r="A77" s="7" t="s">
        <v>455</v>
      </c>
      <c r="B77" s="18" t="s">
        <v>565</v>
      </c>
      <c r="C77" s="9" t="s">
        <v>314</v>
      </c>
      <c r="D77" s="3680">
        <v>98</v>
      </c>
      <c r="E77" s="3681"/>
      <c r="F77" s="10">
        <v>98</v>
      </c>
      <c r="G77" s="45">
        <v>98</v>
      </c>
    </row>
    <row r="78" spans="1:7" ht="38.25" customHeight="1" thickBot="1">
      <c r="A78" s="7" t="s">
        <v>93</v>
      </c>
      <c r="B78" s="18" t="s">
        <v>383</v>
      </c>
      <c r="C78" s="9" t="s">
        <v>202</v>
      </c>
      <c r="D78" s="3680">
        <v>14</v>
      </c>
      <c r="E78" s="3681"/>
      <c r="F78" s="10">
        <v>16</v>
      </c>
      <c r="G78" s="45">
        <v>12</v>
      </c>
    </row>
    <row r="79" spans="1:7" ht="30.75" customHeight="1" thickBot="1">
      <c r="A79" s="7" t="s">
        <v>382</v>
      </c>
      <c r="B79" s="3738" t="s">
        <v>55</v>
      </c>
      <c r="C79" s="20"/>
      <c r="D79" s="3699"/>
      <c r="E79" s="3700"/>
      <c r="F79" s="21"/>
      <c r="G79" s="2"/>
    </row>
    <row r="80" spans="1:7" ht="19.5" customHeight="1" thickBot="1">
      <c r="A80" s="7" t="s">
        <v>384</v>
      </c>
      <c r="B80" s="3740"/>
      <c r="C80" s="9" t="s">
        <v>314</v>
      </c>
      <c r="D80" s="3680">
        <v>99</v>
      </c>
      <c r="E80" s="3681"/>
      <c r="F80" s="10">
        <v>99</v>
      </c>
      <c r="G80" s="45">
        <v>99</v>
      </c>
    </row>
    <row r="81" spans="1:7" ht="20.25" customHeight="1" thickBot="1">
      <c r="A81" s="7" t="s">
        <v>54</v>
      </c>
      <c r="B81" s="18" t="s">
        <v>94</v>
      </c>
      <c r="C81" s="9" t="s">
        <v>314</v>
      </c>
      <c r="D81" s="3680">
        <v>99</v>
      </c>
      <c r="E81" s="3681"/>
      <c r="F81" s="10">
        <v>99</v>
      </c>
      <c r="G81" s="45">
        <v>99</v>
      </c>
    </row>
    <row r="82" spans="1:7" ht="26.25" customHeight="1" thickBot="1">
      <c r="A82" s="3703" t="s">
        <v>73</v>
      </c>
      <c r="B82" s="3704"/>
      <c r="C82" s="3704"/>
      <c r="D82" s="3704"/>
      <c r="E82" s="3705"/>
      <c r="F82" s="3705"/>
      <c r="G82" s="48"/>
    </row>
    <row r="83" spans="1:7" ht="47.25" customHeight="1" thickBot="1">
      <c r="A83" s="3701" t="s">
        <v>694</v>
      </c>
      <c r="B83" s="3702"/>
      <c r="C83" s="3702"/>
      <c r="D83" s="3702"/>
      <c r="E83" s="3702"/>
      <c r="F83" s="3702"/>
      <c r="G83" s="53"/>
    </row>
    <row r="84" spans="1:7" ht="21.75" customHeight="1" thickBot="1">
      <c r="A84" s="12" t="s">
        <v>443</v>
      </c>
      <c r="B84" s="18" t="s">
        <v>444</v>
      </c>
      <c r="C84" s="9" t="s">
        <v>202</v>
      </c>
      <c r="D84" s="3683">
        <v>770</v>
      </c>
      <c r="E84" s="3684"/>
      <c r="F84" s="22">
        <v>780</v>
      </c>
      <c r="G84" s="54">
        <v>760</v>
      </c>
    </row>
    <row r="85" spans="1:7" ht="30" customHeight="1" thickBot="1">
      <c r="A85" s="12" t="s">
        <v>102</v>
      </c>
      <c r="B85" s="18" t="s">
        <v>114</v>
      </c>
      <c r="C85" s="23" t="s">
        <v>202</v>
      </c>
      <c r="D85" s="3683">
        <v>190</v>
      </c>
      <c r="E85" s="3684"/>
      <c r="F85" s="22">
        <v>190</v>
      </c>
      <c r="G85" s="54">
        <v>180</v>
      </c>
    </row>
    <row r="86" spans="1:7" ht="21.75" customHeight="1" thickBot="1">
      <c r="A86" s="12" t="s">
        <v>129</v>
      </c>
      <c r="B86" s="18" t="s">
        <v>130</v>
      </c>
      <c r="C86" s="23" t="s">
        <v>202</v>
      </c>
      <c r="D86" s="3683">
        <v>770</v>
      </c>
      <c r="E86" s="3684"/>
      <c r="F86" s="22">
        <v>780</v>
      </c>
      <c r="G86" s="54">
        <v>760</v>
      </c>
    </row>
    <row r="87" spans="1:7" ht="32.25" customHeight="1" thickBot="1">
      <c r="A87" s="12" t="s">
        <v>131</v>
      </c>
      <c r="B87" s="18" t="s">
        <v>128</v>
      </c>
      <c r="C87" s="23" t="s">
        <v>202</v>
      </c>
      <c r="D87" s="3683">
        <v>890</v>
      </c>
      <c r="E87" s="3684"/>
      <c r="F87" s="22">
        <v>890</v>
      </c>
      <c r="G87" s="54">
        <v>890</v>
      </c>
    </row>
    <row r="88" spans="1:7" ht="30" customHeight="1" thickBot="1">
      <c r="A88" s="12" t="s">
        <v>332</v>
      </c>
      <c r="B88" s="18" t="s">
        <v>290</v>
      </c>
      <c r="C88" s="23" t="s">
        <v>202</v>
      </c>
      <c r="D88" s="3683">
        <v>200</v>
      </c>
      <c r="E88" s="3684"/>
      <c r="F88" s="22">
        <v>210</v>
      </c>
      <c r="G88" s="54">
        <v>200</v>
      </c>
    </row>
    <row r="89" spans="1:7" ht="33.75" customHeight="1" thickBot="1">
      <c r="A89" s="12" t="s">
        <v>95</v>
      </c>
      <c r="B89" s="18" t="s">
        <v>396</v>
      </c>
      <c r="C89" s="23" t="s">
        <v>202</v>
      </c>
      <c r="D89" s="3683">
        <v>15</v>
      </c>
      <c r="E89" s="3684"/>
      <c r="F89" s="22">
        <v>15</v>
      </c>
      <c r="G89" s="54">
        <v>17</v>
      </c>
    </row>
    <row r="90" spans="1:7" ht="37.5" customHeight="1" thickBot="1">
      <c r="A90" s="12" t="s">
        <v>96</v>
      </c>
      <c r="B90" s="18" t="s">
        <v>397</v>
      </c>
      <c r="C90" s="23" t="s">
        <v>202</v>
      </c>
      <c r="D90" s="3683">
        <v>2300</v>
      </c>
      <c r="E90" s="3684"/>
      <c r="F90" s="22">
        <v>2300</v>
      </c>
      <c r="G90" s="54">
        <v>2200</v>
      </c>
    </row>
    <row r="91" spans="1:7" ht="37.5" customHeight="1" thickBot="1">
      <c r="A91" s="12" t="s">
        <v>529</v>
      </c>
      <c r="B91" s="18" t="s">
        <v>235</v>
      </c>
      <c r="C91" s="23" t="s">
        <v>202</v>
      </c>
      <c r="D91" s="3683">
        <v>300</v>
      </c>
      <c r="E91" s="3684"/>
      <c r="F91" s="22">
        <v>500</v>
      </c>
      <c r="G91" s="54">
        <v>200</v>
      </c>
    </row>
    <row r="92" spans="1:7" ht="36.75" customHeight="1" thickBot="1">
      <c r="A92" s="12" t="s">
        <v>289</v>
      </c>
      <c r="B92" s="18" t="s">
        <v>237</v>
      </c>
      <c r="C92" s="23" t="s">
        <v>202</v>
      </c>
      <c r="D92" s="3683">
        <v>70</v>
      </c>
      <c r="E92" s="3684"/>
      <c r="F92" s="22">
        <v>90</v>
      </c>
      <c r="G92" s="54">
        <v>65</v>
      </c>
    </row>
    <row r="93" spans="1:7" ht="34.5" customHeight="1" thickBot="1">
      <c r="A93" s="12" t="s">
        <v>331</v>
      </c>
      <c r="B93" s="18" t="s">
        <v>364</v>
      </c>
      <c r="C93" s="23" t="s">
        <v>314</v>
      </c>
      <c r="D93" s="3683">
        <v>28</v>
      </c>
      <c r="E93" s="3684"/>
      <c r="F93" s="22">
        <v>30</v>
      </c>
      <c r="G93" s="54">
        <v>27</v>
      </c>
    </row>
    <row r="94" spans="1:7" ht="36" customHeight="1" thickBot="1">
      <c r="A94" s="12" t="s">
        <v>530</v>
      </c>
      <c r="B94" s="18" t="s">
        <v>340</v>
      </c>
      <c r="C94" s="23" t="s">
        <v>202</v>
      </c>
      <c r="D94" s="3683">
        <v>95</v>
      </c>
      <c r="E94" s="3684"/>
      <c r="F94" s="22">
        <v>100</v>
      </c>
      <c r="G94" s="54">
        <v>90</v>
      </c>
    </row>
    <row r="95" spans="1:7" ht="35.25" customHeight="1" thickBot="1">
      <c r="A95" s="12" t="s">
        <v>236</v>
      </c>
      <c r="B95" s="20"/>
      <c r="C95" s="23" t="s">
        <v>202</v>
      </c>
      <c r="D95" s="3683">
        <v>130</v>
      </c>
      <c r="E95" s="3684"/>
      <c r="F95" s="22">
        <v>110</v>
      </c>
      <c r="G95" s="54">
        <v>250</v>
      </c>
    </row>
    <row r="96" spans="1:7" ht="13.8" thickBot="1">
      <c r="A96" s="12" t="s">
        <v>238</v>
      </c>
      <c r="B96" s="18" t="s">
        <v>265</v>
      </c>
      <c r="C96" s="23" t="s">
        <v>202</v>
      </c>
      <c r="D96" s="3683">
        <v>50</v>
      </c>
      <c r="E96" s="3684"/>
      <c r="F96" s="22">
        <v>30</v>
      </c>
      <c r="G96" s="54">
        <v>100</v>
      </c>
    </row>
    <row r="97" spans="1:7" ht="13.8" thickBot="1">
      <c r="A97" s="12" t="s">
        <v>362</v>
      </c>
      <c r="B97" s="20"/>
      <c r="C97" s="23" t="s">
        <v>202</v>
      </c>
      <c r="D97" s="3683">
        <v>50</v>
      </c>
      <c r="E97" s="3684"/>
      <c r="F97" s="22">
        <v>50</v>
      </c>
      <c r="G97" s="54">
        <v>100</v>
      </c>
    </row>
    <row r="98" spans="1:7" ht="13.8" thickBot="1">
      <c r="A98" s="12" t="s">
        <v>363</v>
      </c>
      <c r="B98" s="20"/>
      <c r="C98" s="23" t="s">
        <v>202</v>
      </c>
      <c r="D98" s="3683">
        <v>30</v>
      </c>
      <c r="E98" s="3684"/>
      <c r="F98" s="22">
        <v>30</v>
      </c>
      <c r="G98" s="54">
        <v>50</v>
      </c>
    </row>
    <row r="99" spans="1:7" ht="36" customHeight="1" thickBot="1">
      <c r="A99" s="12" t="s">
        <v>531</v>
      </c>
      <c r="B99" s="18" t="s">
        <v>266</v>
      </c>
      <c r="C99" s="23" t="s">
        <v>314</v>
      </c>
      <c r="D99" s="3683">
        <v>95</v>
      </c>
      <c r="E99" s="3684"/>
      <c r="F99" s="22">
        <v>100</v>
      </c>
      <c r="G99" s="54">
        <v>90</v>
      </c>
    </row>
    <row r="100" spans="1:7" ht="39" customHeight="1" thickBot="1">
      <c r="A100" s="12" t="s">
        <v>532</v>
      </c>
      <c r="B100" s="18" t="s">
        <v>447</v>
      </c>
      <c r="C100" s="23" t="s">
        <v>202</v>
      </c>
      <c r="D100" s="3683">
        <v>1500</v>
      </c>
      <c r="E100" s="3684"/>
      <c r="F100" s="22">
        <v>1500</v>
      </c>
      <c r="G100" s="54">
        <v>1400</v>
      </c>
    </row>
    <row r="101" spans="1:7" ht="36" customHeight="1" thickBot="1">
      <c r="A101" s="12" t="s">
        <v>533</v>
      </c>
      <c r="B101" s="18" t="s">
        <v>448</v>
      </c>
      <c r="C101" s="23" t="s">
        <v>202</v>
      </c>
      <c r="D101" s="3683">
        <v>600</v>
      </c>
      <c r="E101" s="3684"/>
      <c r="F101" s="22">
        <v>650</v>
      </c>
      <c r="G101" s="54">
        <v>500</v>
      </c>
    </row>
    <row r="102" spans="1:7" ht="40.5" customHeight="1" thickBot="1">
      <c r="A102" s="3689" t="s">
        <v>466</v>
      </c>
      <c r="B102" s="3690"/>
      <c r="C102" s="3690"/>
      <c r="D102" s="3690"/>
      <c r="E102" s="3698"/>
      <c r="F102" s="3698"/>
      <c r="G102" s="49"/>
    </row>
    <row r="103" spans="1:7" ht="30.75" customHeight="1" thickBot="1">
      <c r="A103" s="3741" t="s">
        <v>534</v>
      </c>
      <c r="B103" s="3738" t="s">
        <v>395</v>
      </c>
      <c r="C103" s="23" t="s">
        <v>202</v>
      </c>
      <c r="D103" s="3683">
        <v>1200</v>
      </c>
      <c r="E103" s="3684"/>
      <c r="F103" s="22">
        <v>1200</v>
      </c>
      <c r="G103" s="54">
        <v>1200</v>
      </c>
    </row>
    <row r="104" spans="1:7" ht="13.8" thickBot="1">
      <c r="A104" s="3742"/>
      <c r="B104" s="3740"/>
      <c r="C104" s="23" t="s">
        <v>314</v>
      </c>
      <c r="D104" s="3683">
        <v>8</v>
      </c>
      <c r="E104" s="3684"/>
      <c r="F104" s="22">
        <v>10</v>
      </c>
      <c r="G104" s="54">
        <v>7</v>
      </c>
    </row>
    <row r="105" spans="1:7" ht="41.25" customHeight="1" thickBot="1">
      <c r="A105" s="12" t="s">
        <v>450</v>
      </c>
      <c r="B105" s="18" t="s">
        <v>173</v>
      </c>
      <c r="C105" s="23" t="s">
        <v>202</v>
      </c>
      <c r="D105" s="3683">
        <v>8</v>
      </c>
      <c r="E105" s="3684"/>
      <c r="F105" s="22">
        <v>9</v>
      </c>
      <c r="G105" s="54">
        <v>6</v>
      </c>
    </row>
    <row r="106" spans="1:7" ht="38.25" customHeight="1" thickBot="1">
      <c r="A106" s="12" t="s">
        <v>292</v>
      </c>
      <c r="B106" s="18" t="s">
        <v>449</v>
      </c>
      <c r="C106" s="23" t="s">
        <v>202</v>
      </c>
      <c r="D106" s="3683">
        <v>100</v>
      </c>
      <c r="E106" s="3684"/>
      <c r="F106" s="22">
        <v>100</v>
      </c>
      <c r="G106" s="54">
        <v>100</v>
      </c>
    </row>
    <row r="107" spans="1:7" ht="41.25" customHeight="1" thickBot="1">
      <c r="A107" s="12" t="s">
        <v>618</v>
      </c>
      <c r="B107" s="18" t="s">
        <v>451</v>
      </c>
      <c r="C107" s="23" t="s">
        <v>314</v>
      </c>
      <c r="D107" s="3683">
        <v>99</v>
      </c>
      <c r="E107" s="3684"/>
      <c r="F107" s="22">
        <v>99</v>
      </c>
      <c r="G107" s="54">
        <v>99</v>
      </c>
    </row>
    <row r="108" spans="1:7" ht="32.25" customHeight="1" thickBot="1">
      <c r="A108" s="12" t="s">
        <v>535</v>
      </c>
      <c r="B108" s="3738" t="s">
        <v>452</v>
      </c>
      <c r="C108" s="23" t="s">
        <v>314</v>
      </c>
      <c r="D108" s="3683">
        <v>95</v>
      </c>
      <c r="E108" s="3684"/>
      <c r="F108" s="22">
        <v>100</v>
      </c>
      <c r="G108" s="54">
        <v>85</v>
      </c>
    </row>
    <row r="109" spans="1:7" ht="33" customHeight="1" thickBot="1">
      <c r="A109" s="12" t="s">
        <v>536</v>
      </c>
      <c r="B109" s="3739"/>
      <c r="C109" s="23" t="s">
        <v>202</v>
      </c>
      <c r="D109" s="3683">
        <v>20</v>
      </c>
      <c r="E109" s="3684"/>
      <c r="F109" s="22">
        <v>20</v>
      </c>
      <c r="G109" s="54">
        <v>17</v>
      </c>
    </row>
    <row r="110" spans="1:7" ht="33" customHeight="1" thickBot="1">
      <c r="A110" s="12" t="s">
        <v>537</v>
      </c>
      <c r="B110" s="3739"/>
      <c r="C110" s="23" t="s">
        <v>202</v>
      </c>
      <c r="D110" s="3683">
        <v>15</v>
      </c>
      <c r="E110" s="3684"/>
      <c r="F110" s="22">
        <v>14</v>
      </c>
      <c r="G110" s="54">
        <v>14</v>
      </c>
    </row>
    <row r="111" spans="1:7" ht="24" customHeight="1" thickBot="1">
      <c r="A111" s="12" t="s">
        <v>538</v>
      </c>
      <c r="B111" s="3740"/>
      <c r="C111" s="23" t="s">
        <v>202</v>
      </c>
      <c r="D111" s="3683">
        <v>0</v>
      </c>
      <c r="E111" s="3684"/>
      <c r="F111" s="22">
        <v>1</v>
      </c>
      <c r="G111" s="54">
        <v>0</v>
      </c>
    </row>
    <row r="112" spans="1:7" ht="36.75" customHeight="1" thickBot="1">
      <c r="A112" s="12" t="s">
        <v>539</v>
      </c>
      <c r="B112" s="3738" t="s">
        <v>293</v>
      </c>
      <c r="C112" s="23" t="s">
        <v>314</v>
      </c>
      <c r="D112" s="3683">
        <v>93</v>
      </c>
      <c r="E112" s="3684"/>
      <c r="F112" s="22">
        <v>97</v>
      </c>
      <c r="G112" s="54">
        <v>91</v>
      </c>
    </row>
    <row r="113" spans="1:7" ht="29.25" customHeight="1" thickBot="1">
      <c r="A113" s="12" t="s">
        <v>540</v>
      </c>
      <c r="B113" s="3739"/>
      <c r="C113" s="23" t="s">
        <v>202</v>
      </c>
      <c r="D113" s="3683">
        <v>53</v>
      </c>
      <c r="E113" s="3684"/>
      <c r="F113" s="22">
        <v>51</v>
      </c>
      <c r="G113" s="54">
        <v>55</v>
      </c>
    </row>
    <row r="114" spans="1:7" ht="32.25" customHeight="1" thickBot="1">
      <c r="A114" s="12" t="s">
        <v>541</v>
      </c>
      <c r="B114" s="3739"/>
      <c r="C114" s="23" t="s">
        <v>202</v>
      </c>
      <c r="D114" s="3683">
        <v>157</v>
      </c>
      <c r="E114" s="3684"/>
      <c r="F114" s="22">
        <v>159</v>
      </c>
      <c r="G114" s="54">
        <v>155</v>
      </c>
    </row>
    <row r="115" spans="1:7" ht="30.75" customHeight="1" thickBot="1">
      <c r="A115" s="12" t="s">
        <v>542</v>
      </c>
      <c r="B115" s="3739"/>
      <c r="C115" s="23" t="s">
        <v>202</v>
      </c>
      <c r="D115" s="3683">
        <v>187</v>
      </c>
      <c r="E115" s="3684"/>
      <c r="F115" s="22">
        <v>189</v>
      </c>
      <c r="G115" s="54">
        <v>185</v>
      </c>
    </row>
    <row r="116" spans="1:7" ht="30" customHeight="1" thickBot="1">
      <c r="A116" s="12" t="s">
        <v>619</v>
      </c>
      <c r="B116" s="3740"/>
      <c r="C116" s="23" t="s">
        <v>202</v>
      </c>
      <c r="D116" s="3683">
        <v>8</v>
      </c>
      <c r="E116" s="3684"/>
      <c r="F116" s="22">
        <v>8</v>
      </c>
      <c r="G116" s="54">
        <v>7</v>
      </c>
    </row>
    <row r="117" spans="1:7" ht="36" customHeight="1" thickBot="1">
      <c r="A117" s="35" t="s">
        <v>543</v>
      </c>
      <c r="B117" s="33" t="s">
        <v>184</v>
      </c>
      <c r="C117" s="38" t="s">
        <v>202</v>
      </c>
      <c r="D117" s="3683">
        <v>10</v>
      </c>
      <c r="E117" s="3684"/>
      <c r="F117" s="34">
        <v>10</v>
      </c>
      <c r="G117" s="54">
        <v>5</v>
      </c>
    </row>
    <row r="118" spans="1:7" ht="30.75" customHeight="1" thickBot="1">
      <c r="A118" s="12" t="s">
        <v>334</v>
      </c>
      <c r="B118" s="18" t="s">
        <v>185</v>
      </c>
      <c r="C118" s="23" t="s">
        <v>202</v>
      </c>
      <c r="D118" s="3683">
        <v>5</v>
      </c>
      <c r="E118" s="3684"/>
      <c r="F118" s="22">
        <v>5</v>
      </c>
      <c r="G118" s="54">
        <v>5</v>
      </c>
    </row>
    <row r="119" spans="1:7" ht="27" thickBot="1">
      <c r="A119" s="12" t="s">
        <v>544</v>
      </c>
      <c r="B119" s="18" t="s">
        <v>453</v>
      </c>
      <c r="C119" s="23" t="s">
        <v>202</v>
      </c>
      <c r="D119" s="3683">
        <v>10</v>
      </c>
      <c r="E119" s="3684"/>
      <c r="F119" s="22">
        <v>12</v>
      </c>
      <c r="G119" s="54">
        <v>7</v>
      </c>
    </row>
    <row r="120" spans="1:7" ht="27" customHeight="1" thickBot="1">
      <c r="A120" s="3695" t="s">
        <v>112</v>
      </c>
      <c r="B120" s="3696"/>
      <c r="C120" s="3696"/>
      <c r="D120" s="3696"/>
      <c r="E120" s="3697"/>
      <c r="F120" s="3697"/>
      <c r="G120" s="47"/>
    </row>
    <row r="121" spans="1:7" ht="14.4" thickBot="1">
      <c r="A121" s="3695" t="s">
        <v>200</v>
      </c>
      <c r="B121" s="3696"/>
      <c r="C121" s="3696"/>
      <c r="D121" s="3696"/>
      <c r="E121" s="3697"/>
      <c r="F121" s="3697"/>
      <c r="G121" s="47"/>
    </row>
    <row r="122" spans="1:7" ht="27" thickBot="1">
      <c r="A122" s="7" t="s">
        <v>620</v>
      </c>
      <c r="B122" s="8" t="s">
        <v>66</v>
      </c>
      <c r="C122" s="9" t="s">
        <v>314</v>
      </c>
      <c r="D122" s="3680">
        <v>30</v>
      </c>
      <c r="E122" s="3681"/>
      <c r="F122" s="10">
        <v>30</v>
      </c>
      <c r="G122" s="45">
        <v>30</v>
      </c>
    </row>
    <row r="123" spans="1:7" ht="35.25" customHeight="1" thickBot="1">
      <c r="A123" s="3689" t="s">
        <v>507</v>
      </c>
      <c r="B123" s="3690"/>
      <c r="C123" s="3690"/>
      <c r="D123" s="3690"/>
      <c r="E123" s="3698"/>
      <c r="F123" s="3698"/>
      <c r="G123" s="49"/>
    </row>
    <row r="124" spans="1:7" ht="13.8" thickBot="1">
      <c r="A124" s="13" t="s">
        <v>621</v>
      </c>
      <c r="B124" s="8" t="s">
        <v>67</v>
      </c>
      <c r="C124" s="9" t="s">
        <v>202</v>
      </c>
      <c r="D124" s="3680">
        <v>17</v>
      </c>
      <c r="E124" s="3681"/>
      <c r="F124" s="10">
        <v>20</v>
      </c>
      <c r="G124" s="45">
        <v>15</v>
      </c>
    </row>
    <row r="125" spans="1:7" ht="31.5" customHeight="1" thickBot="1">
      <c r="A125" s="3732" t="s">
        <v>319</v>
      </c>
      <c r="B125" s="3733"/>
      <c r="C125" s="3733"/>
      <c r="D125" s="3733"/>
      <c r="E125" s="3708"/>
      <c r="F125" s="3708"/>
      <c r="G125" s="46"/>
    </row>
    <row r="126" spans="1:7" ht="27" customHeight="1" thickBot="1">
      <c r="A126" s="3695" t="s">
        <v>302</v>
      </c>
      <c r="B126" s="3696"/>
      <c r="C126" s="3696"/>
      <c r="D126" s="3696"/>
      <c r="E126" s="3697"/>
      <c r="F126" s="3697"/>
      <c r="G126" s="47"/>
    </row>
    <row r="127" spans="1:7" ht="14.4" thickBot="1">
      <c r="A127" s="3695" t="s">
        <v>200</v>
      </c>
      <c r="B127" s="3696"/>
      <c r="C127" s="3696"/>
      <c r="D127" s="3696"/>
      <c r="E127" s="3697"/>
      <c r="F127" s="3697"/>
      <c r="G127" s="47"/>
    </row>
    <row r="128" spans="1:7" ht="13.8" thickBot="1">
      <c r="A128" s="7" t="s">
        <v>622</v>
      </c>
      <c r="B128" s="18" t="s">
        <v>338</v>
      </c>
      <c r="C128" s="9" t="s">
        <v>202</v>
      </c>
      <c r="D128" s="3680">
        <v>45</v>
      </c>
      <c r="E128" s="3681"/>
      <c r="F128" s="10">
        <v>45</v>
      </c>
      <c r="G128" s="45">
        <v>45</v>
      </c>
    </row>
    <row r="129" spans="1:7" ht="13.8" thickBot="1">
      <c r="A129" s="7" t="s">
        <v>571</v>
      </c>
      <c r="B129" s="18" t="s">
        <v>222</v>
      </c>
      <c r="C129" s="9" t="s">
        <v>202</v>
      </c>
      <c r="D129" s="3680">
        <v>3000</v>
      </c>
      <c r="E129" s="3681"/>
      <c r="F129" s="10">
        <v>3000</v>
      </c>
      <c r="G129" s="45">
        <v>3000</v>
      </c>
    </row>
    <row r="130" spans="1:7" ht="13.8" thickBot="1">
      <c r="A130" s="3703" t="s">
        <v>73</v>
      </c>
      <c r="B130" s="3704"/>
      <c r="C130" s="3704"/>
      <c r="D130" s="3704"/>
      <c r="E130" s="3705"/>
      <c r="F130" s="3705"/>
      <c r="G130" s="48"/>
    </row>
    <row r="131" spans="1:7" ht="27" customHeight="1" thickBot="1">
      <c r="A131" s="3689" t="s">
        <v>278</v>
      </c>
      <c r="B131" s="3690"/>
      <c r="C131" s="3690"/>
      <c r="D131" s="3690"/>
      <c r="E131" s="3698"/>
      <c r="F131" s="3698"/>
      <c r="G131" s="49"/>
    </row>
    <row r="132" spans="1:7" ht="13.8" thickBot="1">
      <c r="A132" s="11" t="s">
        <v>418</v>
      </c>
      <c r="B132" s="18" t="s">
        <v>419</v>
      </c>
      <c r="C132" s="9" t="s">
        <v>202</v>
      </c>
      <c r="D132" s="3680">
        <v>750</v>
      </c>
      <c r="E132" s="3681"/>
      <c r="F132" s="10">
        <v>750</v>
      </c>
      <c r="G132" s="45">
        <v>750</v>
      </c>
    </row>
    <row r="133" spans="1:7" ht="54" customHeight="1" thickBot="1">
      <c r="A133" s="3689" t="s">
        <v>420</v>
      </c>
      <c r="B133" s="3690"/>
      <c r="C133" s="3690"/>
      <c r="D133" s="3690"/>
      <c r="E133" s="3698"/>
      <c r="F133" s="3698"/>
      <c r="G133" s="49"/>
    </row>
    <row r="134" spans="1:7" ht="13.8" thickBot="1">
      <c r="A134" s="13" t="s">
        <v>622</v>
      </c>
      <c r="B134" s="18" t="s">
        <v>22</v>
      </c>
      <c r="C134" s="9" t="s">
        <v>202</v>
      </c>
      <c r="D134" s="3680">
        <v>45</v>
      </c>
      <c r="E134" s="3681"/>
      <c r="F134" s="10">
        <v>45</v>
      </c>
      <c r="G134" s="45">
        <v>45</v>
      </c>
    </row>
    <row r="135" spans="1:7" ht="27" thickBot="1">
      <c r="A135" s="13" t="s">
        <v>350</v>
      </c>
      <c r="B135" s="18" t="s">
        <v>411</v>
      </c>
      <c r="C135" s="9" t="s">
        <v>314</v>
      </c>
      <c r="D135" s="3680">
        <v>80</v>
      </c>
      <c r="E135" s="3681"/>
      <c r="F135" s="10">
        <v>80</v>
      </c>
      <c r="G135" s="45">
        <v>80</v>
      </c>
    </row>
    <row r="136" spans="1:7" ht="13.8" thickBot="1">
      <c r="A136" s="13" t="s">
        <v>379</v>
      </c>
      <c r="B136" s="18" t="s">
        <v>361</v>
      </c>
      <c r="C136" s="9" t="s">
        <v>202</v>
      </c>
      <c r="D136" s="3680">
        <v>150</v>
      </c>
      <c r="E136" s="3681"/>
      <c r="F136" s="10">
        <v>150</v>
      </c>
      <c r="G136" s="45">
        <v>150</v>
      </c>
    </row>
    <row r="137" spans="1:7" ht="13.8" thickBot="1">
      <c r="A137" s="13" t="s">
        <v>623</v>
      </c>
      <c r="B137" s="18" t="s">
        <v>104</v>
      </c>
      <c r="C137" s="9" t="s">
        <v>105</v>
      </c>
      <c r="D137" s="3680">
        <v>1</v>
      </c>
      <c r="E137" s="3681"/>
      <c r="F137" s="10">
        <v>1</v>
      </c>
      <c r="G137" s="45">
        <v>1</v>
      </c>
    </row>
    <row r="138" spans="1:7" ht="13.8" thickBot="1">
      <c r="A138" s="13" t="s">
        <v>624</v>
      </c>
      <c r="B138" s="18" t="s">
        <v>106</v>
      </c>
      <c r="C138" s="9" t="s">
        <v>202</v>
      </c>
      <c r="D138" s="3680">
        <v>2</v>
      </c>
      <c r="E138" s="3681"/>
      <c r="F138" s="10">
        <v>2</v>
      </c>
      <c r="G138" s="45">
        <v>2</v>
      </c>
    </row>
    <row r="139" spans="1:7" ht="13.8" thickBot="1">
      <c r="A139" s="13" t="s">
        <v>625</v>
      </c>
      <c r="B139" s="18" t="s">
        <v>509</v>
      </c>
      <c r="C139" s="9" t="s">
        <v>202</v>
      </c>
      <c r="D139" s="3680">
        <v>50</v>
      </c>
      <c r="E139" s="3681"/>
      <c r="F139" s="10">
        <v>50</v>
      </c>
      <c r="G139" s="45">
        <v>50</v>
      </c>
    </row>
    <row r="140" spans="1:7" ht="27" thickBot="1">
      <c r="A140" s="13" t="s">
        <v>626</v>
      </c>
      <c r="B140" s="18" t="s">
        <v>510</v>
      </c>
      <c r="C140" s="9" t="s">
        <v>202</v>
      </c>
      <c r="D140" s="3693">
        <v>7000</v>
      </c>
      <c r="E140" s="3694"/>
      <c r="F140" s="24">
        <v>7000</v>
      </c>
      <c r="G140" s="55">
        <v>7000</v>
      </c>
    </row>
    <row r="141" spans="1:7" ht="47.25" customHeight="1" thickBot="1">
      <c r="A141" s="3732" t="s">
        <v>16</v>
      </c>
      <c r="B141" s="3733"/>
      <c r="C141" s="3733"/>
      <c r="D141" s="3733"/>
      <c r="E141" s="3708"/>
      <c r="F141" s="3708"/>
      <c r="G141" s="46"/>
    </row>
    <row r="142" spans="1:7" ht="27" customHeight="1" thickBot="1">
      <c r="A142" s="3695" t="s">
        <v>264</v>
      </c>
      <c r="B142" s="3696"/>
      <c r="C142" s="3696"/>
      <c r="D142" s="3696"/>
      <c r="E142" s="3697"/>
      <c r="F142" s="3697"/>
      <c r="G142" s="47"/>
    </row>
    <row r="143" spans="1:7" ht="14.4" thickBot="1">
      <c r="A143" s="3695" t="s">
        <v>200</v>
      </c>
      <c r="B143" s="3696"/>
      <c r="C143" s="3696"/>
      <c r="D143" s="3696"/>
      <c r="E143" s="3697"/>
      <c r="F143" s="3697"/>
      <c r="G143" s="47"/>
    </row>
    <row r="144" spans="1:7" ht="13.8" thickBot="1">
      <c r="A144" s="7" t="s">
        <v>627</v>
      </c>
      <c r="B144" s="18" t="s">
        <v>387</v>
      </c>
      <c r="C144" s="9" t="s">
        <v>202</v>
      </c>
      <c r="D144" s="3680">
        <v>350</v>
      </c>
      <c r="E144" s="3681"/>
      <c r="F144" s="10">
        <v>300</v>
      </c>
      <c r="G144" s="45">
        <v>450</v>
      </c>
    </row>
    <row r="145" spans="1:7" ht="13.8" thickBot="1">
      <c r="A145" s="7" t="s">
        <v>170</v>
      </c>
      <c r="B145" s="18" t="s">
        <v>388</v>
      </c>
      <c r="C145" s="9" t="s">
        <v>202</v>
      </c>
      <c r="D145" s="3680">
        <v>17</v>
      </c>
      <c r="E145" s="3681"/>
      <c r="F145" s="10">
        <v>20</v>
      </c>
      <c r="G145" s="45">
        <v>15</v>
      </c>
    </row>
    <row r="146" spans="1:7" ht="27" thickBot="1">
      <c r="A146" s="7" t="s">
        <v>545</v>
      </c>
      <c r="B146" s="18" t="s">
        <v>389</v>
      </c>
      <c r="C146" s="9" t="s">
        <v>202</v>
      </c>
      <c r="D146" s="3680">
        <v>3</v>
      </c>
      <c r="E146" s="3681"/>
      <c r="F146" s="10">
        <v>3</v>
      </c>
      <c r="G146" s="45">
        <v>2</v>
      </c>
    </row>
    <row r="147" spans="1:7" ht="13.8" thickBot="1">
      <c r="A147" s="7" t="s">
        <v>546</v>
      </c>
      <c r="B147" s="18" t="s">
        <v>547</v>
      </c>
      <c r="C147" s="9" t="s">
        <v>314</v>
      </c>
      <c r="D147" s="3680">
        <v>45</v>
      </c>
      <c r="E147" s="3681"/>
      <c r="F147" s="10">
        <v>50</v>
      </c>
      <c r="G147" s="45">
        <v>40</v>
      </c>
    </row>
    <row r="148" spans="1:7" ht="13.8" thickBot="1">
      <c r="A148" s="3703" t="s">
        <v>73</v>
      </c>
      <c r="B148" s="3704"/>
      <c r="C148" s="3704"/>
      <c r="D148" s="3704"/>
      <c r="E148" s="3705"/>
      <c r="F148" s="3705"/>
      <c r="G148" s="48"/>
    </row>
    <row r="149" spans="1:7" ht="27" customHeight="1" thickBot="1">
      <c r="A149" s="3689" t="s">
        <v>231</v>
      </c>
      <c r="B149" s="3690"/>
      <c r="C149" s="3690"/>
      <c r="D149" s="3690"/>
      <c r="E149" s="3698"/>
      <c r="F149" s="3698"/>
      <c r="G149" s="49"/>
    </row>
    <row r="150" spans="1:7" ht="13.8" thickBot="1">
      <c r="A150" s="13" t="s">
        <v>628</v>
      </c>
      <c r="B150" s="18" t="s">
        <v>386</v>
      </c>
      <c r="C150" s="9" t="s">
        <v>202</v>
      </c>
      <c r="D150" s="3680">
        <v>2800</v>
      </c>
      <c r="E150" s="3681"/>
      <c r="F150" s="10">
        <v>3000</v>
      </c>
      <c r="G150" s="45">
        <v>2750</v>
      </c>
    </row>
    <row r="151" spans="1:7" ht="13.8" thickBot="1">
      <c r="A151" s="13" t="s">
        <v>629</v>
      </c>
      <c r="B151" s="18" t="s">
        <v>424</v>
      </c>
      <c r="C151" s="9" t="s">
        <v>202</v>
      </c>
      <c r="D151" s="3680">
        <v>550</v>
      </c>
      <c r="E151" s="3681"/>
      <c r="F151" s="10">
        <v>600</v>
      </c>
      <c r="G151" s="45">
        <v>500</v>
      </c>
    </row>
    <row r="152" spans="1:7" ht="13.8" thickBot="1">
      <c r="A152" s="13" t="s">
        <v>172</v>
      </c>
      <c r="B152" s="18" t="s">
        <v>65</v>
      </c>
      <c r="C152" s="9" t="s">
        <v>576</v>
      </c>
      <c r="D152" s="3680">
        <v>150</v>
      </c>
      <c r="E152" s="3681"/>
      <c r="F152" s="10">
        <v>150</v>
      </c>
      <c r="G152" s="45">
        <v>50</v>
      </c>
    </row>
    <row r="153" spans="1:7" ht="13.8" thickBot="1">
      <c r="A153" s="13" t="s">
        <v>161</v>
      </c>
      <c r="B153" s="18" t="s">
        <v>171</v>
      </c>
      <c r="C153" s="9" t="s">
        <v>575</v>
      </c>
      <c r="D153" s="3680">
        <v>51000</v>
      </c>
      <c r="E153" s="3681"/>
      <c r="F153" s="10">
        <v>53000</v>
      </c>
      <c r="G153" s="45">
        <v>50000</v>
      </c>
    </row>
    <row r="154" spans="1:7" ht="54" customHeight="1" thickBot="1">
      <c r="A154" s="3736" t="s">
        <v>630</v>
      </c>
      <c r="B154" s="3737"/>
      <c r="C154" s="3737"/>
      <c r="D154" s="3737"/>
      <c r="E154" s="3697"/>
      <c r="F154" s="3697"/>
      <c r="G154" s="47"/>
    </row>
    <row r="155" spans="1:7" ht="14.4" thickBot="1">
      <c r="A155" s="3695" t="s">
        <v>200</v>
      </c>
      <c r="B155" s="3696"/>
      <c r="C155" s="3696"/>
      <c r="D155" s="3696"/>
      <c r="E155" s="3697"/>
      <c r="F155" s="3697"/>
      <c r="G155" s="47"/>
    </row>
    <row r="156" spans="1:7" ht="13.8" thickBot="1">
      <c r="A156" s="7" t="s">
        <v>162</v>
      </c>
      <c r="B156" s="18" t="s">
        <v>439</v>
      </c>
      <c r="C156" s="9" t="s">
        <v>202</v>
      </c>
      <c r="D156" s="3680">
        <v>7</v>
      </c>
      <c r="E156" s="3681"/>
      <c r="F156" s="10">
        <v>7</v>
      </c>
      <c r="G156" s="45">
        <v>7</v>
      </c>
    </row>
    <row r="157" spans="1:7" ht="13.8" thickBot="1">
      <c r="A157" s="7" t="s">
        <v>163</v>
      </c>
      <c r="B157" s="18" t="s">
        <v>42</v>
      </c>
      <c r="C157" s="9" t="s">
        <v>202</v>
      </c>
      <c r="D157" s="3680">
        <v>1500</v>
      </c>
      <c r="E157" s="3681"/>
      <c r="F157" s="10">
        <v>1500</v>
      </c>
      <c r="G157" s="45">
        <v>800</v>
      </c>
    </row>
    <row r="158" spans="1:7" ht="13.8" thickBot="1">
      <c r="A158" s="3703" t="s">
        <v>73</v>
      </c>
      <c r="B158" s="3704"/>
      <c r="C158" s="3704"/>
      <c r="D158" s="3704"/>
      <c r="E158" s="3705"/>
      <c r="F158" s="3705"/>
      <c r="G158" s="48"/>
    </row>
    <row r="159" spans="1:7" ht="27" customHeight="1" thickBot="1">
      <c r="A159" s="3689" t="s">
        <v>234</v>
      </c>
      <c r="B159" s="3690"/>
      <c r="C159" s="3690"/>
      <c r="D159" s="3690"/>
      <c r="E159" s="3698"/>
      <c r="F159" s="3698"/>
      <c r="G159" s="49"/>
    </row>
    <row r="160" spans="1:7" ht="13.8" thickBot="1">
      <c r="A160" s="12" t="s">
        <v>587</v>
      </c>
      <c r="B160" s="18" t="s">
        <v>141</v>
      </c>
      <c r="C160" s="9" t="s">
        <v>202</v>
      </c>
      <c r="D160" s="3680">
        <v>140</v>
      </c>
      <c r="E160" s="3681"/>
      <c r="F160" s="10">
        <v>120</v>
      </c>
      <c r="G160" s="45">
        <v>150</v>
      </c>
    </row>
    <row r="161" spans="1:7" ht="13.8" thickBot="1">
      <c r="A161" s="11" t="s">
        <v>588</v>
      </c>
      <c r="B161" s="18" t="s">
        <v>463</v>
      </c>
      <c r="C161" s="9" t="s">
        <v>202</v>
      </c>
      <c r="D161" s="3680">
        <v>35</v>
      </c>
      <c r="E161" s="3681"/>
      <c r="F161" s="10">
        <v>40</v>
      </c>
      <c r="G161" s="45">
        <v>30</v>
      </c>
    </row>
    <row r="162" spans="1:7" ht="13.8" thickBot="1">
      <c r="A162" s="13" t="s">
        <v>631</v>
      </c>
      <c r="B162" s="18" t="s">
        <v>85</v>
      </c>
      <c r="C162" s="9" t="s">
        <v>202</v>
      </c>
      <c r="D162" s="3680">
        <v>20</v>
      </c>
      <c r="E162" s="3681"/>
      <c r="F162" s="10">
        <v>20</v>
      </c>
      <c r="G162" s="45">
        <v>25</v>
      </c>
    </row>
    <row r="163" spans="1:7" ht="13.8" thickBot="1">
      <c r="A163" s="13" t="s">
        <v>548</v>
      </c>
      <c r="B163" s="18" t="s">
        <v>120</v>
      </c>
      <c r="C163" s="9" t="s">
        <v>576</v>
      </c>
      <c r="D163" s="3680">
        <v>20</v>
      </c>
      <c r="E163" s="3681"/>
      <c r="F163" s="10">
        <v>20</v>
      </c>
      <c r="G163" s="45">
        <v>18</v>
      </c>
    </row>
    <row r="164" spans="1:7" ht="13.8" thickBot="1">
      <c r="A164" s="11" t="s">
        <v>119</v>
      </c>
      <c r="B164" s="18" t="s">
        <v>121</v>
      </c>
      <c r="C164" s="9" t="s">
        <v>202</v>
      </c>
      <c r="D164" s="3680">
        <v>0</v>
      </c>
      <c r="E164" s="3681"/>
      <c r="F164" s="10">
        <v>2</v>
      </c>
      <c r="G164" s="45">
        <v>9</v>
      </c>
    </row>
    <row r="165" spans="1:7" ht="67.5" customHeight="1" thickBot="1">
      <c r="A165" s="3689" t="s">
        <v>329</v>
      </c>
      <c r="B165" s="3690"/>
      <c r="C165" s="3690"/>
      <c r="D165" s="3690"/>
      <c r="E165" s="3698"/>
      <c r="F165" s="3698"/>
      <c r="G165" s="49"/>
    </row>
    <row r="166" spans="1:7" ht="13.8" thickBot="1">
      <c r="A166" s="13" t="s">
        <v>86</v>
      </c>
      <c r="B166" s="18" t="s">
        <v>87</v>
      </c>
      <c r="C166" s="9" t="s">
        <v>202</v>
      </c>
      <c r="D166" s="3680">
        <v>20</v>
      </c>
      <c r="E166" s="3681"/>
      <c r="F166" s="10">
        <v>23</v>
      </c>
      <c r="G166" s="45">
        <v>18</v>
      </c>
    </row>
    <row r="167" spans="1:7" ht="13.8" thickBot="1">
      <c r="A167" s="13" t="s">
        <v>122</v>
      </c>
      <c r="B167" s="18" t="s">
        <v>88</v>
      </c>
      <c r="C167" s="9" t="s">
        <v>202</v>
      </c>
      <c r="D167" s="3680">
        <v>10</v>
      </c>
      <c r="E167" s="3681"/>
      <c r="F167" s="10">
        <v>10</v>
      </c>
      <c r="G167" s="45">
        <v>10</v>
      </c>
    </row>
    <row r="168" spans="1:7" ht="27" thickBot="1">
      <c r="A168" s="13" t="s">
        <v>123</v>
      </c>
      <c r="B168" s="18" t="s">
        <v>89</v>
      </c>
      <c r="C168" s="9" t="s">
        <v>202</v>
      </c>
      <c r="D168" s="3680">
        <v>25</v>
      </c>
      <c r="E168" s="3681"/>
      <c r="F168" s="10">
        <v>25</v>
      </c>
      <c r="G168" s="45">
        <v>25</v>
      </c>
    </row>
    <row r="169" spans="1:7" ht="13.8" thickBot="1">
      <c r="A169" s="13" t="s">
        <v>124</v>
      </c>
      <c r="B169" s="18" t="s">
        <v>90</v>
      </c>
      <c r="C169" s="9" t="s">
        <v>202</v>
      </c>
      <c r="D169" s="3680">
        <v>10</v>
      </c>
      <c r="E169" s="3681"/>
      <c r="F169" s="10">
        <v>10</v>
      </c>
      <c r="G169" s="45">
        <v>10</v>
      </c>
    </row>
    <row r="170" spans="1:7" ht="13.8" thickBot="1">
      <c r="A170" s="13" t="s">
        <v>365</v>
      </c>
      <c r="B170" s="18" t="s">
        <v>91</v>
      </c>
      <c r="C170" s="9" t="s">
        <v>202</v>
      </c>
      <c r="D170" s="3680">
        <v>20</v>
      </c>
      <c r="E170" s="3681"/>
      <c r="F170" s="10">
        <v>30</v>
      </c>
      <c r="G170" s="45">
        <v>15</v>
      </c>
    </row>
    <row r="171" spans="1:7" ht="31.5" customHeight="1" thickBot="1">
      <c r="A171" s="3732" t="s">
        <v>80</v>
      </c>
      <c r="B171" s="3733"/>
      <c r="C171" s="3733"/>
      <c r="D171" s="3733"/>
      <c r="E171" s="3708"/>
      <c r="F171" s="3708"/>
      <c r="G171" s="46"/>
    </row>
    <row r="172" spans="1:7" ht="40.5" customHeight="1" thickBot="1">
      <c r="A172" s="3695" t="s">
        <v>632</v>
      </c>
      <c r="B172" s="3696"/>
      <c r="C172" s="3696"/>
      <c r="D172" s="3696"/>
      <c r="E172" s="3697"/>
      <c r="F172" s="3697"/>
      <c r="G172" s="47"/>
    </row>
    <row r="173" spans="1:7" ht="14.4" thickBot="1">
      <c r="A173" s="3695" t="s">
        <v>200</v>
      </c>
      <c r="B173" s="3696"/>
      <c r="C173" s="3696"/>
      <c r="D173" s="3696"/>
      <c r="E173" s="3697"/>
      <c r="F173" s="3697"/>
      <c r="G173" s="47"/>
    </row>
    <row r="174" spans="1:7" ht="41.25" customHeight="1" thickBot="1">
      <c r="A174" s="31" t="s">
        <v>132</v>
      </c>
      <c r="B174" s="40" t="s">
        <v>464</v>
      </c>
      <c r="C174" s="41" t="s">
        <v>314</v>
      </c>
      <c r="D174" s="39">
        <v>85</v>
      </c>
      <c r="E174" s="32"/>
      <c r="F174" s="39">
        <v>85</v>
      </c>
      <c r="G174" s="56">
        <v>85</v>
      </c>
    </row>
    <row r="175" spans="1:7" ht="13.8" thickBot="1">
      <c r="A175" s="3703" t="s">
        <v>73</v>
      </c>
      <c r="B175" s="3704"/>
      <c r="C175" s="3704"/>
      <c r="D175" s="3704"/>
      <c r="E175" s="3705"/>
      <c r="F175" s="3705"/>
      <c r="G175" s="48"/>
    </row>
    <row r="176" spans="1:7" ht="27" customHeight="1" thickBot="1">
      <c r="A176" s="3689" t="s">
        <v>303</v>
      </c>
      <c r="B176" s="3690"/>
      <c r="C176" s="3690"/>
      <c r="D176" s="3690"/>
      <c r="E176" s="3698"/>
      <c r="F176" s="3698"/>
      <c r="G176" s="49"/>
    </row>
    <row r="177" spans="1:7" ht="13.8" thickBot="1">
      <c r="A177" s="13" t="s">
        <v>62</v>
      </c>
      <c r="B177" s="8" t="s">
        <v>593</v>
      </c>
      <c r="C177" s="9" t="s">
        <v>202</v>
      </c>
      <c r="D177" s="3680">
        <v>7</v>
      </c>
      <c r="E177" s="3681"/>
      <c r="F177" s="10">
        <v>8</v>
      </c>
      <c r="G177" s="45">
        <v>7</v>
      </c>
    </row>
    <row r="178" spans="1:7" ht="27" thickBot="1">
      <c r="A178" s="13" t="s">
        <v>133</v>
      </c>
      <c r="B178" s="8" t="s">
        <v>0</v>
      </c>
      <c r="C178" s="9" t="s">
        <v>202</v>
      </c>
      <c r="D178" s="3680">
        <v>14</v>
      </c>
      <c r="E178" s="3681"/>
      <c r="F178" s="10">
        <v>14</v>
      </c>
      <c r="G178" s="45">
        <v>14</v>
      </c>
    </row>
    <row r="179" spans="1:7" ht="13.8" thickBot="1">
      <c r="A179" s="13" t="s">
        <v>367</v>
      </c>
      <c r="B179" s="8" t="s">
        <v>368</v>
      </c>
      <c r="C179" s="9" t="s">
        <v>202</v>
      </c>
      <c r="D179" s="3680">
        <v>2</v>
      </c>
      <c r="E179" s="3681"/>
      <c r="F179" s="10">
        <v>2</v>
      </c>
      <c r="G179" s="45">
        <v>1</v>
      </c>
    </row>
    <row r="180" spans="1:7" ht="40.5" customHeight="1" thickBot="1">
      <c r="A180" s="3695" t="s">
        <v>304</v>
      </c>
      <c r="B180" s="3696"/>
      <c r="C180" s="3696"/>
      <c r="D180" s="3696"/>
      <c r="E180" s="3697"/>
      <c r="F180" s="3697"/>
      <c r="G180" s="47"/>
    </row>
    <row r="181" spans="1:7" ht="14.4" thickBot="1">
      <c r="A181" s="3695" t="s">
        <v>200</v>
      </c>
      <c r="B181" s="3696"/>
      <c r="C181" s="3696"/>
      <c r="D181" s="3696"/>
      <c r="E181" s="3697"/>
      <c r="F181" s="3697"/>
      <c r="G181" s="47"/>
    </row>
    <row r="182" spans="1:7" ht="34.5" customHeight="1" thickBot="1">
      <c r="A182" s="3734" t="s">
        <v>633</v>
      </c>
      <c r="B182" s="18" t="s">
        <v>594</v>
      </c>
      <c r="C182" s="9" t="s">
        <v>202</v>
      </c>
      <c r="D182" s="3680">
        <v>2</v>
      </c>
      <c r="E182" s="3681"/>
      <c r="F182" s="10">
        <v>3</v>
      </c>
      <c r="G182" s="45">
        <v>2</v>
      </c>
    </row>
    <row r="183" spans="1:7" ht="13.8" thickBot="1">
      <c r="A183" s="3735"/>
      <c r="B183" s="18" t="s">
        <v>595</v>
      </c>
      <c r="C183" s="9" t="s">
        <v>202</v>
      </c>
      <c r="D183" s="3680">
        <v>24</v>
      </c>
      <c r="E183" s="3681"/>
      <c r="F183" s="10">
        <v>36</v>
      </c>
      <c r="G183" s="45">
        <v>24</v>
      </c>
    </row>
    <row r="184" spans="1:7" ht="13.8" thickBot="1">
      <c r="A184" s="3703" t="s">
        <v>73</v>
      </c>
      <c r="B184" s="3704"/>
      <c r="C184" s="3704"/>
      <c r="D184" s="3704"/>
      <c r="E184" s="3705"/>
      <c r="F184" s="3705"/>
      <c r="G184" s="48"/>
    </row>
    <row r="185" spans="1:7" ht="40.5" customHeight="1" thickBot="1">
      <c r="A185" s="3689" t="s">
        <v>186</v>
      </c>
      <c r="B185" s="3690"/>
      <c r="C185" s="3690"/>
      <c r="D185" s="3690"/>
      <c r="E185" s="3698"/>
      <c r="F185" s="3698"/>
      <c r="G185" s="49"/>
    </row>
    <row r="186" spans="1:7" ht="27" thickBot="1">
      <c r="A186" s="13" t="s">
        <v>634</v>
      </c>
      <c r="B186" s="8" t="s">
        <v>551</v>
      </c>
      <c r="C186" s="9" t="s">
        <v>202</v>
      </c>
      <c r="D186" s="3680">
        <v>6</v>
      </c>
      <c r="E186" s="3681"/>
      <c r="F186" s="10">
        <v>8</v>
      </c>
      <c r="G186" s="45">
        <v>6</v>
      </c>
    </row>
    <row r="187" spans="1:7" ht="27" thickBot="1">
      <c r="A187" s="13" t="s">
        <v>35</v>
      </c>
      <c r="B187" s="8" t="s">
        <v>36</v>
      </c>
      <c r="C187" s="9" t="s">
        <v>202</v>
      </c>
      <c r="D187" s="3680">
        <v>2</v>
      </c>
      <c r="E187" s="3681"/>
      <c r="F187" s="10">
        <v>3</v>
      </c>
      <c r="G187" s="45">
        <v>2</v>
      </c>
    </row>
    <row r="188" spans="1:7" ht="14.4" thickBot="1">
      <c r="A188" s="3695" t="s">
        <v>348</v>
      </c>
      <c r="B188" s="3696"/>
      <c r="C188" s="3696"/>
      <c r="D188" s="3696"/>
      <c r="E188" s="3697"/>
      <c r="F188" s="3697"/>
      <c r="G188" s="47"/>
    </row>
    <row r="189" spans="1:7" ht="14.4" thickBot="1">
      <c r="A189" s="3695" t="s">
        <v>200</v>
      </c>
      <c r="B189" s="3696"/>
      <c r="C189" s="3696"/>
      <c r="D189" s="3696"/>
      <c r="E189" s="3697"/>
      <c r="F189" s="3697"/>
      <c r="G189" s="47"/>
    </row>
    <row r="190" spans="1:7" ht="13.8" thickBot="1">
      <c r="A190" s="7" t="s">
        <v>187</v>
      </c>
      <c r="B190" s="8" t="s">
        <v>305</v>
      </c>
      <c r="C190" s="9" t="s">
        <v>314</v>
      </c>
      <c r="D190" s="3687">
        <v>2</v>
      </c>
      <c r="E190" s="3688"/>
      <c r="F190" s="16">
        <v>2</v>
      </c>
      <c r="G190" s="51">
        <v>2</v>
      </c>
    </row>
    <row r="191" spans="1:7" ht="27" thickBot="1">
      <c r="A191" s="7" t="s">
        <v>635</v>
      </c>
      <c r="B191" s="8" t="s">
        <v>188</v>
      </c>
      <c r="C191" s="9" t="s">
        <v>202</v>
      </c>
      <c r="D191" s="3680">
        <v>50</v>
      </c>
      <c r="E191" s="3681"/>
      <c r="F191" s="10">
        <v>50</v>
      </c>
      <c r="G191" s="45">
        <v>50</v>
      </c>
    </row>
    <row r="192" spans="1:7" ht="13.8" thickBot="1">
      <c r="A192" s="7" t="s">
        <v>574</v>
      </c>
      <c r="B192" s="8" t="s">
        <v>475</v>
      </c>
      <c r="C192" s="9" t="s">
        <v>314</v>
      </c>
      <c r="D192" s="3680">
        <v>100</v>
      </c>
      <c r="E192" s="3681"/>
      <c r="F192" s="10">
        <v>100</v>
      </c>
      <c r="G192" s="45">
        <v>100</v>
      </c>
    </row>
    <row r="193" spans="1:7" ht="13.8" thickBot="1">
      <c r="A193" s="7" t="s">
        <v>636</v>
      </c>
      <c r="B193" s="8" t="s">
        <v>491</v>
      </c>
      <c r="C193" s="9" t="s">
        <v>202</v>
      </c>
      <c r="D193" s="3680">
        <v>5</v>
      </c>
      <c r="E193" s="3681"/>
      <c r="F193" s="10">
        <v>5</v>
      </c>
      <c r="G193" s="45">
        <v>5</v>
      </c>
    </row>
    <row r="194" spans="1:7" ht="13.8" thickBot="1">
      <c r="A194" s="3703" t="s">
        <v>73</v>
      </c>
      <c r="B194" s="3704"/>
      <c r="C194" s="3704"/>
      <c r="D194" s="3704"/>
      <c r="E194" s="3705"/>
      <c r="F194" s="3705"/>
      <c r="G194" s="48"/>
    </row>
    <row r="195" spans="1:7" ht="27" customHeight="1" thickBot="1">
      <c r="A195" s="3689" t="s">
        <v>297</v>
      </c>
      <c r="B195" s="3690"/>
      <c r="C195" s="3690"/>
      <c r="D195" s="3690"/>
      <c r="E195" s="3698"/>
      <c r="F195" s="3698"/>
      <c r="G195" s="49"/>
    </row>
    <row r="196" spans="1:7" ht="13.8" thickBot="1">
      <c r="A196" s="13" t="s">
        <v>220</v>
      </c>
      <c r="B196" s="8" t="s">
        <v>346</v>
      </c>
      <c r="C196" s="9" t="s">
        <v>202</v>
      </c>
      <c r="D196" s="3680">
        <v>4</v>
      </c>
      <c r="E196" s="3681"/>
      <c r="F196" s="10">
        <v>4</v>
      </c>
      <c r="G196" s="45">
        <v>3</v>
      </c>
    </row>
    <row r="197" spans="1:7" ht="13.8" thickBot="1">
      <c r="A197" s="13" t="s">
        <v>27</v>
      </c>
      <c r="B197" s="8" t="s">
        <v>70</v>
      </c>
      <c r="C197" s="9" t="s">
        <v>176</v>
      </c>
      <c r="D197" s="3680" t="s">
        <v>585</v>
      </c>
      <c r="E197" s="3681"/>
      <c r="F197" s="10" t="s">
        <v>585</v>
      </c>
      <c r="G197" s="45" t="s">
        <v>585</v>
      </c>
    </row>
    <row r="198" spans="1:7" ht="13.8" thickBot="1">
      <c r="A198" s="13" t="s">
        <v>637</v>
      </c>
      <c r="B198" s="8" t="s">
        <v>638</v>
      </c>
      <c r="C198" s="9" t="s">
        <v>202</v>
      </c>
      <c r="D198" s="3680">
        <v>3</v>
      </c>
      <c r="E198" s="3681"/>
      <c r="F198" s="10">
        <v>4</v>
      </c>
      <c r="G198" s="45">
        <v>2</v>
      </c>
    </row>
    <row r="199" spans="1:7" ht="27" customHeight="1" thickBot="1">
      <c r="A199" s="3689" t="s">
        <v>639</v>
      </c>
      <c r="B199" s="3690"/>
      <c r="C199" s="3690"/>
      <c r="D199" s="3690"/>
      <c r="E199" s="3698"/>
      <c r="F199" s="3698"/>
      <c r="G199" s="49"/>
    </row>
    <row r="200" spans="1:7" ht="13.8" thickBot="1">
      <c r="A200" s="13" t="s">
        <v>488</v>
      </c>
      <c r="B200" s="8" t="s">
        <v>347</v>
      </c>
      <c r="C200" s="9" t="s">
        <v>202</v>
      </c>
      <c r="D200" s="3680">
        <v>10</v>
      </c>
      <c r="E200" s="3681"/>
      <c r="F200" s="10">
        <v>10</v>
      </c>
      <c r="G200" s="45">
        <v>5</v>
      </c>
    </row>
    <row r="201" spans="1:7" ht="40.200000000000003" thickBot="1">
      <c r="A201" s="13" t="s">
        <v>640</v>
      </c>
      <c r="B201" s="8" t="s">
        <v>490</v>
      </c>
      <c r="C201" s="9" t="s">
        <v>202</v>
      </c>
      <c r="D201" s="3680">
        <v>5</v>
      </c>
      <c r="E201" s="3681"/>
      <c r="F201" s="10">
        <v>5</v>
      </c>
      <c r="G201" s="45">
        <v>5</v>
      </c>
    </row>
    <row r="202" spans="1:7" ht="31.5" customHeight="1" thickBot="1">
      <c r="A202" s="3732" t="s">
        <v>37</v>
      </c>
      <c r="B202" s="3733"/>
      <c r="C202" s="3733"/>
      <c r="D202" s="3733"/>
      <c r="E202" s="3708"/>
      <c r="F202" s="3708"/>
      <c r="G202" s="46"/>
    </row>
    <row r="203" spans="1:7" ht="40.5" customHeight="1" thickBot="1">
      <c r="A203" s="3695" t="s">
        <v>38</v>
      </c>
      <c r="B203" s="3696"/>
      <c r="C203" s="3696"/>
      <c r="D203" s="3696"/>
      <c r="E203" s="3697"/>
      <c r="F203" s="3697"/>
      <c r="G203" s="47"/>
    </row>
    <row r="204" spans="1:7" ht="14.4" thickBot="1">
      <c r="A204" s="3695" t="s">
        <v>200</v>
      </c>
      <c r="B204" s="3696"/>
      <c r="C204" s="3696"/>
      <c r="D204" s="3696"/>
      <c r="E204" s="3697"/>
      <c r="F204" s="3697"/>
      <c r="G204" s="47"/>
    </row>
    <row r="205" spans="1:7" ht="13.8" thickBot="1">
      <c r="A205" s="7" t="s">
        <v>39</v>
      </c>
      <c r="B205" s="18" t="s">
        <v>40</v>
      </c>
      <c r="C205" s="9" t="s">
        <v>314</v>
      </c>
      <c r="D205" s="3680">
        <v>90</v>
      </c>
      <c r="E205" s="3681"/>
      <c r="F205" s="10">
        <v>90</v>
      </c>
      <c r="G205" s="45">
        <v>90</v>
      </c>
    </row>
    <row r="206" spans="1:7" ht="13.8" thickBot="1">
      <c r="A206" s="7" t="s">
        <v>249</v>
      </c>
      <c r="B206" s="18" t="s">
        <v>219</v>
      </c>
      <c r="C206" s="9" t="s">
        <v>202</v>
      </c>
      <c r="D206" s="3680">
        <v>100</v>
      </c>
      <c r="E206" s="3681"/>
      <c r="F206" s="10">
        <v>100</v>
      </c>
      <c r="G206" s="45">
        <v>105</v>
      </c>
    </row>
    <row r="207" spans="1:7" ht="13.8" thickBot="1">
      <c r="A207" s="7" t="s">
        <v>641</v>
      </c>
      <c r="B207" s="18" t="s">
        <v>139</v>
      </c>
      <c r="C207" s="9" t="s">
        <v>202</v>
      </c>
      <c r="D207" s="3680">
        <v>210</v>
      </c>
      <c r="E207" s="3681"/>
      <c r="F207" s="10">
        <v>210</v>
      </c>
      <c r="G207" s="45">
        <v>215</v>
      </c>
    </row>
    <row r="208" spans="1:7" ht="13.8" thickBot="1">
      <c r="A208" s="7" t="s">
        <v>311</v>
      </c>
      <c r="B208" s="18" t="s">
        <v>282</v>
      </c>
      <c r="C208" s="9" t="s">
        <v>202</v>
      </c>
      <c r="D208" s="3680">
        <v>1200</v>
      </c>
      <c r="E208" s="3681"/>
      <c r="F208" s="10">
        <v>1200</v>
      </c>
      <c r="G208" s="45">
        <v>1190</v>
      </c>
    </row>
    <row r="209" spans="1:7" ht="13.8" thickBot="1">
      <c r="A209" s="7" t="s">
        <v>479</v>
      </c>
      <c r="B209" s="18" t="s">
        <v>521</v>
      </c>
      <c r="C209" s="9" t="s">
        <v>202</v>
      </c>
      <c r="D209" s="3680">
        <v>110</v>
      </c>
      <c r="E209" s="3681"/>
      <c r="F209" s="10">
        <v>95</v>
      </c>
      <c r="G209" s="45">
        <v>110</v>
      </c>
    </row>
    <row r="210" spans="1:7" ht="13.8" thickBot="1">
      <c r="A210" s="7" t="s">
        <v>556</v>
      </c>
      <c r="B210" s="18" t="s">
        <v>522</v>
      </c>
      <c r="C210" s="9" t="s">
        <v>202</v>
      </c>
      <c r="D210" s="3680">
        <v>10200</v>
      </c>
      <c r="E210" s="3681"/>
      <c r="F210" s="10">
        <v>10200</v>
      </c>
      <c r="G210" s="45">
        <v>10100</v>
      </c>
    </row>
    <row r="211" spans="1:7" ht="13.8" thickBot="1">
      <c r="A211" s="3703" t="s">
        <v>73</v>
      </c>
      <c r="B211" s="3704"/>
      <c r="C211" s="3704"/>
      <c r="D211" s="3704"/>
      <c r="E211" s="3705"/>
      <c r="F211" s="3705"/>
      <c r="G211" s="48"/>
    </row>
    <row r="212" spans="1:7" ht="27" customHeight="1" thickBot="1">
      <c r="A212" s="3689" t="s">
        <v>394</v>
      </c>
      <c r="B212" s="3690"/>
      <c r="C212" s="3690"/>
      <c r="D212" s="3690"/>
      <c r="E212" s="3698"/>
      <c r="F212" s="3698"/>
      <c r="G212" s="49"/>
    </row>
    <row r="213" spans="1:7" ht="13.8" thickBot="1">
      <c r="A213" s="13" t="s">
        <v>193</v>
      </c>
      <c r="B213" s="18" t="s">
        <v>582</v>
      </c>
      <c r="C213" s="9" t="s">
        <v>202</v>
      </c>
      <c r="D213" s="3680">
        <v>2</v>
      </c>
      <c r="E213" s="3681"/>
      <c r="F213" s="10">
        <v>2</v>
      </c>
      <c r="G213" s="45">
        <v>2</v>
      </c>
    </row>
    <row r="214" spans="1:7" ht="27" customHeight="1" thickBot="1">
      <c r="A214" s="3689" t="s">
        <v>480</v>
      </c>
      <c r="B214" s="3690"/>
      <c r="C214" s="3690"/>
      <c r="D214" s="3690"/>
      <c r="E214" s="3698"/>
      <c r="F214" s="3698"/>
      <c r="G214" s="49"/>
    </row>
    <row r="215" spans="1:7" ht="13.8" thickBot="1">
      <c r="A215" s="13" t="s">
        <v>642</v>
      </c>
      <c r="B215" s="18" t="s">
        <v>481</v>
      </c>
      <c r="C215" s="9" t="s">
        <v>202</v>
      </c>
      <c r="D215" s="3680">
        <v>3200</v>
      </c>
      <c r="E215" s="3681"/>
      <c r="F215" s="10">
        <v>3200</v>
      </c>
      <c r="G215" s="45">
        <v>3100</v>
      </c>
    </row>
    <row r="216" spans="1:7" ht="13.8" thickBot="1">
      <c r="A216" s="13" t="s">
        <v>482</v>
      </c>
      <c r="B216" s="18" t="s">
        <v>483</v>
      </c>
      <c r="C216" s="9" t="s">
        <v>202</v>
      </c>
      <c r="D216" s="3680">
        <v>45</v>
      </c>
      <c r="E216" s="3681"/>
      <c r="F216" s="10">
        <v>50</v>
      </c>
      <c r="G216" s="45">
        <v>40</v>
      </c>
    </row>
    <row r="217" spans="1:7" ht="42" customHeight="1">
      <c r="A217" s="3711" t="s">
        <v>256</v>
      </c>
      <c r="B217" s="19"/>
      <c r="C217" s="3713" t="s">
        <v>202</v>
      </c>
      <c r="D217" s="3715">
        <v>2600</v>
      </c>
      <c r="E217" s="3716"/>
      <c r="F217" s="3715">
        <v>3000</v>
      </c>
      <c r="G217" s="3679">
        <v>2500</v>
      </c>
    </row>
    <row r="218" spans="1:7" ht="13.8" thickBot="1">
      <c r="A218" s="3712"/>
      <c r="B218" s="18" t="s">
        <v>257</v>
      </c>
      <c r="C218" s="3714"/>
      <c r="D218" s="3717"/>
      <c r="E218" s="3718"/>
      <c r="F218" s="3717"/>
      <c r="G218" s="3679"/>
    </row>
    <row r="219" spans="1:7" ht="13.8" thickBot="1">
      <c r="A219" s="13" t="s">
        <v>226</v>
      </c>
      <c r="B219" s="18" t="s">
        <v>227</v>
      </c>
      <c r="C219" s="9" t="s">
        <v>202</v>
      </c>
      <c r="D219" s="3680">
        <v>1400</v>
      </c>
      <c r="E219" s="3681"/>
      <c r="F219" s="10">
        <v>1400</v>
      </c>
      <c r="G219" s="45">
        <v>1300</v>
      </c>
    </row>
    <row r="220" spans="1:7" ht="13.8" thickBot="1">
      <c r="A220" s="13" t="s">
        <v>643</v>
      </c>
      <c r="B220" s="18" t="s">
        <v>196</v>
      </c>
      <c r="C220" s="9" t="s">
        <v>202</v>
      </c>
      <c r="D220" s="3680">
        <v>1600</v>
      </c>
      <c r="E220" s="3681"/>
      <c r="F220" s="10">
        <v>1600</v>
      </c>
      <c r="G220" s="45">
        <v>1700</v>
      </c>
    </row>
    <row r="221" spans="1:7" ht="13.8" thickBot="1">
      <c r="A221" s="13" t="s">
        <v>415</v>
      </c>
      <c r="B221" s="18" t="s">
        <v>197</v>
      </c>
      <c r="C221" s="9" t="s">
        <v>202</v>
      </c>
      <c r="D221" s="3680">
        <v>110</v>
      </c>
      <c r="E221" s="3681"/>
      <c r="F221" s="10">
        <v>110</v>
      </c>
      <c r="G221" s="45">
        <v>100</v>
      </c>
    </row>
    <row r="222" spans="1:7" ht="13.8" thickBot="1">
      <c r="A222" s="13" t="s">
        <v>417</v>
      </c>
      <c r="B222" s="18" t="s">
        <v>416</v>
      </c>
      <c r="C222" s="9" t="s">
        <v>202</v>
      </c>
      <c r="D222" s="3680">
        <v>480</v>
      </c>
      <c r="E222" s="3681"/>
      <c r="F222" s="10">
        <v>480</v>
      </c>
      <c r="G222" s="45">
        <v>470</v>
      </c>
    </row>
    <row r="223" spans="1:7" ht="40.5" customHeight="1" thickBot="1">
      <c r="A223" s="3689" t="s">
        <v>164</v>
      </c>
      <c r="B223" s="3690"/>
      <c r="C223" s="3690"/>
      <c r="D223" s="3690"/>
      <c r="E223" s="3698"/>
      <c r="F223" s="3698"/>
      <c r="G223" s="49"/>
    </row>
    <row r="224" spans="1:7" ht="13.8" thickBot="1">
      <c r="A224" s="11" t="s">
        <v>644</v>
      </c>
      <c r="B224" s="18" t="s">
        <v>567</v>
      </c>
      <c r="C224" s="9" t="s">
        <v>314</v>
      </c>
      <c r="D224" s="3680">
        <v>80</v>
      </c>
      <c r="E224" s="3681"/>
      <c r="F224" s="10">
        <v>80</v>
      </c>
      <c r="G224" s="45">
        <v>70</v>
      </c>
    </row>
    <row r="225" spans="1:7" ht="13.8" thickBot="1">
      <c r="A225" s="11" t="s">
        <v>566</v>
      </c>
      <c r="B225" s="18" t="s">
        <v>149</v>
      </c>
      <c r="C225" s="9" t="s">
        <v>202</v>
      </c>
      <c r="D225" s="3680">
        <v>17</v>
      </c>
      <c r="E225" s="3681"/>
      <c r="F225" s="10">
        <v>17</v>
      </c>
      <c r="G225" s="45">
        <v>16</v>
      </c>
    </row>
    <row r="226" spans="1:7" ht="13.8" thickBot="1">
      <c r="A226" s="11" t="s">
        <v>568</v>
      </c>
      <c r="B226" s="18" t="s">
        <v>555</v>
      </c>
      <c r="C226" s="9" t="s">
        <v>202</v>
      </c>
      <c r="D226" s="3680">
        <v>2</v>
      </c>
      <c r="E226" s="3681"/>
      <c r="F226" s="10">
        <v>2</v>
      </c>
      <c r="G226" s="45">
        <v>2</v>
      </c>
    </row>
    <row r="227" spans="1:7" ht="13.8" thickBot="1">
      <c r="A227" s="11" t="s">
        <v>645</v>
      </c>
      <c r="B227" s="18" t="s">
        <v>143</v>
      </c>
      <c r="C227" s="9" t="s">
        <v>202</v>
      </c>
      <c r="D227" s="3680">
        <v>6</v>
      </c>
      <c r="E227" s="3681"/>
      <c r="F227" s="10">
        <v>6</v>
      </c>
      <c r="G227" s="45">
        <v>4</v>
      </c>
    </row>
    <row r="228" spans="1:7" ht="13.8" thickBot="1">
      <c r="A228" s="11" t="s">
        <v>646</v>
      </c>
      <c r="B228" s="18" t="s">
        <v>242</v>
      </c>
      <c r="C228" s="9" t="s">
        <v>202</v>
      </c>
      <c r="D228" s="3680">
        <v>6</v>
      </c>
      <c r="E228" s="3681"/>
      <c r="F228" s="10">
        <v>8</v>
      </c>
      <c r="G228" s="45">
        <v>5</v>
      </c>
    </row>
    <row r="229" spans="1:7" ht="13.8" thickBot="1">
      <c r="A229" s="11" t="s">
        <v>153</v>
      </c>
      <c r="B229" s="18" t="s">
        <v>154</v>
      </c>
      <c r="C229" s="9" t="s">
        <v>202</v>
      </c>
      <c r="D229" s="3680">
        <v>2</v>
      </c>
      <c r="E229" s="3681"/>
      <c r="F229" s="10">
        <v>3</v>
      </c>
      <c r="G229" s="45">
        <v>2</v>
      </c>
    </row>
    <row r="230" spans="1:7" ht="40.200000000000003" thickBot="1">
      <c r="A230" s="13" t="s">
        <v>647</v>
      </c>
      <c r="B230" s="18" t="s">
        <v>369</v>
      </c>
      <c r="C230" s="9" t="s">
        <v>202</v>
      </c>
      <c r="D230" s="3680">
        <v>25</v>
      </c>
      <c r="E230" s="3681"/>
      <c r="F230" s="10">
        <v>10</v>
      </c>
      <c r="G230" s="45">
        <v>5</v>
      </c>
    </row>
    <row r="231" spans="1:7" ht="27" customHeight="1" thickBot="1">
      <c r="A231" s="3695" t="s">
        <v>429</v>
      </c>
      <c r="B231" s="3696"/>
      <c r="C231" s="3696"/>
      <c r="D231" s="3696"/>
      <c r="E231" s="3697"/>
      <c r="F231" s="3697"/>
      <c r="G231" s="47"/>
    </row>
    <row r="232" spans="1:7" ht="14.4" thickBot="1">
      <c r="A232" s="3695" t="s">
        <v>200</v>
      </c>
      <c r="B232" s="3696"/>
      <c r="C232" s="3696"/>
      <c r="D232" s="3696"/>
      <c r="E232" s="3697"/>
      <c r="F232" s="3697"/>
      <c r="G232" s="47"/>
    </row>
    <row r="233" spans="1:7" ht="13.8" thickBot="1">
      <c r="A233" s="7" t="s">
        <v>272</v>
      </c>
      <c r="B233" s="18" t="s">
        <v>430</v>
      </c>
      <c r="C233" s="9" t="s">
        <v>202</v>
      </c>
      <c r="D233" s="3680">
        <v>4</v>
      </c>
      <c r="E233" s="3681"/>
      <c r="F233" s="10">
        <v>4</v>
      </c>
      <c r="G233" s="45">
        <v>4</v>
      </c>
    </row>
    <row r="234" spans="1:7" ht="13.8" thickBot="1">
      <c r="A234" s="7" t="s">
        <v>648</v>
      </c>
      <c r="B234" s="18" t="s">
        <v>273</v>
      </c>
      <c r="C234" s="9" t="s">
        <v>202</v>
      </c>
      <c r="D234" s="3680">
        <v>1</v>
      </c>
      <c r="E234" s="3681"/>
      <c r="F234" s="10">
        <v>0</v>
      </c>
      <c r="G234" s="45">
        <v>0</v>
      </c>
    </row>
    <row r="235" spans="1:7" ht="13.8" thickBot="1">
      <c r="A235" s="3703" t="s">
        <v>73</v>
      </c>
      <c r="B235" s="3704"/>
      <c r="C235" s="3704"/>
      <c r="D235" s="3704"/>
      <c r="E235" s="3705"/>
      <c r="F235" s="3705"/>
      <c r="G235" s="48"/>
    </row>
    <row r="236" spans="1:7" ht="27" customHeight="1" thickBot="1">
      <c r="A236" s="3689" t="s">
        <v>414</v>
      </c>
      <c r="B236" s="3690"/>
      <c r="C236" s="3690"/>
      <c r="D236" s="3690"/>
      <c r="E236" s="3698"/>
      <c r="F236" s="3698"/>
      <c r="G236" s="49"/>
    </row>
    <row r="237" spans="1:7" ht="13.8" thickBot="1">
      <c r="A237" s="11" t="s">
        <v>390</v>
      </c>
      <c r="B237" s="18" t="s">
        <v>391</v>
      </c>
      <c r="C237" s="9" t="s">
        <v>202</v>
      </c>
      <c r="D237" s="3680">
        <v>4</v>
      </c>
      <c r="E237" s="3681"/>
      <c r="F237" s="10">
        <v>4</v>
      </c>
      <c r="G237" s="45">
        <v>3</v>
      </c>
    </row>
    <row r="238" spans="1:7" ht="13.8" thickBot="1">
      <c r="A238" s="11" t="s">
        <v>205</v>
      </c>
      <c r="B238" s="18" t="s">
        <v>21</v>
      </c>
      <c r="C238" s="9" t="s">
        <v>202</v>
      </c>
      <c r="D238" s="3680">
        <v>45</v>
      </c>
      <c r="E238" s="3681"/>
      <c r="F238" s="10">
        <v>50</v>
      </c>
      <c r="G238" s="45">
        <v>40</v>
      </c>
    </row>
    <row r="239" spans="1:7" ht="13.8" thickBot="1">
      <c r="A239" s="11" t="s">
        <v>649</v>
      </c>
      <c r="B239" s="18" t="s">
        <v>206</v>
      </c>
      <c r="C239" s="9" t="s">
        <v>202</v>
      </c>
      <c r="D239" s="3680">
        <v>4</v>
      </c>
      <c r="E239" s="3681"/>
      <c r="F239" s="10">
        <v>0</v>
      </c>
      <c r="G239" s="45">
        <v>5</v>
      </c>
    </row>
    <row r="240" spans="1:7" ht="13.8" thickBot="1">
      <c r="A240" s="11" t="s">
        <v>325</v>
      </c>
      <c r="B240" s="18" t="s">
        <v>518</v>
      </c>
      <c r="C240" s="9" t="s">
        <v>202</v>
      </c>
      <c r="D240" s="3680">
        <v>30</v>
      </c>
      <c r="E240" s="3681"/>
      <c r="F240" s="10">
        <v>30</v>
      </c>
      <c r="G240" s="45">
        <v>30</v>
      </c>
    </row>
    <row r="241" spans="1:7" ht="13.8" thickBot="1">
      <c r="A241" s="11" t="s">
        <v>284</v>
      </c>
      <c r="B241" s="18" t="s">
        <v>285</v>
      </c>
      <c r="C241" s="9" t="s">
        <v>202</v>
      </c>
      <c r="D241" s="3680">
        <v>90</v>
      </c>
      <c r="E241" s="3681"/>
      <c r="F241" s="10">
        <v>100</v>
      </c>
      <c r="G241" s="45">
        <v>80</v>
      </c>
    </row>
    <row r="242" spans="1:7" ht="13.8" thickBot="1">
      <c r="A242" s="11" t="s">
        <v>153</v>
      </c>
      <c r="B242" s="18" t="s">
        <v>155</v>
      </c>
      <c r="C242" s="9" t="s">
        <v>202</v>
      </c>
      <c r="D242" s="3680">
        <v>1</v>
      </c>
      <c r="E242" s="3681"/>
      <c r="F242" s="10">
        <v>1</v>
      </c>
      <c r="G242" s="45">
        <v>1</v>
      </c>
    </row>
    <row r="243" spans="1:7" ht="31.5" customHeight="1" thickBot="1">
      <c r="A243" s="3732" t="s">
        <v>103</v>
      </c>
      <c r="B243" s="3733"/>
      <c r="C243" s="3733"/>
      <c r="D243" s="3733"/>
      <c r="E243" s="3708"/>
      <c r="F243" s="3708"/>
      <c r="G243" s="46"/>
    </row>
    <row r="244" spans="1:7" ht="40.5" customHeight="1" thickBot="1">
      <c r="A244" s="3695" t="s">
        <v>512</v>
      </c>
      <c r="B244" s="3696"/>
      <c r="C244" s="3696"/>
      <c r="D244" s="3696"/>
      <c r="E244" s="3697"/>
      <c r="F244" s="3697"/>
      <c r="G244" s="47"/>
    </row>
    <row r="245" spans="1:7" ht="14.4" thickBot="1">
      <c r="A245" s="3695" t="s">
        <v>200</v>
      </c>
      <c r="B245" s="3696"/>
      <c r="C245" s="3696"/>
      <c r="D245" s="3696"/>
      <c r="E245" s="3697"/>
      <c r="F245" s="3697"/>
      <c r="G245" s="47"/>
    </row>
    <row r="246" spans="1:7" ht="13.8" thickBot="1">
      <c r="A246" s="7" t="s">
        <v>360</v>
      </c>
      <c r="B246" s="18" t="s">
        <v>218</v>
      </c>
      <c r="C246" s="9" t="s">
        <v>344</v>
      </c>
      <c r="D246" s="3680">
        <v>7.5</v>
      </c>
      <c r="E246" s="3681"/>
      <c r="F246" s="10">
        <v>7.5</v>
      </c>
      <c r="G246" s="45">
        <v>8</v>
      </c>
    </row>
    <row r="247" spans="1:7" ht="40.200000000000003" thickBot="1">
      <c r="A247" s="7" t="s">
        <v>217</v>
      </c>
      <c r="B247" s="18" t="s">
        <v>207</v>
      </c>
      <c r="C247" s="9" t="s">
        <v>202</v>
      </c>
      <c r="D247" s="3680">
        <v>1</v>
      </c>
      <c r="E247" s="3681"/>
      <c r="F247" s="10">
        <v>1</v>
      </c>
      <c r="G247" s="45">
        <v>1</v>
      </c>
    </row>
    <row r="248" spans="1:7" ht="13.8" thickBot="1">
      <c r="A248" s="7" t="s">
        <v>650</v>
      </c>
      <c r="B248" s="18" t="s">
        <v>208</v>
      </c>
      <c r="C248" s="9" t="s">
        <v>202</v>
      </c>
      <c r="D248" s="3680">
        <v>1</v>
      </c>
      <c r="E248" s="3681"/>
      <c r="F248" s="10">
        <v>0</v>
      </c>
      <c r="G248" s="45">
        <v>0</v>
      </c>
    </row>
    <row r="249" spans="1:7" ht="13.8" thickBot="1">
      <c r="A249" s="3703" t="s">
        <v>73</v>
      </c>
      <c r="B249" s="3704"/>
      <c r="C249" s="3704"/>
      <c r="D249" s="3704"/>
      <c r="E249" s="3705"/>
      <c r="F249" s="3705"/>
      <c r="G249" s="48"/>
    </row>
    <row r="250" spans="1:7" ht="27" customHeight="1" thickBot="1">
      <c r="A250" s="3689" t="s">
        <v>147</v>
      </c>
      <c r="B250" s="3690"/>
      <c r="C250" s="3690"/>
      <c r="D250" s="3690"/>
      <c r="E250" s="3698"/>
      <c r="F250" s="3698"/>
      <c r="G250" s="49"/>
    </row>
    <row r="251" spans="1:7" ht="13.8" thickBot="1">
      <c r="A251" s="11" t="s">
        <v>5</v>
      </c>
      <c r="B251" s="18" t="s">
        <v>6</v>
      </c>
      <c r="C251" s="9" t="s">
        <v>202</v>
      </c>
      <c r="D251" s="3680">
        <v>11</v>
      </c>
      <c r="E251" s="3681"/>
      <c r="F251" s="10">
        <v>11</v>
      </c>
      <c r="G251" s="45">
        <v>11</v>
      </c>
    </row>
    <row r="252" spans="1:7" ht="13.8" thickBot="1">
      <c r="A252" s="11" t="s">
        <v>651</v>
      </c>
      <c r="B252" s="18" t="s">
        <v>12</v>
      </c>
      <c r="C252" s="9" t="s">
        <v>202</v>
      </c>
      <c r="D252" s="3680">
        <v>160</v>
      </c>
      <c r="E252" s="3681"/>
      <c r="F252" s="10">
        <v>170</v>
      </c>
      <c r="G252" s="45">
        <v>150</v>
      </c>
    </row>
    <row r="253" spans="1:7" ht="13.8" thickBot="1">
      <c r="A253" s="11" t="s">
        <v>233</v>
      </c>
      <c r="B253" s="18" t="s">
        <v>13</v>
      </c>
      <c r="C253" s="9" t="s">
        <v>202</v>
      </c>
      <c r="D253" s="3680">
        <v>4500</v>
      </c>
      <c r="E253" s="3681"/>
      <c r="F253" s="10">
        <v>4500</v>
      </c>
      <c r="G253" s="45">
        <v>4000</v>
      </c>
    </row>
    <row r="254" spans="1:7" ht="13.8" thickBot="1">
      <c r="A254" s="11" t="s">
        <v>652</v>
      </c>
      <c r="B254" s="18" t="s">
        <v>189</v>
      </c>
      <c r="C254" s="9" t="s">
        <v>202</v>
      </c>
      <c r="D254" s="3680">
        <v>700</v>
      </c>
      <c r="E254" s="3681"/>
      <c r="F254" s="10">
        <v>700</v>
      </c>
      <c r="G254" s="45">
        <v>700</v>
      </c>
    </row>
    <row r="255" spans="1:7" ht="27" thickBot="1">
      <c r="A255" s="13" t="s">
        <v>374</v>
      </c>
      <c r="B255" s="18" t="s">
        <v>14</v>
      </c>
      <c r="C255" s="9" t="s">
        <v>202</v>
      </c>
      <c r="D255" s="3680">
        <v>30</v>
      </c>
      <c r="E255" s="3681"/>
      <c r="F255" s="10">
        <v>30</v>
      </c>
      <c r="G255" s="45">
        <v>25</v>
      </c>
    </row>
    <row r="256" spans="1:7" ht="40.200000000000003" thickBot="1">
      <c r="A256" s="13" t="s">
        <v>375</v>
      </c>
      <c r="B256" s="18" t="s">
        <v>15</v>
      </c>
      <c r="C256" s="9" t="s">
        <v>202</v>
      </c>
      <c r="D256" s="3680">
        <v>20</v>
      </c>
      <c r="E256" s="3681"/>
      <c r="F256" s="10">
        <v>23</v>
      </c>
      <c r="G256" s="45">
        <v>17</v>
      </c>
    </row>
    <row r="257" spans="1:7" ht="27" customHeight="1" thickBot="1">
      <c r="A257" s="3689" t="s">
        <v>7</v>
      </c>
      <c r="B257" s="3690"/>
      <c r="C257" s="3690"/>
      <c r="D257" s="3690"/>
      <c r="E257" s="3698"/>
      <c r="F257" s="3698"/>
      <c r="G257" s="49"/>
    </row>
    <row r="258" spans="1:7" ht="27" thickBot="1">
      <c r="A258" s="13" t="s">
        <v>653</v>
      </c>
      <c r="B258" s="18" t="s">
        <v>109</v>
      </c>
      <c r="C258" s="9" t="s">
        <v>314</v>
      </c>
      <c r="D258" s="3680">
        <v>100</v>
      </c>
      <c r="E258" s="3681"/>
      <c r="F258" s="10">
        <v>100</v>
      </c>
      <c r="G258" s="45">
        <v>100</v>
      </c>
    </row>
    <row r="259" spans="1:7" ht="13.8" thickBot="1">
      <c r="A259" s="13" t="s">
        <v>134</v>
      </c>
      <c r="B259" s="18" t="s">
        <v>254</v>
      </c>
      <c r="C259" s="9" t="s">
        <v>202</v>
      </c>
      <c r="D259" s="3680">
        <v>3800</v>
      </c>
      <c r="E259" s="3681"/>
      <c r="F259" s="10">
        <v>3800</v>
      </c>
      <c r="G259" s="45">
        <v>3800</v>
      </c>
    </row>
    <row r="260" spans="1:7" ht="13.8" thickBot="1">
      <c r="A260" s="13" t="s">
        <v>135</v>
      </c>
      <c r="B260" s="18" t="s">
        <v>136</v>
      </c>
      <c r="C260" s="9" t="s">
        <v>202</v>
      </c>
      <c r="D260" s="3680">
        <v>300</v>
      </c>
      <c r="E260" s="3681"/>
      <c r="F260" s="10">
        <v>350</v>
      </c>
      <c r="G260" s="45">
        <v>250</v>
      </c>
    </row>
    <row r="261" spans="1:7" ht="27" thickBot="1">
      <c r="A261" s="13" t="s">
        <v>190</v>
      </c>
      <c r="B261" s="18" t="s">
        <v>137</v>
      </c>
      <c r="C261" s="9" t="s">
        <v>202</v>
      </c>
      <c r="D261" s="3680">
        <v>6000</v>
      </c>
      <c r="E261" s="3681"/>
      <c r="F261" s="10">
        <v>6000</v>
      </c>
      <c r="G261" s="45">
        <v>6000</v>
      </c>
    </row>
    <row r="262" spans="1:7" ht="13.8" thickBot="1">
      <c r="A262" s="13" t="s">
        <v>335</v>
      </c>
      <c r="B262" s="18" t="s">
        <v>138</v>
      </c>
      <c r="C262" s="9" t="s">
        <v>314</v>
      </c>
      <c r="D262" s="3680">
        <v>90</v>
      </c>
      <c r="E262" s="3681"/>
      <c r="F262" s="10">
        <v>90</v>
      </c>
      <c r="G262" s="45">
        <v>90</v>
      </c>
    </row>
    <row r="263" spans="1:7" ht="13.8" thickBot="1">
      <c r="A263" s="13" t="s">
        <v>654</v>
      </c>
      <c r="B263" s="18" t="s">
        <v>655</v>
      </c>
      <c r="C263" s="9" t="s">
        <v>202</v>
      </c>
      <c r="D263" s="3680">
        <v>0</v>
      </c>
      <c r="E263" s="3681"/>
      <c r="F263" s="10">
        <v>1</v>
      </c>
      <c r="G263" s="45">
        <v>1</v>
      </c>
    </row>
    <row r="264" spans="1:7" ht="27" customHeight="1" thickBot="1">
      <c r="A264" s="3689" t="s">
        <v>467</v>
      </c>
      <c r="B264" s="3690"/>
      <c r="C264" s="3690"/>
      <c r="D264" s="3690"/>
      <c r="E264" s="3698"/>
      <c r="F264" s="3698"/>
      <c r="G264" s="49"/>
    </row>
    <row r="265" spans="1:7" ht="13.8" thickBot="1">
      <c r="A265" s="13" t="s">
        <v>656</v>
      </c>
      <c r="B265" s="18" t="s">
        <v>445</v>
      </c>
      <c r="C265" s="9" t="s">
        <v>202</v>
      </c>
      <c r="D265" s="3680">
        <v>3</v>
      </c>
      <c r="E265" s="3681"/>
      <c r="F265" s="10">
        <v>3</v>
      </c>
      <c r="G265" s="45">
        <v>3</v>
      </c>
    </row>
    <row r="266" spans="1:7" ht="27" thickBot="1">
      <c r="A266" s="13" t="s">
        <v>657</v>
      </c>
      <c r="B266" s="18" t="s">
        <v>19</v>
      </c>
      <c r="C266" s="9" t="s">
        <v>202</v>
      </c>
      <c r="D266" s="3680">
        <v>100</v>
      </c>
      <c r="E266" s="3681"/>
      <c r="F266" s="10">
        <v>100</v>
      </c>
      <c r="G266" s="45">
        <v>100</v>
      </c>
    </row>
    <row r="267" spans="1:7" ht="13.8" thickBot="1">
      <c r="A267" s="13" t="s">
        <v>658</v>
      </c>
      <c r="B267" s="18" t="s">
        <v>20</v>
      </c>
      <c r="C267" s="9" t="s">
        <v>202</v>
      </c>
      <c r="D267" s="3680">
        <v>0</v>
      </c>
      <c r="E267" s="3681"/>
      <c r="F267" s="10">
        <v>0</v>
      </c>
      <c r="G267" s="45">
        <v>0</v>
      </c>
    </row>
    <row r="268" spans="1:7" ht="40.5" customHeight="1" thickBot="1">
      <c r="A268" s="3729" t="s">
        <v>377</v>
      </c>
      <c r="B268" s="3730"/>
      <c r="C268" s="3730"/>
      <c r="D268" s="3730"/>
      <c r="E268" s="3731"/>
      <c r="F268" s="3731"/>
      <c r="G268" s="50"/>
    </row>
    <row r="269" spans="1:7" ht="14.4" thickBot="1">
      <c r="A269" s="3729" t="s">
        <v>493</v>
      </c>
      <c r="B269" s="3730"/>
      <c r="C269" s="3730"/>
      <c r="D269" s="3730"/>
      <c r="E269" s="3731"/>
      <c r="F269" s="3731"/>
      <c r="G269" s="50"/>
    </row>
    <row r="270" spans="1:7" ht="58.2" thickBot="1">
      <c r="A270" s="7" t="s">
        <v>378</v>
      </c>
      <c r="B270" s="8" t="s">
        <v>471</v>
      </c>
      <c r="C270" s="9" t="s">
        <v>472</v>
      </c>
      <c r="D270" s="3685" t="s">
        <v>659</v>
      </c>
      <c r="E270" s="3686"/>
      <c r="F270" s="25" t="s">
        <v>659</v>
      </c>
      <c r="G270" s="57" t="s">
        <v>659</v>
      </c>
    </row>
    <row r="271" spans="1:7" ht="13.8" thickBot="1">
      <c r="A271" s="7" t="s">
        <v>107</v>
      </c>
      <c r="B271" s="8" t="s">
        <v>108</v>
      </c>
      <c r="C271" s="9" t="s">
        <v>314</v>
      </c>
      <c r="D271" s="3680">
        <v>90</v>
      </c>
      <c r="E271" s="3681"/>
      <c r="F271" s="10">
        <v>90</v>
      </c>
      <c r="G271" s="45">
        <v>90</v>
      </c>
    </row>
    <row r="272" spans="1:7" ht="13.8" thickBot="1">
      <c r="A272" s="7" t="s">
        <v>660</v>
      </c>
      <c r="B272" s="8" t="s">
        <v>166</v>
      </c>
      <c r="C272" s="9" t="s">
        <v>314</v>
      </c>
      <c r="D272" s="3680">
        <v>5</v>
      </c>
      <c r="E272" s="3681"/>
      <c r="F272" s="10">
        <v>5</v>
      </c>
      <c r="G272" s="45">
        <v>5</v>
      </c>
    </row>
    <row r="273" spans="1:7" ht="27" thickBot="1">
      <c r="A273" s="7" t="s">
        <v>661</v>
      </c>
      <c r="B273" s="8" t="s">
        <v>167</v>
      </c>
      <c r="C273" s="9" t="s">
        <v>202</v>
      </c>
      <c r="D273" s="3680">
        <v>12</v>
      </c>
      <c r="E273" s="3681"/>
      <c r="F273" s="10">
        <v>10</v>
      </c>
      <c r="G273" s="45">
        <v>12</v>
      </c>
    </row>
    <row r="274" spans="1:7" ht="31.5" customHeight="1" thickBot="1">
      <c r="A274" s="3732" t="s">
        <v>508</v>
      </c>
      <c r="B274" s="3733"/>
      <c r="C274" s="3733"/>
      <c r="D274" s="3733"/>
      <c r="E274" s="3708"/>
      <c r="F274" s="3708"/>
      <c r="G274" s="46"/>
    </row>
    <row r="275" spans="1:7" ht="14.4" thickBot="1">
      <c r="A275" s="3695" t="s">
        <v>330</v>
      </c>
      <c r="B275" s="3696"/>
      <c r="C275" s="3696"/>
      <c r="D275" s="3696"/>
      <c r="E275" s="3697"/>
      <c r="F275" s="3697"/>
      <c r="G275" s="47"/>
    </row>
    <row r="276" spans="1:7" ht="14.4" thickBot="1">
      <c r="A276" s="3695" t="s">
        <v>200</v>
      </c>
      <c r="B276" s="3696"/>
      <c r="C276" s="3696"/>
      <c r="D276" s="3696"/>
      <c r="E276" s="3697"/>
      <c r="F276" s="3697"/>
      <c r="G276" s="47"/>
    </row>
    <row r="277" spans="1:7" ht="13.8" thickBot="1">
      <c r="A277" s="7" t="s">
        <v>465</v>
      </c>
      <c r="B277" s="18" t="s">
        <v>24</v>
      </c>
      <c r="C277" s="9" t="s">
        <v>314</v>
      </c>
      <c r="D277" s="3680">
        <v>100</v>
      </c>
      <c r="E277" s="3681"/>
      <c r="F277" s="10">
        <v>100</v>
      </c>
      <c r="G277" s="45">
        <v>100</v>
      </c>
    </row>
    <row r="278" spans="1:7" ht="13.8" thickBot="1">
      <c r="A278" s="7" t="s">
        <v>315</v>
      </c>
      <c r="B278" s="18" t="s">
        <v>316</v>
      </c>
      <c r="C278" s="9" t="s">
        <v>202</v>
      </c>
      <c r="D278" s="3680">
        <v>2</v>
      </c>
      <c r="E278" s="3681"/>
      <c r="F278" s="10">
        <v>2</v>
      </c>
      <c r="G278" s="45">
        <v>2</v>
      </c>
    </row>
    <row r="279" spans="1:7" ht="13.8" thickBot="1">
      <c r="A279" s="7" t="s">
        <v>385</v>
      </c>
      <c r="B279" s="18" t="s">
        <v>405</v>
      </c>
      <c r="C279" s="9" t="s">
        <v>202</v>
      </c>
      <c r="D279" s="3680">
        <v>3</v>
      </c>
      <c r="E279" s="3681"/>
      <c r="F279" s="10">
        <v>3</v>
      </c>
      <c r="G279" s="45">
        <v>4</v>
      </c>
    </row>
    <row r="280" spans="1:7" ht="13.8" thickBot="1">
      <c r="A280" s="3703" t="s">
        <v>73</v>
      </c>
      <c r="B280" s="3704"/>
      <c r="C280" s="3704"/>
      <c r="D280" s="3704"/>
      <c r="E280" s="3705"/>
      <c r="F280" s="3705"/>
      <c r="G280" s="48"/>
    </row>
    <row r="281" spans="1:7" ht="40.5" customHeight="1" thickBot="1">
      <c r="A281" s="3689" t="s">
        <v>183</v>
      </c>
      <c r="B281" s="3690"/>
      <c r="C281" s="3690"/>
      <c r="D281" s="3690"/>
      <c r="E281" s="3698"/>
      <c r="F281" s="3698"/>
      <c r="G281" s="49"/>
    </row>
    <row r="282" spans="1:7" ht="13.8" thickBot="1">
      <c r="A282" s="11" t="s">
        <v>469</v>
      </c>
      <c r="B282" s="18" t="s">
        <v>513</v>
      </c>
      <c r="C282" s="9" t="s">
        <v>314</v>
      </c>
      <c r="D282" s="3680">
        <v>99</v>
      </c>
      <c r="E282" s="3681"/>
      <c r="F282" s="10">
        <v>99</v>
      </c>
      <c r="G282" s="45">
        <v>99</v>
      </c>
    </row>
    <row r="283" spans="1:7" ht="13.8" thickBot="1">
      <c r="A283" s="11" t="s">
        <v>514</v>
      </c>
      <c r="B283" s="18" t="s">
        <v>515</v>
      </c>
      <c r="C283" s="9" t="s">
        <v>516</v>
      </c>
      <c r="D283" s="3680">
        <v>350</v>
      </c>
      <c r="E283" s="3681"/>
      <c r="F283" s="10">
        <v>350</v>
      </c>
      <c r="G283" s="45">
        <v>350</v>
      </c>
    </row>
    <row r="284" spans="1:7" ht="27" thickBot="1">
      <c r="A284" s="13" t="s">
        <v>115</v>
      </c>
      <c r="B284" s="18" t="s">
        <v>342</v>
      </c>
      <c r="C284" s="9" t="s">
        <v>314</v>
      </c>
      <c r="D284" s="3680">
        <v>85</v>
      </c>
      <c r="E284" s="3681"/>
      <c r="F284" s="10">
        <v>85</v>
      </c>
      <c r="G284" s="45">
        <v>85</v>
      </c>
    </row>
    <row r="285" spans="1:7" ht="13.8" thickBot="1">
      <c r="A285" s="13" t="s">
        <v>68</v>
      </c>
      <c r="B285" s="18" t="s">
        <v>343</v>
      </c>
      <c r="C285" s="9" t="s">
        <v>344</v>
      </c>
      <c r="D285" s="3680">
        <v>1</v>
      </c>
      <c r="E285" s="3681"/>
      <c r="F285" s="10">
        <v>1</v>
      </c>
      <c r="G285" s="45">
        <v>1</v>
      </c>
    </row>
    <row r="286" spans="1:7" ht="27" thickBot="1">
      <c r="A286" s="13" t="s">
        <v>393</v>
      </c>
      <c r="B286" s="18" t="s">
        <v>413</v>
      </c>
      <c r="C286" s="9" t="s">
        <v>344</v>
      </c>
      <c r="D286" s="3680">
        <v>2</v>
      </c>
      <c r="E286" s="3681"/>
      <c r="F286" s="10">
        <v>2</v>
      </c>
      <c r="G286" s="45">
        <v>2</v>
      </c>
    </row>
    <row r="287" spans="1:7" ht="13.8" thickBot="1">
      <c r="A287" s="11" t="s">
        <v>662</v>
      </c>
      <c r="B287" s="18" t="s">
        <v>31</v>
      </c>
      <c r="C287" s="9" t="s">
        <v>202</v>
      </c>
      <c r="D287" s="3680">
        <v>75</v>
      </c>
      <c r="E287" s="3681"/>
      <c r="F287" s="10">
        <v>70</v>
      </c>
      <c r="G287" s="45">
        <v>80</v>
      </c>
    </row>
    <row r="288" spans="1:7" ht="13.8" thickBot="1">
      <c r="A288" s="11" t="s">
        <v>421</v>
      </c>
      <c r="B288" s="18" t="s">
        <v>69</v>
      </c>
      <c r="C288" s="9" t="s">
        <v>344</v>
      </c>
      <c r="D288" s="3680">
        <v>15</v>
      </c>
      <c r="E288" s="3681"/>
      <c r="F288" s="10">
        <v>15</v>
      </c>
      <c r="G288" s="45">
        <v>120</v>
      </c>
    </row>
    <row r="289" spans="1:7" ht="13.8" thickBot="1">
      <c r="A289" s="11" t="s">
        <v>422</v>
      </c>
      <c r="B289" s="18" t="s">
        <v>372</v>
      </c>
      <c r="C289" s="9" t="s">
        <v>344</v>
      </c>
      <c r="D289" s="3680">
        <v>0</v>
      </c>
      <c r="E289" s="3681"/>
      <c r="F289" s="10">
        <v>0</v>
      </c>
      <c r="G289" s="45">
        <v>40</v>
      </c>
    </row>
    <row r="290" spans="1:7" ht="27" customHeight="1" thickBot="1">
      <c r="A290" s="3689" t="s">
        <v>32</v>
      </c>
      <c r="B290" s="3690"/>
      <c r="C290" s="3690"/>
      <c r="D290" s="3690"/>
      <c r="E290" s="3698"/>
      <c r="F290" s="3698"/>
      <c r="G290" s="49"/>
    </row>
    <row r="291" spans="1:7" ht="13.8" thickBot="1">
      <c r="A291" s="11" t="s">
        <v>663</v>
      </c>
      <c r="B291" s="8" t="s">
        <v>33</v>
      </c>
      <c r="C291" s="9" t="s">
        <v>314</v>
      </c>
      <c r="D291" s="3680">
        <v>100</v>
      </c>
      <c r="E291" s="3681"/>
      <c r="F291" s="10">
        <v>100</v>
      </c>
      <c r="G291" s="45">
        <v>100</v>
      </c>
    </row>
    <row r="292" spans="1:7" ht="14.4" thickBot="1">
      <c r="A292" s="3689" t="s">
        <v>46</v>
      </c>
      <c r="B292" s="3690"/>
      <c r="C292" s="3690"/>
      <c r="D292" s="3690"/>
      <c r="E292" s="3698"/>
      <c r="F292" s="3698"/>
      <c r="G292" s="49"/>
    </row>
    <row r="293" spans="1:7" ht="13.8" thickBot="1">
      <c r="A293" s="11" t="s">
        <v>277</v>
      </c>
      <c r="B293" s="18" t="s">
        <v>47</v>
      </c>
      <c r="C293" s="9" t="s">
        <v>202</v>
      </c>
      <c r="D293" s="3680">
        <v>0</v>
      </c>
      <c r="E293" s="3681"/>
      <c r="F293" s="10">
        <v>0</v>
      </c>
      <c r="G293" s="45">
        <v>1</v>
      </c>
    </row>
    <row r="294" spans="1:7" ht="27" customHeight="1" thickBot="1">
      <c r="A294" s="3689" t="s">
        <v>125</v>
      </c>
      <c r="B294" s="3690"/>
      <c r="C294" s="3690"/>
      <c r="D294" s="3690"/>
      <c r="E294" s="3698"/>
      <c r="F294" s="3698"/>
      <c r="G294" s="49"/>
    </row>
    <row r="295" spans="1:7" ht="13.8" thickBot="1">
      <c r="A295" s="11" t="s">
        <v>127</v>
      </c>
      <c r="B295" s="8" t="s">
        <v>126</v>
      </c>
      <c r="C295" s="9" t="s">
        <v>202</v>
      </c>
      <c r="D295" s="3680">
        <v>50</v>
      </c>
      <c r="E295" s="3681"/>
      <c r="F295" s="10">
        <v>50</v>
      </c>
      <c r="G295" s="45">
        <v>50</v>
      </c>
    </row>
    <row r="296" spans="1:7" ht="40.5" customHeight="1" thickBot="1">
      <c r="A296" s="3729" t="s">
        <v>495</v>
      </c>
      <c r="B296" s="3730"/>
      <c r="C296" s="3730"/>
      <c r="D296" s="3730"/>
      <c r="E296" s="3731"/>
      <c r="F296" s="3731"/>
      <c r="G296" s="50"/>
    </row>
    <row r="297" spans="1:7" ht="14.4" thickBot="1">
      <c r="A297" s="3729" t="s">
        <v>493</v>
      </c>
      <c r="B297" s="3730"/>
      <c r="C297" s="3730"/>
      <c r="D297" s="3730"/>
      <c r="E297" s="3731"/>
      <c r="F297" s="3731"/>
      <c r="G297" s="50"/>
    </row>
    <row r="298" spans="1:7" ht="27" thickBot="1">
      <c r="A298" s="7" t="s">
        <v>664</v>
      </c>
      <c r="B298" s="8" t="s">
        <v>259</v>
      </c>
      <c r="C298" s="9" t="s">
        <v>376</v>
      </c>
      <c r="D298" s="3687">
        <v>16</v>
      </c>
      <c r="E298" s="3688"/>
      <c r="F298" s="16">
        <v>16</v>
      </c>
      <c r="G298" s="51">
        <v>16</v>
      </c>
    </row>
    <row r="299" spans="1:7" ht="21" thickBot="1">
      <c r="A299" s="7" t="s">
        <v>260</v>
      </c>
      <c r="B299" s="8" t="s">
        <v>261</v>
      </c>
      <c r="C299" s="9" t="s">
        <v>376</v>
      </c>
      <c r="D299" s="3680">
        <v>40</v>
      </c>
      <c r="E299" s="3681"/>
      <c r="F299" s="10">
        <v>40</v>
      </c>
      <c r="G299" s="45">
        <v>35</v>
      </c>
    </row>
    <row r="300" spans="1:7" ht="21" thickBot="1">
      <c r="A300" s="7" t="s">
        <v>215</v>
      </c>
      <c r="B300" s="8" t="s">
        <v>216</v>
      </c>
      <c r="C300" s="9" t="s">
        <v>314</v>
      </c>
      <c r="D300" s="3719" t="s">
        <v>250</v>
      </c>
      <c r="E300" s="3720"/>
      <c r="F300" s="17" t="s">
        <v>250</v>
      </c>
      <c r="G300" s="52" t="s">
        <v>591</v>
      </c>
    </row>
    <row r="301" spans="1:7" ht="31.5" customHeight="1" thickBot="1">
      <c r="A301" s="3732" t="s">
        <v>148</v>
      </c>
      <c r="B301" s="3733"/>
      <c r="C301" s="3733"/>
      <c r="D301" s="3733"/>
      <c r="E301" s="3708"/>
      <c r="F301" s="3708"/>
      <c r="G301" s="46"/>
    </row>
    <row r="302" spans="1:7" ht="40.5" customHeight="1" thickBot="1">
      <c r="A302" s="3695" t="s">
        <v>194</v>
      </c>
      <c r="B302" s="3696"/>
      <c r="C302" s="3696"/>
      <c r="D302" s="3696"/>
      <c r="E302" s="3697"/>
      <c r="F302" s="3697"/>
      <c r="G302" s="47"/>
    </row>
    <row r="303" spans="1:7" ht="14.4" thickBot="1">
      <c r="A303" s="3695" t="s">
        <v>200</v>
      </c>
      <c r="B303" s="3696"/>
      <c r="C303" s="3696"/>
      <c r="D303" s="3696"/>
      <c r="E303" s="3697"/>
      <c r="F303" s="3697"/>
      <c r="G303" s="47"/>
    </row>
    <row r="304" spans="1:7" ht="27" thickBot="1">
      <c r="A304" s="7" t="s">
        <v>665</v>
      </c>
      <c r="B304" s="8" t="s">
        <v>195</v>
      </c>
      <c r="C304" s="9" t="s">
        <v>314</v>
      </c>
      <c r="D304" s="3680">
        <v>90</v>
      </c>
      <c r="E304" s="3681"/>
      <c r="F304" s="10">
        <v>90</v>
      </c>
      <c r="G304" s="45">
        <v>90</v>
      </c>
    </row>
    <row r="305" spans="1:7" ht="13.8" thickBot="1">
      <c r="A305" s="7" t="s">
        <v>156</v>
      </c>
      <c r="B305" s="8" t="s">
        <v>558</v>
      </c>
      <c r="C305" s="9" t="s">
        <v>202</v>
      </c>
      <c r="D305" s="3680">
        <v>5</v>
      </c>
      <c r="E305" s="3681"/>
      <c r="F305" s="10">
        <v>10</v>
      </c>
      <c r="G305" s="45">
        <v>5</v>
      </c>
    </row>
    <row r="306" spans="1:7" ht="27" thickBot="1">
      <c r="A306" s="7" t="s">
        <v>351</v>
      </c>
      <c r="B306" s="8" t="s">
        <v>592</v>
      </c>
      <c r="C306" s="9" t="s">
        <v>202</v>
      </c>
      <c r="D306" s="3680">
        <v>3</v>
      </c>
      <c r="E306" s="3681"/>
      <c r="F306" s="10">
        <v>10</v>
      </c>
      <c r="G306" s="45">
        <v>3</v>
      </c>
    </row>
    <row r="307" spans="1:7" ht="13.8" thickBot="1">
      <c r="A307" s="7" t="s">
        <v>247</v>
      </c>
      <c r="B307" s="8" t="s">
        <v>157</v>
      </c>
      <c r="C307" s="9" t="s">
        <v>314</v>
      </c>
      <c r="D307" s="3680">
        <v>100</v>
      </c>
      <c r="E307" s="3681"/>
      <c r="F307" s="10">
        <v>100</v>
      </c>
      <c r="G307" s="45">
        <v>99</v>
      </c>
    </row>
    <row r="308" spans="1:7" ht="13.8" thickBot="1">
      <c r="A308" s="7" t="s">
        <v>557</v>
      </c>
      <c r="B308" s="8" t="s">
        <v>426</v>
      </c>
      <c r="C308" s="9" t="s">
        <v>202</v>
      </c>
      <c r="D308" s="3680">
        <v>2</v>
      </c>
      <c r="E308" s="3681"/>
      <c r="F308" s="10">
        <v>2</v>
      </c>
      <c r="G308" s="45">
        <v>2</v>
      </c>
    </row>
    <row r="309" spans="1:7" ht="34.5" customHeight="1">
      <c r="A309" s="3723" t="s">
        <v>666</v>
      </c>
      <c r="B309" s="26"/>
      <c r="C309" s="3725" t="s">
        <v>202</v>
      </c>
      <c r="D309" s="3721">
        <v>5</v>
      </c>
      <c r="E309" s="3727"/>
      <c r="F309" s="3721">
        <v>5</v>
      </c>
      <c r="G309" s="3682">
        <v>5</v>
      </c>
    </row>
    <row r="310" spans="1:7" ht="13.8" thickBot="1">
      <c r="A310" s="3724"/>
      <c r="B310" s="27" t="s">
        <v>427</v>
      </c>
      <c r="C310" s="3726"/>
      <c r="D310" s="3722"/>
      <c r="E310" s="3728"/>
      <c r="F310" s="3722"/>
      <c r="G310" s="3682"/>
    </row>
    <row r="311" spans="1:7" ht="13.8" thickBot="1">
      <c r="A311" s="3703" t="s">
        <v>73</v>
      </c>
      <c r="B311" s="3704"/>
      <c r="C311" s="3704"/>
      <c r="D311" s="3704"/>
      <c r="E311" s="3705"/>
      <c r="F311" s="3705"/>
      <c r="G311" s="48"/>
    </row>
    <row r="312" spans="1:7" ht="40.5" customHeight="1" thickBot="1">
      <c r="A312" s="3689" t="s">
        <v>667</v>
      </c>
      <c r="B312" s="3690"/>
      <c r="C312" s="3690"/>
      <c r="D312" s="3690"/>
      <c r="E312" s="3698"/>
      <c r="F312" s="3698"/>
      <c r="G312" s="49"/>
    </row>
    <row r="313" spans="1:7" ht="13.8" thickBot="1">
      <c r="A313" s="11" t="s">
        <v>100</v>
      </c>
      <c r="B313" s="8" t="s">
        <v>178</v>
      </c>
      <c r="C313" s="9" t="s">
        <v>202</v>
      </c>
      <c r="D313" s="3680">
        <v>2</v>
      </c>
      <c r="E313" s="3681"/>
      <c r="F313" s="10">
        <v>2</v>
      </c>
      <c r="G313" s="45">
        <v>2</v>
      </c>
    </row>
    <row r="314" spans="1:7" ht="13.8" thickBot="1">
      <c r="A314" s="11" t="s">
        <v>428</v>
      </c>
      <c r="B314" s="8" t="s">
        <v>180</v>
      </c>
      <c r="C314" s="9" t="s">
        <v>202</v>
      </c>
      <c r="D314" s="3680">
        <v>5</v>
      </c>
      <c r="E314" s="3681"/>
      <c r="F314" s="10">
        <v>10</v>
      </c>
      <c r="G314" s="45">
        <v>5</v>
      </c>
    </row>
    <row r="315" spans="1:7" ht="13.8" thickBot="1">
      <c r="A315" s="11" t="s">
        <v>179</v>
      </c>
      <c r="B315" s="8" t="s">
        <v>181</v>
      </c>
      <c r="C315" s="9" t="s">
        <v>202</v>
      </c>
      <c r="D315" s="3680">
        <v>2</v>
      </c>
      <c r="E315" s="3681"/>
      <c r="F315" s="10">
        <v>2</v>
      </c>
      <c r="G315" s="45">
        <v>2</v>
      </c>
    </row>
    <row r="316" spans="1:7" ht="13.8" thickBot="1">
      <c r="A316" s="11" t="s">
        <v>248</v>
      </c>
      <c r="B316" s="8" t="s">
        <v>75</v>
      </c>
      <c r="C316" s="9" t="s">
        <v>202</v>
      </c>
      <c r="D316" s="3680">
        <v>0</v>
      </c>
      <c r="E316" s="3681"/>
      <c r="F316" s="10">
        <v>0</v>
      </c>
      <c r="G316" s="45">
        <v>1</v>
      </c>
    </row>
    <row r="317" spans="1:7" ht="27" thickBot="1">
      <c r="A317" s="28" t="s">
        <v>668</v>
      </c>
      <c r="B317" s="8" t="s">
        <v>76</v>
      </c>
      <c r="C317" s="9" t="s">
        <v>77</v>
      </c>
      <c r="D317" s="3680">
        <v>600</v>
      </c>
      <c r="E317" s="3681"/>
      <c r="F317" s="10">
        <v>700</v>
      </c>
      <c r="G317" s="45">
        <v>500</v>
      </c>
    </row>
    <row r="318" spans="1:7" ht="13.8" thickBot="1">
      <c r="A318" s="13" t="s">
        <v>473</v>
      </c>
      <c r="B318" s="8" t="s">
        <v>474</v>
      </c>
      <c r="C318" s="9" t="s">
        <v>77</v>
      </c>
      <c r="D318" s="3680">
        <v>50</v>
      </c>
      <c r="E318" s="3681"/>
      <c r="F318" s="10">
        <v>50</v>
      </c>
      <c r="G318" s="45">
        <v>40</v>
      </c>
    </row>
    <row r="319" spans="1:7" ht="13.8" thickBot="1">
      <c r="A319" s="13" t="s">
        <v>151</v>
      </c>
      <c r="B319" s="8" t="s">
        <v>404</v>
      </c>
      <c r="C319" s="9" t="s">
        <v>202</v>
      </c>
      <c r="D319" s="3680">
        <v>1</v>
      </c>
      <c r="E319" s="3681"/>
      <c r="F319" s="10">
        <v>1</v>
      </c>
      <c r="G319" s="45">
        <v>1</v>
      </c>
    </row>
    <row r="320" spans="1:7" ht="13.8" thickBot="1">
      <c r="A320" s="13" t="s">
        <v>669</v>
      </c>
      <c r="B320" s="8" t="s">
        <v>232</v>
      </c>
      <c r="C320" s="9" t="s">
        <v>202</v>
      </c>
      <c r="D320" s="3680">
        <v>1</v>
      </c>
      <c r="E320" s="3681"/>
      <c r="F320" s="10">
        <v>1</v>
      </c>
      <c r="G320" s="45">
        <v>1</v>
      </c>
    </row>
    <row r="321" spans="1:7" ht="13.8" thickBot="1">
      <c r="A321" s="13" t="s">
        <v>670</v>
      </c>
      <c r="B321" s="8" t="s">
        <v>401</v>
      </c>
      <c r="C321" s="9" t="s">
        <v>202</v>
      </c>
      <c r="D321" s="3680">
        <v>1</v>
      </c>
      <c r="E321" s="3681"/>
      <c r="F321" s="10">
        <v>1</v>
      </c>
      <c r="G321" s="45">
        <v>1</v>
      </c>
    </row>
    <row r="322" spans="1:7" ht="14.4" thickBot="1">
      <c r="A322" s="3695" t="s">
        <v>182</v>
      </c>
      <c r="B322" s="3696"/>
      <c r="C322" s="3696"/>
      <c r="D322" s="3696"/>
      <c r="E322" s="3697"/>
      <c r="F322" s="3697"/>
      <c r="G322" s="47"/>
    </row>
    <row r="323" spans="1:7" ht="14.4" thickBot="1">
      <c r="A323" s="3695" t="s">
        <v>200</v>
      </c>
      <c r="B323" s="3696"/>
      <c r="C323" s="3696"/>
      <c r="D323" s="3696"/>
      <c r="E323" s="3697"/>
      <c r="F323" s="3697"/>
      <c r="G323" s="47"/>
    </row>
    <row r="324" spans="1:7" ht="13.8" thickBot="1">
      <c r="A324" s="7" t="s">
        <v>671</v>
      </c>
      <c r="B324" s="8" t="s">
        <v>214</v>
      </c>
      <c r="C324" s="9" t="s">
        <v>230</v>
      </c>
      <c r="D324" s="3680">
        <v>1600</v>
      </c>
      <c r="E324" s="3681"/>
      <c r="F324" s="10">
        <v>1700</v>
      </c>
      <c r="G324" s="45">
        <v>1500</v>
      </c>
    </row>
    <row r="325" spans="1:7" ht="27" thickBot="1">
      <c r="A325" s="7" t="s">
        <v>672</v>
      </c>
      <c r="B325" s="8" t="s">
        <v>520</v>
      </c>
      <c r="C325" s="9" t="s">
        <v>576</v>
      </c>
      <c r="D325" s="3719">
        <v>40000</v>
      </c>
      <c r="E325" s="3720"/>
      <c r="F325" s="17">
        <v>50000</v>
      </c>
      <c r="G325" s="52">
        <v>30000</v>
      </c>
    </row>
    <row r="326" spans="1:7" ht="13.8" thickBot="1">
      <c r="A326" s="3703" t="s">
        <v>73</v>
      </c>
      <c r="B326" s="3704"/>
      <c r="C326" s="3704"/>
      <c r="D326" s="3704"/>
      <c r="E326" s="3705"/>
      <c r="F326" s="3705"/>
      <c r="G326" s="48"/>
    </row>
    <row r="327" spans="1:7" ht="27" customHeight="1" thickBot="1">
      <c r="A327" s="3689" t="s">
        <v>317</v>
      </c>
      <c r="B327" s="3690"/>
      <c r="C327" s="3690"/>
      <c r="D327" s="3690"/>
      <c r="E327" s="3698"/>
      <c r="F327" s="3698"/>
      <c r="G327" s="49"/>
    </row>
    <row r="328" spans="1:7" ht="13.8" thickBot="1">
      <c r="A328" s="11" t="s">
        <v>673</v>
      </c>
      <c r="B328" s="18" t="s">
        <v>318</v>
      </c>
      <c r="C328" s="9" t="s">
        <v>202</v>
      </c>
      <c r="D328" s="3680">
        <v>3</v>
      </c>
      <c r="E328" s="3681"/>
      <c r="F328" s="10">
        <v>3</v>
      </c>
      <c r="G328" s="45">
        <v>3</v>
      </c>
    </row>
    <row r="329" spans="1:7" ht="13.8" thickBot="1">
      <c r="A329" s="11" t="s">
        <v>434</v>
      </c>
      <c r="B329" s="18" t="s">
        <v>44</v>
      </c>
      <c r="C329" s="9" t="s">
        <v>202</v>
      </c>
      <c r="D329" s="3680">
        <v>3</v>
      </c>
      <c r="E329" s="3681"/>
      <c r="F329" s="10">
        <v>3</v>
      </c>
      <c r="G329" s="45">
        <v>5</v>
      </c>
    </row>
    <row r="330" spans="1:7" ht="27" customHeight="1" thickBot="1">
      <c r="A330" s="3689" t="s">
        <v>674</v>
      </c>
      <c r="B330" s="3690"/>
      <c r="C330" s="3690"/>
      <c r="D330" s="3690"/>
      <c r="E330" s="3698"/>
      <c r="F330" s="3698"/>
      <c r="G330" s="49"/>
    </row>
    <row r="331" spans="1:7" ht="13.8" thickBot="1">
      <c r="A331" s="13" t="s">
        <v>589</v>
      </c>
      <c r="B331" s="8" t="s">
        <v>461</v>
      </c>
      <c r="C331" s="9" t="s">
        <v>202</v>
      </c>
      <c r="D331" s="3680">
        <v>1</v>
      </c>
      <c r="E331" s="3681"/>
      <c r="F331" s="10">
        <v>1</v>
      </c>
      <c r="G331" s="45">
        <v>1</v>
      </c>
    </row>
    <row r="332" spans="1:7" ht="27" thickBot="1">
      <c r="A332" s="13" t="s">
        <v>572</v>
      </c>
      <c r="B332" s="8" t="s">
        <v>590</v>
      </c>
      <c r="C332" s="9" t="s">
        <v>202</v>
      </c>
      <c r="D332" s="3680">
        <v>1</v>
      </c>
      <c r="E332" s="3681"/>
      <c r="F332" s="10">
        <v>0</v>
      </c>
      <c r="G332" s="45">
        <v>0</v>
      </c>
    </row>
    <row r="333" spans="1:7" ht="13.8" thickBot="1">
      <c r="A333" s="13" t="s">
        <v>675</v>
      </c>
      <c r="B333" s="8" t="s">
        <v>204</v>
      </c>
      <c r="C333" s="9" t="s">
        <v>202</v>
      </c>
      <c r="D333" s="3680">
        <v>3</v>
      </c>
      <c r="E333" s="3681"/>
      <c r="F333" s="10">
        <v>3</v>
      </c>
      <c r="G333" s="45">
        <v>6</v>
      </c>
    </row>
    <row r="334" spans="1:7" ht="40.200000000000003" thickBot="1">
      <c r="A334" s="13" t="s">
        <v>676</v>
      </c>
      <c r="B334" s="8" t="s">
        <v>573</v>
      </c>
      <c r="C334" s="9" t="s">
        <v>314</v>
      </c>
      <c r="D334" s="3680">
        <v>20</v>
      </c>
      <c r="E334" s="3681"/>
      <c r="F334" s="10">
        <v>30</v>
      </c>
      <c r="G334" s="45">
        <v>10</v>
      </c>
    </row>
    <row r="335" spans="1:7" ht="40.5" customHeight="1" thickBot="1">
      <c r="A335" s="3709" t="s">
        <v>677</v>
      </c>
      <c r="B335" s="3710"/>
      <c r="C335" s="3710"/>
      <c r="D335" s="3710"/>
      <c r="E335" s="3710"/>
      <c r="F335" s="3710"/>
      <c r="G335" s="58"/>
    </row>
    <row r="336" spans="1:7" ht="58.5" customHeight="1">
      <c r="A336" s="3711" t="s">
        <v>99</v>
      </c>
      <c r="B336" s="19"/>
      <c r="C336" s="3713" t="s">
        <v>98</v>
      </c>
      <c r="D336" s="3715">
        <v>5</v>
      </c>
      <c r="E336" s="3716"/>
      <c r="F336" s="3715">
        <v>10</v>
      </c>
      <c r="G336" s="3679">
        <v>9</v>
      </c>
    </row>
    <row r="337" spans="1:7" ht="13.8" thickBot="1">
      <c r="A337" s="3712"/>
      <c r="B337" s="18" t="s">
        <v>349</v>
      </c>
      <c r="C337" s="3714"/>
      <c r="D337" s="3717"/>
      <c r="E337" s="3718"/>
      <c r="F337" s="3717"/>
      <c r="G337" s="3679"/>
    </row>
    <row r="338" spans="1:7" ht="13.8" thickBot="1">
      <c r="A338" s="13" t="s">
        <v>408</v>
      </c>
      <c r="B338" s="18" t="s">
        <v>431</v>
      </c>
      <c r="C338" s="9" t="s">
        <v>202</v>
      </c>
      <c r="D338" s="3680">
        <v>0</v>
      </c>
      <c r="E338" s="3681"/>
      <c r="F338" s="10">
        <v>0</v>
      </c>
      <c r="G338" s="45">
        <v>2</v>
      </c>
    </row>
    <row r="339" spans="1:7" ht="40.200000000000003" thickBot="1">
      <c r="A339" s="13" t="s">
        <v>244</v>
      </c>
      <c r="B339" s="18" t="s">
        <v>243</v>
      </c>
      <c r="C339" s="9" t="s">
        <v>202</v>
      </c>
      <c r="D339" s="3680">
        <v>1</v>
      </c>
      <c r="E339" s="3681"/>
      <c r="F339" s="10">
        <v>0</v>
      </c>
      <c r="G339" s="45">
        <v>0</v>
      </c>
    </row>
    <row r="340" spans="1:7" ht="14.4" thickBot="1">
      <c r="A340" s="3695" t="s">
        <v>239</v>
      </c>
      <c r="B340" s="3696"/>
      <c r="C340" s="3696"/>
      <c r="D340" s="3696"/>
      <c r="E340" s="3696"/>
      <c r="F340" s="3696"/>
      <c r="G340" s="59"/>
    </row>
    <row r="341" spans="1:7" ht="14.4" thickBot="1">
      <c r="A341" s="3695" t="s">
        <v>200</v>
      </c>
      <c r="B341" s="3696"/>
      <c r="C341" s="3696"/>
      <c r="D341" s="3696"/>
      <c r="E341" s="3696"/>
      <c r="F341" s="3696"/>
      <c r="G341" s="59"/>
    </row>
    <row r="342" spans="1:7" ht="27" thickBot="1">
      <c r="A342" s="7" t="s">
        <v>435</v>
      </c>
      <c r="B342" s="18" t="s">
        <v>240</v>
      </c>
      <c r="C342" s="9" t="s">
        <v>202</v>
      </c>
      <c r="D342" s="3680">
        <v>1</v>
      </c>
      <c r="E342" s="3681"/>
      <c r="F342" s="10">
        <v>1</v>
      </c>
      <c r="G342" s="45">
        <v>1</v>
      </c>
    </row>
    <row r="343" spans="1:7" ht="13.8" thickBot="1">
      <c r="A343" s="3703" t="s">
        <v>73</v>
      </c>
      <c r="B343" s="3704"/>
      <c r="C343" s="3704"/>
      <c r="D343" s="3704"/>
      <c r="E343" s="3704"/>
      <c r="F343" s="3704"/>
      <c r="G343" s="60"/>
    </row>
    <row r="344" spans="1:7" ht="14.4" thickBot="1">
      <c r="A344" s="3689" t="s">
        <v>241</v>
      </c>
      <c r="B344" s="3690"/>
      <c r="C344" s="3690"/>
      <c r="D344" s="3690"/>
      <c r="E344" s="3690"/>
      <c r="F344" s="3690"/>
      <c r="G344" s="61"/>
    </row>
    <row r="345" spans="1:7" ht="13.8" thickBot="1">
      <c r="A345" s="11" t="s">
        <v>8</v>
      </c>
      <c r="B345" s="8" t="s">
        <v>437</v>
      </c>
      <c r="C345" s="9" t="s">
        <v>314</v>
      </c>
      <c r="D345" s="3680">
        <v>20</v>
      </c>
      <c r="E345" s="3681"/>
      <c r="F345" s="10">
        <v>20</v>
      </c>
      <c r="G345" s="45">
        <v>20</v>
      </c>
    </row>
    <row r="346" spans="1:7" ht="13.8" thickBot="1">
      <c r="A346" s="11" t="s">
        <v>436</v>
      </c>
      <c r="B346" s="8" t="s">
        <v>263</v>
      </c>
      <c r="C346" s="9" t="s">
        <v>202</v>
      </c>
      <c r="D346" s="3680">
        <v>1</v>
      </c>
      <c r="E346" s="3681"/>
      <c r="F346" s="10">
        <v>0</v>
      </c>
      <c r="G346" s="45">
        <v>0</v>
      </c>
    </row>
    <row r="347" spans="1:7" ht="13.8" thickBot="1">
      <c r="A347" s="11" t="s">
        <v>336</v>
      </c>
      <c r="B347" s="8" t="s">
        <v>337</v>
      </c>
      <c r="C347" s="9" t="s">
        <v>202</v>
      </c>
      <c r="D347" s="3680">
        <v>1</v>
      </c>
      <c r="E347" s="3681"/>
      <c r="F347" s="10">
        <v>1</v>
      </c>
      <c r="G347" s="45">
        <v>0</v>
      </c>
    </row>
    <row r="348" spans="1:7" ht="13.8" thickBot="1">
      <c r="A348" s="11" t="s">
        <v>280</v>
      </c>
      <c r="B348" s="8" t="s">
        <v>281</v>
      </c>
      <c r="C348" s="9" t="s">
        <v>202</v>
      </c>
      <c r="D348" s="3680">
        <v>1</v>
      </c>
      <c r="E348" s="3681"/>
      <c r="F348" s="10">
        <v>1</v>
      </c>
      <c r="G348" s="45">
        <v>1</v>
      </c>
    </row>
    <row r="349" spans="1:7" ht="27" customHeight="1" thickBot="1">
      <c r="A349" s="3689" t="s">
        <v>398</v>
      </c>
      <c r="B349" s="3690"/>
      <c r="C349" s="3690"/>
      <c r="D349" s="3690"/>
      <c r="E349" s="3690"/>
      <c r="F349" s="3690"/>
      <c r="G349" s="61"/>
    </row>
    <row r="350" spans="1:7" ht="13.8" thickBot="1">
      <c r="A350" s="13" t="s">
        <v>678</v>
      </c>
      <c r="B350" s="8" t="s">
        <v>322</v>
      </c>
      <c r="C350" s="9" t="s">
        <v>202</v>
      </c>
      <c r="D350" s="3680">
        <v>1</v>
      </c>
      <c r="E350" s="3681"/>
      <c r="F350" s="10">
        <v>1</v>
      </c>
      <c r="G350" s="45">
        <v>1</v>
      </c>
    </row>
    <row r="351" spans="1:7" ht="13.8" thickBot="1">
      <c r="A351" s="13" t="s">
        <v>262</v>
      </c>
      <c r="B351" s="8" t="s">
        <v>323</v>
      </c>
      <c r="C351" s="9" t="s">
        <v>202</v>
      </c>
      <c r="D351" s="3680">
        <v>1</v>
      </c>
      <c r="E351" s="3681"/>
      <c r="F351" s="10">
        <v>1</v>
      </c>
      <c r="G351" s="45">
        <v>1</v>
      </c>
    </row>
    <row r="352" spans="1:7" ht="27" thickBot="1">
      <c r="A352" s="13" t="s">
        <v>400</v>
      </c>
      <c r="B352" s="8" t="s">
        <v>399</v>
      </c>
      <c r="C352" s="9" t="s">
        <v>314</v>
      </c>
      <c r="D352" s="3680">
        <v>100</v>
      </c>
      <c r="E352" s="3681"/>
      <c r="F352" s="10">
        <v>100</v>
      </c>
      <c r="G352" s="45">
        <v>100</v>
      </c>
    </row>
    <row r="353" spans="1:7" ht="13.8" thickBot="1">
      <c r="A353" s="13" t="s">
        <v>58</v>
      </c>
      <c r="B353" s="8" t="s">
        <v>57</v>
      </c>
      <c r="C353" s="9" t="s">
        <v>202</v>
      </c>
      <c r="D353" s="3680">
        <v>0</v>
      </c>
      <c r="E353" s="3681"/>
      <c r="F353" s="10">
        <v>0</v>
      </c>
      <c r="G353" s="45">
        <v>7</v>
      </c>
    </row>
    <row r="354" spans="1:7" ht="31.5" customHeight="1" thickBot="1">
      <c r="A354" s="3706" t="s">
        <v>203</v>
      </c>
      <c r="B354" s="3707"/>
      <c r="C354" s="3707"/>
      <c r="D354" s="3707"/>
      <c r="E354" s="3708"/>
      <c r="F354" s="3708"/>
      <c r="G354" s="46"/>
    </row>
    <row r="355" spans="1:7" ht="27" customHeight="1" thickBot="1">
      <c r="A355" s="3695" t="s">
        <v>223</v>
      </c>
      <c r="B355" s="3696"/>
      <c r="C355" s="3696"/>
      <c r="D355" s="3696"/>
      <c r="E355" s="3697"/>
      <c r="F355" s="3697"/>
      <c r="G355" s="47"/>
    </row>
    <row r="356" spans="1:7" ht="14.4" thickBot="1">
      <c r="A356" s="3695" t="s">
        <v>200</v>
      </c>
      <c r="B356" s="3696"/>
      <c r="C356" s="3696"/>
      <c r="D356" s="3696"/>
      <c r="E356" s="3697"/>
      <c r="F356" s="3697"/>
      <c r="G356" s="47"/>
    </row>
    <row r="357" spans="1:7" ht="27" thickBot="1">
      <c r="A357" s="7" t="s">
        <v>679</v>
      </c>
      <c r="B357" s="18" t="s">
        <v>224</v>
      </c>
      <c r="C357" s="9" t="s">
        <v>202</v>
      </c>
      <c r="D357" s="3680">
        <v>1</v>
      </c>
      <c r="E357" s="3681"/>
      <c r="F357" s="10">
        <v>1</v>
      </c>
      <c r="G357" s="45">
        <v>1</v>
      </c>
    </row>
    <row r="358" spans="1:7" ht="13.8" thickBot="1">
      <c r="A358" s="7" t="s">
        <v>53</v>
      </c>
      <c r="B358" s="18" t="s">
        <v>523</v>
      </c>
      <c r="C358" s="9" t="s">
        <v>314</v>
      </c>
      <c r="D358" s="3680">
        <v>100</v>
      </c>
      <c r="E358" s="3681"/>
      <c r="F358" s="10">
        <v>100</v>
      </c>
      <c r="G358" s="45">
        <v>100</v>
      </c>
    </row>
    <row r="359" spans="1:7" ht="13.8" thickBot="1">
      <c r="A359" s="3703" t="s">
        <v>73</v>
      </c>
      <c r="B359" s="3704"/>
      <c r="C359" s="3704"/>
      <c r="D359" s="3704"/>
      <c r="E359" s="3705"/>
      <c r="F359" s="3705"/>
      <c r="G359" s="48"/>
    </row>
    <row r="360" spans="1:7" ht="14.4" thickBot="1">
      <c r="A360" s="3689" t="s">
        <v>225</v>
      </c>
      <c r="B360" s="3690"/>
      <c r="C360" s="3690"/>
      <c r="D360" s="3690"/>
      <c r="E360" s="3698"/>
      <c r="F360" s="3698"/>
      <c r="G360" s="49"/>
    </row>
    <row r="361" spans="1:7" ht="13.8" thickBot="1">
      <c r="A361" s="11" t="s">
        <v>680</v>
      </c>
      <c r="B361" s="18" t="s">
        <v>2</v>
      </c>
      <c r="C361" s="9" t="s">
        <v>3</v>
      </c>
      <c r="D361" s="3693">
        <v>35000</v>
      </c>
      <c r="E361" s="3694"/>
      <c r="F361" s="24">
        <v>36000</v>
      </c>
      <c r="G361" s="55">
        <v>34000</v>
      </c>
    </row>
    <row r="362" spans="1:7" ht="13.8" thickBot="1">
      <c r="A362" s="11" t="s">
        <v>82</v>
      </c>
      <c r="B362" s="18" t="s">
        <v>83</v>
      </c>
      <c r="C362" s="9" t="s">
        <v>34</v>
      </c>
      <c r="D362" s="3693">
        <v>65000</v>
      </c>
      <c r="E362" s="3694"/>
      <c r="F362" s="24">
        <v>65000</v>
      </c>
      <c r="G362" s="55">
        <v>65000</v>
      </c>
    </row>
    <row r="363" spans="1:7" ht="13.8" thickBot="1">
      <c r="A363" s="11" t="s">
        <v>506</v>
      </c>
      <c r="B363" s="18" t="s">
        <v>306</v>
      </c>
      <c r="C363" s="9" t="s">
        <v>3</v>
      </c>
      <c r="D363" s="3680">
        <v>42</v>
      </c>
      <c r="E363" s="3681"/>
      <c r="F363" s="10">
        <v>42</v>
      </c>
      <c r="G363" s="45">
        <v>42</v>
      </c>
    </row>
    <row r="364" spans="1:7" ht="13.8" thickBot="1">
      <c r="A364" s="11" t="s">
        <v>681</v>
      </c>
      <c r="B364" s="18" t="s">
        <v>425</v>
      </c>
      <c r="C364" s="9" t="s">
        <v>3</v>
      </c>
      <c r="D364" s="3680">
        <v>90</v>
      </c>
      <c r="E364" s="3681"/>
      <c r="F364" s="10">
        <v>90</v>
      </c>
      <c r="G364" s="45">
        <v>90</v>
      </c>
    </row>
    <row r="365" spans="1:7" ht="27" customHeight="1" thickBot="1">
      <c r="A365" s="3689" t="s">
        <v>307</v>
      </c>
      <c r="B365" s="3690"/>
      <c r="C365" s="3690"/>
      <c r="D365" s="3690"/>
      <c r="E365" s="3698"/>
      <c r="F365" s="3698"/>
      <c r="G365" s="49"/>
    </row>
    <row r="366" spans="1:7" ht="27" thickBot="1">
      <c r="A366" s="13" t="s">
        <v>354</v>
      </c>
      <c r="B366" s="18" t="s">
        <v>2</v>
      </c>
      <c r="C366" s="9" t="s">
        <v>202</v>
      </c>
      <c r="D366" s="3680">
        <v>0.5</v>
      </c>
      <c r="E366" s="3681"/>
      <c r="F366" s="10">
        <v>1</v>
      </c>
      <c r="G366" s="45">
        <v>0.2</v>
      </c>
    </row>
    <row r="367" spans="1:7" ht="13.8" thickBot="1">
      <c r="A367" s="11" t="s">
        <v>49</v>
      </c>
      <c r="B367" s="8" t="s">
        <v>83</v>
      </c>
      <c r="C367" s="9" t="s">
        <v>192</v>
      </c>
      <c r="D367" s="3680">
        <v>2100</v>
      </c>
      <c r="E367" s="3681"/>
      <c r="F367" s="10">
        <v>2100</v>
      </c>
      <c r="G367" s="45">
        <v>2100</v>
      </c>
    </row>
    <row r="368" spans="1:7" ht="13.8" thickBot="1">
      <c r="A368" s="11" t="s">
        <v>50</v>
      </c>
      <c r="B368" s="8" t="s">
        <v>306</v>
      </c>
      <c r="C368" s="9" t="s">
        <v>192</v>
      </c>
      <c r="D368" s="3680">
        <v>920</v>
      </c>
      <c r="E368" s="3681"/>
      <c r="F368" s="10">
        <v>920</v>
      </c>
      <c r="G368" s="45">
        <v>1500</v>
      </c>
    </row>
    <row r="369" spans="1:7" ht="13.8" thickBot="1">
      <c r="A369" s="11" t="s">
        <v>191</v>
      </c>
      <c r="B369" s="8" t="s">
        <v>425</v>
      </c>
      <c r="C369" s="9" t="s">
        <v>192</v>
      </c>
      <c r="D369" s="3680">
        <v>2900</v>
      </c>
      <c r="E369" s="3681"/>
      <c r="F369" s="10">
        <v>2900</v>
      </c>
      <c r="G369" s="45">
        <v>0</v>
      </c>
    </row>
    <row r="370" spans="1:7" ht="13.8" thickBot="1">
      <c r="A370" s="11" t="s">
        <v>682</v>
      </c>
      <c r="B370" s="8" t="s">
        <v>213</v>
      </c>
      <c r="C370" s="9" t="s">
        <v>192</v>
      </c>
      <c r="D370" s="3680">
        <v>3000</v>
      </c>
      <c r="E370" s="3681"/>
      <c r="F370" s="10">
        <v>3000</v>
      </c>
      <c r="G370" s="45">
        <v>3000</v>
      </c>
    </row>
    <row r="371" spans="1:7" ht="27" thickBot="1">
      <c r="A371" s="13" t="s">
        <v>683</v>
      </c>
      <c r="B371" s="18" t="s">
        <v>527</v>
      </c>
      <c r="C371" s="9" t="s">
        <v>468</v>
      </c>
      <c r="D371" s="3680">
        <v>0</v>
      </c>
      <c r="E371" s="3681"/>
      <c r="F371" s="10">
        <v>0</v>
      </c>
      <c r="G371" s="45">
        <v>724</v>
      </c>
    </row>
    <row r="372" spans="1:7" ht="13.8" thickBot="1">
      <c r="A372" s="13" t="s">
        <v>684</v>
      </c>
      <c r="B372" s="18" t="s">
        <v>61</v>
      </c>
      <c r="C372" s="9" t="s">
        <v>202</v>
      </c>
      <c r="D372" s="3680">
        <v>0</v>
      </c>
      <c r="E372" s="3681"/>
      <c r="F372" s="10">
        <v>0</v>
      </c>
      <c r="G372" s="45">
        <v>2</v>
      </c>
    </row>
    <row r="373" spans="1:7" ht="27" customHeight="1" thickBot="1">
      <c r="A373" s="3695" t="s">
        <v>309</v>
      </c>
      <c r="B373" s="3696"/>
      <c r="C373" s="3696"/>
      <c r="D373" s="3696"/>
      <c r="E373" s="3697"/>
      <c r="F373" s="3697"/>
      <c r="G373" s="47"/>
    </row>
    <row r="374" spans="1:7" ht="14.4" thickBot="1">
      <c r="A374" s="3695" t="s">
        <v>200</v>
      </c>
      <c r="B374" s="3696"/>
      <c r="C374" s="3696"/>
      <c r="D374" s="3696"/>
      <c r="E374" s="3697"/>
      <c r="F374" s="3697"/>
      <c r="G374" s="47"/>
    </row>
    <row r="375" spans="1:7" ht="27" thickBot="1">
      <c r="A375" s="7" t="s">
        <v>356</v>
      </c>
      <c r="B375" s="18" t="s">
        <v>295</v>
      </c>
      <c r="C375" s="9" t="s">
        <v>202</v>
      </c>
      <c r="D375" s="3680">
        <v>4</v>
      </c>
      <c r="E375" s="3681"/>
      <c r="F375" s="10">
        <v>5</v>
      </c>
      <c r="G375" s="45">
        <v>4</v>
      </c>
    </row>
    <row r="376" spans="1:7" ht="27" thickBot="1">
      <c r="A376" s="7" t="s">
        <v>499</v>
      </c>
      <c r="B376" s="18" t="s">
        <v>296</v>
      </c>
      <c r="C376" s="9" t="s">
        <v>314</v>
      </c>
      <c r="D376" s="3680">
        <v>40</v>
      </c>
      <c r="E376" s="3681"/>
      <c r="F376" s="10">
        <v>40</v>
      </c>
      <c r="G376" s="45">
        <v>40</v>
      </c>
    </row>
    <row r="377" spans="1:7" ht="13.8" thickBot="1">
      <c r="A377" s="7" t="s">
        <v>110</v>
      </c>
      <c r="B377" s="18" t="s">
        <v>111</v>
      </c>
      <c r="C377" s="9" t="s">
        <v>314</v>
      </c>
      <c r="D377" s="3691" t="s">
        <v>502</v>
      </c>
      <c r="E377" s="3692"/>
      <c r="F377" s="29">
        <v>0.6</v>
      </c>
      <c r="G377" s="62">
        <v>0.2</v>
      </c>
    </row>
    <row r="378" spans="1:7" ht="13.8" thickBot="1">
      <c r="A378" s="7" t="s">
        <v>685</v>
      </c>
      <c r="B378" s="18" t="s">
        <v>524</v>
      </c>
      <c r="C378" s="9" t="s">
        <v>176</v>
      </c>
      <c r="D378" s="3691" t="s">
        <v>585</v>
      </c>
      <c r="E378" s="3692"/>
      <c r="F378" s="29" t="s">
        <v>585</v>
      </c>
      <c r="G378" s="62" t="s">
        <v>116</v>
      </c>
    </row>
    <row r="379" spans="1:7" ht="27" thickBot="1">
      <c r="A379" s="7" t="s">
        <v>686</v>
      </c>
      <c r="B379" s="18" t="s">
        <v>43</v>
      </c>
      <c r="C379" s="9" t="s">
        <v>314</v>
      </c>
      <c r="D379" s="3691">
        <v>100</v>
      </c>
      <c r="E379" s="3692"/>
      <c r="F379" s="29">
        <v>100</v>
      </c>
      <c r="G379" s="62">
        <v>100</v>
      </c>
    </row>
    <row r="380" spans="1:7" ht="13.8" thickBot="1">
      <c r="A380" s="7" t="s">
        <v>503</v>
      </c>
      <c r="B380" s="18" t="s">
        <v>504</v>
      </c>
      <c r="C380" s="9" t="s">
        <v>202</v>
      </c>
      <c r="D380" s="3691">
        <v>2</v>
      </c>
      <c r="E380" s="3692"/>
      <c r="F380" s="29">
        <v>2</v>
      </c>
      <c r="G380" s="62">
        <v>0</v>
      </c>
    </row>
    <row r="381" spans="1:7" ht="13.8" thickBot="1">
      <c r="A381" s="7" t="s">
        <v>687</v>
      </c>
      <c r="B381" s="18" t="s">
        <v>97</v>
      </c>
      <c r="C381" s="9" t="s">
        <v>202</v>
      </c>
      <c r="D381" s="3691">
        <v>10</v>
      </c>
      <c r="E381" s="3692"/>
      <c r="F381" s="29">
        <v>10</v>
      </c>
      <c r="G381" s="62">
        <v>5</v>
      </c>
    </row>
    <row r="382" spans="1:7" ht="13.8" thickBot="1">
      <c r="A382" s="3703" t="s">
        <v>73</v>
      </c>
      <c r="B382" s="3704"/>
      <c r="C382" s="3704"/>
      <c r="D382" s="3704"/>
      <c r="E382" s="3705"/>
      <c r="F382" s="3705"/>
      <c r="G382" s="48"/>
    </row>
    <row r="383" spans="1:7" ht="27" customHeight="1" thickBot="1">
      <c r="A383" s="3689" t="s">
        <v>168</v>
      </c>
      <c r="B383" s="3690"/>
      <c r="C383" s="3690"/>
      <c r="D383" s="3690"/>
      <c r="E383" s="3698"/>
      <c r="F383" s="3698"/>
      <c r="G383" s="49"/>
    </row>
    <row r="384" spans="1:7" ht="13.8" thickBot="1">
      <c r="A384" s="13" t="s">
        <v>146</v>
      </c>
      <c r="B384" s="18" t="s">
        <v>169</v>
      </c>
      <c r="C384" s="9" t="s">
        <v>314</v>
      </c>
      <c r="D384" s="3680">
        <v>90</v>
      </c>
      <c r="E384" s="3681"/>
      <c r="F384" s="10">
        <v>100</v>
      </c>
      <c r="G384" s="45">
        <v>20</v>
      </c>
    </row>
    <row r="385" spans="1:7" ht="27" customHeight="1" thickBot="1">
      <c r="A385" s="3689" t="s">
        <v>549</v>
      </c>
      <c r="B385" s="3690"/>
      <c r="C385" s="3690"/>
      <c r="D385" s="3690"/>
      <c r="E385" s="3698"/>
      <c r="F385" s="3698"/>
      <c r="G385" s="49"/>
    </row>
    <row r="386" spans="1:7" ht="13.8" thickBot="1">
      <c r="A386" s="13" t="s">
        <v>345</v>
      </c>
      <c r="B386" s="18" t="s">
        <v>460</v>
      </c>
      <c r="C386" s="9" t="s">
        <v>202</v>
      </c>
      <c r="D386" s="3680">
        <v>2</v>
      </c>
      <c r="E386" s="3681"/>
      <c r="F386" s="10">
        <v>1</v>
      </c>
      <c r="G386" s="45">
        <v>3</v>
      </c>
    </row>
    <row r="387" spans="1:7" ht="27" thickBot="1">
      <c r="A387" s="13" t="s">
        <v>688</v>
      </c>
      <c r="B387" s="18" t="s">
        <v>28</v>
      </c>
      <c r="C387" s="9" t="s">
        <v>202</v>
      </c>
      <c r="D387" s="3680">
        <v>2</v>
      </c>
      <c r="E387" s="3681"/>
      <c r="F387" s="10">
        <v>2</v>
      </c>
      <c r="G387" s="45">
        <v>1</v>
      </c>
    </row>
    <row r="388" spans="1:7" ht="40.5" customHeight="1" thickBot="1">
      <c r="A388" s="3689" t="s">
        <v>689</v>
      </c>
      <c r="B388" s="3690"/>
      <c r="C388" s="3690"/>
      <c r="D388" s="3690"/>
      <c r="E388" s="3698"/>
      <c r="F388" s="3698"/>
      <c r="G388" s="49"/>
    </row>
    <row r="389" spans="1:7" ht="13.8" thickBot="1">
      <c r="A389" s="13" t="s">
        <v>528</v>
      </c>
      <c r="B389" s="8" t="s">
        <v>271</v>
      </c>
      <c r="C389" s="9" t="s">
        <v>468</v>
      </c>
      <c r="D389" s="3680">
        <v>1100</v>
      </c>
      <c r="E389" s="3681"/>
      <c r="F389" s="10">
        <v>1100</v>
      </c>
      <c r="G389" s="45">
        <v>0</v>
      </c>
    </row>
    <row r="390" spans="1:7" ht="13.8" thickBot="1">
      <c r="A390" s="13" t="s">
        <v>275</v>
      </c>
      <c r="B390" s="18" t="s">
        <v>140</v>
      </c>
      <c r="C390" s="9" t="s">
        <v>202</v>
      </c>
      <c r="D390" s="3680">
        <v>1</v>
      </c>
      <c r="E390" s="3681"/>
      <c r="F390" s="10">
        <v>1</v>
      </c>
      <c r="G390" s="45">
        <v>1</v>
      </c>
    </row>
    <row r="391" spans="1:7" ht="13.8" thickBot="1">
      <c r="A391" s="13" t="s">
        <v>30</v>
      </c>
      <c r="B391" s="18" t="s">
        <v>29</v>
      </c>
      <c r="C391" s="9" t="s">
        <v>202</v>
      </c>
      <c r="D391" s="3680">
        <v>0</v>
      </c>
      <c r="E391" s="3681"/>
      <c r="F391" s="10">
        <v>1</v>
      </c>
      <c r="G391" s="45">
        <v>0</v>
      </c>
    </row>
    <row r="392" spans="1:7" ht="14.4" thickBot="1">
      <c r="A392" s="3689" t="s">
        <v>276</v>
      </c>
      <c r="B392" s="3690"/>
      <c r="C392" s="3690"/>
      <c r="D392" s="3690"/>
      <c r="E392" s="3690"/>
      <c r="F392" s="3690"/>
      <c r="G392" s="61"/>
    </row>
    <row r="393" spans="1:7" ht="13.8" thickBot="1">
      <c r="A393" s="13" t="s">
        <v>291</v>
      </c>
      <c r="B393" s="18" t="s">
        <v>570</v>
      </c>
      <c r="C393" s="9" t="s">
        <v>202</v>
      </c>
      <c r="D393" s="3680">
        <v>8</v>
      </c>
      <c r="E393" s="3681"/>
      <c r="F393" s="10">
        <v>8</v>
      </c>
      <c r="G393" s="45">
        <v>14</v>
      </c>
    </row>
    <row r="394" spans="1:7" ht="13.8" thickBot="1">
      <c r="A394" s="13" t="s">
        <v>25</v>
      </c>
      <c r="B394" s="18" t="s">
        <v>459</v>
      </c>
      <c r="C394" s="9" t="s">
        <v>202</v>
      </c>
      <c r="D394" s="3680">
        <v>1</v>
      </c>
      <c r="E394" s="3681"/>
      <c r="F394" s="10">
        <v>1</v>
      </c>
      <c r="G394" s="45">
        <v>1</v>
      </c>
    </row>
    <row r="395" spans="1:7" ht="40.5" customHeight="1" thickBot="1">
      <c r="A395" s="3689" t="s">
        <v>690</v>
      </c>
      <c r="B395" s="3690"/>
      <c r="C395" s="3690"/>
      <c r="D395" s="3690"/>
      <c r="E395" s="3698"/>
      <c r="F395" s="3698"/>
      <c r="G395" s="49"/>
    </row>
    <row r="396" spans="1:7" ht="13.8" thickBot="1">
      <c r="A396" s="13" t="s">
        <v>498</v>
      </c>
      <c r="B396" s="18" t="s">
        <v>320</v>
      </c>
      <c r="C396" s="9" t="s">
        <v>202</v>
      </c>
      <c r="D396" s="3687">
        <v>2</v>
      </c>
      <c r="E396" s="3688"/>
      <c r="F396" s="16">
        <v>3</v>
      </c>
      <c r="G396" s="51">
        <v>2</v>
      </c>
    </row>
    <row r="397" spans="1:7" ht="40.5" customHeight="1" thickBot="1">
      <c r="A397" s="3695" t="s">
        <v>496</v>
      </c>
      <c r="B397" s="3696"/>
      <c r="C397" s="3696"/>
      <c r="D397" s="3696"/>
      <c r="E397" s="3697"/>
      <c r="F397" s="3697"/>
      <c r="G397" s="47"/>
    </row>
    <row r="398" spans="1:7" ht="14.4" thickBot="1">
      <c r="A398" s="3695" t="s">
        <v>200</v>
      </c>
      <c r="B398" s="3696"/>
      <c r="C398" s="3696"/>
      <c r="D398" s="3696"/>
      <c r="E398" s="3697"/>
      <c r="F398" s="3697"/>
      <c r="G398" s="47"/>
    </row>
    <row r="399" spans="1:7" ht="27" thickBot="1">
      <c r="A399" s="7" t="s">
        <v>198</v>
      </c>
      <c r="B399" s="8" t="s">
        <v>497</v>
      </c>
      <c r="C399" s="9" t="s">
        <v>314</v>
      </c>
      <c r="D399" s="3687">
        <v>99</v>
      </c>
      <c r="E399" s="3688"/>
      <c r="F399" s="16">
        <v>99</v>
      </c>
      <c r="G399" s="51">
        <v>99</v>
      </c>
    </row>
    <row r="400" spans="1:7" ht="13.8" thickBot="1">
      <c r="A400" s="3703" t="s">
        <v>73</v>
      </c>
      <c r="B400" s="3704"/>
      <c r="C400" s="3704"/>
      <c r="D400" s="3704"/>
      <c r="E400" s="3705"/>
      <c r="F400" s="3705"/>
      <c r="G400" s="48"/>
    </row>
    <row r="401" spans="1:7" ht="27" customHeight="1" thickBot="1">
      <c r="A401" s="3689" t="s">
        <v>101</v>
      </c>
      <c r="B401" s="3690"/>
      <c r="C401" s="3690"/>
      <c r="D401" s="3690"/>
      <c r="E401" s="3698"/>
      <c r="F401" s="3698"/>
      <c r="G401" s="49"/>
    </row>
    <row r="402" spans="1:7" ht="13.8" thickBot="1">
      <c r="A402" s="11" t="s">
        <v>517</v>
      </c>
      <c r="B402" s="8" t="s">
        <v>165</v>
      </c>
      <c r="C402" s="9" t="s">
        <v>158</v>
      </c>
      <c r="D402" s="3680">
        <v>900000</v>
      </c>
      <c r="E402" s="3681"/>
      <c r="F402" s="10">
        <v>850000</v>
      </c>
      <c r="G402" s="45">
        <v>950000</v>
      </c>
    </row>
    <row r="403" spans="1:7" ht="13.8" thickBot="1">
      <c r="A403" s="11" t="s">
        <v>117</v>
      </c>
      <c r="B403" s="8" t="s">
        <v>511</v>
      </c>
      <c r="C403" s="9" t="s">
        <v>468</v>
      </c>
      <c r="D403" s="3680">
        <v>2000</v>
      </c>
      <c r="E403" s="3681"/>
      <c r="F403" s="10">
        <v>2000</v>
      </c>
      <c r="G403" s="45">
        <v>2000</v>
      </c>
    </row>
    <row r="404" spans="1:7" ht="13.8" thickBot="1">
      <c r="A404" s="11" t="s">
        <v>691</v>
      </c>
      <c r="B404" s="8" t="s">
        <v>279</v>
      </c>
      <c r="C404" s="9" t="s">
        <v>202</v>
      </c>
      <c r="D404" s="3680">
        <v>4</v>
      </c>
      <c r="E404" s="3681"/>
      <c r="F404" s="10">
        <v>4</v>
      </c>
      <c r="G404" s="45">
        <v>4</v>
      </c>
    </row>
    <row r="405" spans="1:7" ht="13.8" thickBot="1">
      <c r="A405" s="11" t="s">
        <v>692</v>
      </c>
      <c r="B405" s="8" t="s">
        <v>693</v>
      </c>
      <c r="C405" s="9" t="s">
        <v>202</v>
      </c>
      <c r="D405" s="3680">
        <v>5</v>
      </c>
      <c r="E405" s="3681"/>
      <c r="F405" s="10">
        <v>4</v>
      </c>
      <c r="G405" s="45">
        <v>6</v>
      </c>
    </row>
    <row r="406" spans="1:7" ht="14.4" thickBot="1">
      <c r="A406" s="3689" t="s">
        <v>56</v>
      </c>
      <c r="B406" s="3690"/>
      <c r="C406" s="3690"/>
      <c r="D406" s="3690"/>
      <c r="E406" s="3698"/>
      <c r="F406" s="3698"/>
      <c r="G406" s="49"/>
    </row>
    <row r="407" spans="1:7" ht="13.8" thickBot="1">
      <c r="A407" s="13" t="s">
        <v>159</v>
      </c>
      <c r="B407" s="18" t="s">
        <v>160</v>
      </c>
      <c r="C407" s="9" t="s">
        <v>202</v>
      </c>
      <c r="D407" s="3680">
        <v>3</v>
      </c>
      <c r="E407" s="3681"/>
      <c r="F407" s="10">
        <v>3</v>
      </c>
      <c r="G407" s="45">
        <v>2</v>
      </c>
    </row>
    <row r="408" spans="1:7" ht="13.8" thickBot="1">
      <c r="A408" s="13" t="s">
        <v>328</v>
      </c>
      <c r="B408" s="18" t="s">
        <v>1</v>
      </c>
      <c r="C408" s="9" t="s">
        <v>202</v>
      </c>
      <c r="D408" s="3680">
        <v>0</v>
      </c>
      <c r="E408" s="3681"/>
      <c r="F408" s="10">
        <v>0</v>
      </c>
      <c r="G408" s="45">
        <v>1</v>
      </c>
    </row>
    <row r="409" spans="1:7" ht="13.8" thickBot="1">
      <c r="A409" s="13" t="s">
        <v>63</v>
      </c>
      <c r="B409" s="18" t="s">
        <v>64</v>
      </c>
      <c r="C409" s="9" t="s">
        <v>314</v>
      </c>
      <c r="D409" s="3699"/>
      <c r="E409" s="3700"/>
      <c r="F409" s="8">
        <v>0.2</v>
      </c>
      <c r="G409" s="8">
        <v>1</v>
      </c>
    </row>
  </sheetData>
  <mergeCells count="538">
    <mergeCell ref="A6:F6"/>
    <mergeCell ref="A7:F7"/>
    <mergeCell ref="D8:E8"/>
    <mergeCell ref="D9:E9"/>
    <mergeCell ref="A10:D10"/>
    <mergeCell ref="E10:F10"/>
    <mergeCell ref="D2:E2"/>
    <mergeCell ref="D3:E3"/>
    <mergeCell ref="A4:A5"/>
    <mergeCell ref="B4:B5"/>
    <mergeCell ref="C4:C5"/>
    <mergeCell ref="D4:E4"/>
    <mergeCell ref="D5:E5"/>
    <mergeCell ref="D15:E15"/>
    <mergeCell ref="D16:E16"/>
    <mergeCell ref="A17:D17"/>
    <mergeCell ref="E17:F17"/>
    <mergeCell ref="A18:D18"/>
    <mergeCell ref="E18:F18"/>
    <mergeCell ref="A11:D11"/>
    <mergeCell ref="E11:F11"/>
    <mergeCell ref="A12:D12"/>
    <mergeCell ref="E12:F12"/>
    <mergeCell ref="D29:E29"/>
    <mergeCell ref="D30:E30"/>
    <mergeCell ref="D32:E32"/>
    <mergeCell ref="D33:E33"/>
    <mergeCell ref="D24:E24"/>
    <mergeCell ref="D25:E25"/>
    <mergeCell ref="D26:E26"/>
    <mergeCell ref="D27:E27"/>
    <mergeCell ref="D19:E19"/>
    <mergeCell ref="D20:E20"/>
    <mergeCell ref="A21:D21"/>
    <mergeCell ref="E21:F21"/>
    <mergeCell ref="D22:E22"/>
    <mergeCell ref="D23:E23"/>
    <mergeCell ref="A39:D39"/>
    <mergeCell ref="E39:F39"/>
    <mergeCell ref="D40:E40"/>
    <mergeCell ref="D41:E41"/>
    <mergeCell ref="D42:E42"/>
    <mergeCell ref="A43:D43"/>
    <mergeCell ref="E43:F43"/>
    <mergeCell ref="D34:E34"/>
    <mergeCell ref="A35:D35"/>
    <mergeCell ref="E35:F35"/>
    <mergeCell ref="D36:E36"/>
    <mergeCell ref="D37:E37"/>
    <mergeCell ref="A38:D38"/>
    <mergeCell ref="E38:F38"/>
    <mergeCell ref="D48:E48"/>
    <mergeCell ref="D49:E49"/>
    <mergeCell ref="A50:D50"/>
    <mergeCell ref="E50:F50"/>
    <mergeCell ref="D51:E51"/>
    <mergeCell ref="D52:E52"/>
    <mergeCell ref="A44:D44"/>
    <mergeCell ref="E44:F44"/>
    <mergeCell ref="D45:E45"/>
    <mergeCell ref="A46:D46"/>
    <mergeCell ref="E46:F46"/>
    <mergeCell ref="D59:E59"/>
    <mergeCell ref="D60:E60"/>
    <mergeCell ref="A61:D61"/>
    <mergeCell ref="E61:F61"/>
    <mergeCell ref="A62:D62"/>
    <mergeCell ref="E62:F62"/>
    <mergeCell ref="A53:D53"/>
    <mergeCell ref="E53:F53"/>
    <mergeCell ref="D54:E54"/>
    <mergeCell ref="D55:E55"/>
    <mergeCell ref="B56:B60"/>
    <mergeCell ref="C56:C60"/>
    <mergeCell ref="D56:E57"/>
    <mergeCell ref="F56:F57"/>
    <mergeCell ref="D58:E58"/>
    <mergeCell ref="D69:E69"/>
    <mergeCell ref="D70:E70"/>
    <mergeCell ref="D71:E71"/>
    <mergeCell ref="D72:E72"/>
    <mergeCell ref="A73:D73"/>
    <mergeCell ref="E73:F73"/>
    <mergeCell ref="D63:E63"/>
    <mergeCell ref="D64:E64"/>
    <mergeCell ref="D65:E65"/>
    <mergeCell ref="D66:E66"/>
    <mergeCell ref="D67:E67"/>
    <mergeCell ref="D68:E68"/>
    <mergeCell ref="B79:B80"/>
    <mergeCell ref="D79:E79"/>
    <mergeCell ref="D80:E80"/>
    <mergeCell ref="D81:E81"/>
    <mergeCell ref="A82:D82"/>
    <mergeCell ref="E82:F82"/>
    <mergeCell ref="A74:D74"/>
    <mergeCell ref="E74:F74"/>
    <mergeCell ref="A75:D75"/>
    <mergeCell ref="E75:F75"/>
    <mergeCell ref="D86:E86"/>
    <mergeCell ref="D87:E87"/>
    <mergeCell ref="D88:E88"/>
    <mergeCell ref="D89:E89"/>
    <mergeCell ref="D90:E90"/>
    <mergeCell ref="D91:E91"/>
    <mergeCell ref="D84:E84"/>
    <mergeCell ref="D85:E85"/>
    <mergeCell ref="D78:E78"/>
    <mergeCell ref="A103:A104"/>
    <mergeCell ref="B103:B104"/>
    <mergeCell ref="D98:E98"/>
    <mergeCell ref="D99:E99"/>
    <mergeCell ref="D100:E100"/>
    <mergeCell ref="D101:E101"/>
    <mergeCell ref="A102:D102"/>
    <mergeCell ref="E102:F102"/>
    <mergeCell ref="D92:E92"/>
    <mergeCell ref="D93:E93"/>
    <mergeCell ref="D94:E94"/>
    <mergeCell ref="D95:E95"/>
    <mergeCell ref="D96:E96"/>
    <mergeCell ref="D97:E97"/>
    <mergeCell ref="D117:E117"/>
    <mergeCell ref="D118:E118"/>
    <mergeCell ref="B112:B116"/>
    <mergeCell ref="D107:E107"/>
    <mergeCell ref="B108:B111"/>
    <mergeCell ref="D108:E108"/>
    <mergeCell ref="D109:E109"/>
    <mergeCell ref="D110:E110"/>
    <mergeCell ref="D111:E111"/>
    <mergeCell ref="A123:D123"/>
    <mergeCell ref="E123:F123"/>
    <mergeCell ref="D124:E124"/>
    <mergeCell ref="A125:D125"/>
    <mergeCell ref="E125:F125"/>
    <mergeCell ref="A126:D126"/>
    <mergeCell ref="E126:F126"/>
    <mergeCell ref="D119:E119"/>
    <mergeCell ref="A120:D120"/>
    <mergeCell ref="E120:F120"/>
    <mergeCell ref="A121:D121"/>
    <mergeCell ref="E121:F121"/>
    <mergeCell ref="D122:E122"/>
    <mergeCell ref="A131:D131"/>
    <mergeCell ref="E131:F131"/>
    <mergeCell ref="D132:E132"/>
    <mergeCell ref="A133:D133"/>
    <mergeCell ref="E133:F133"/>
    <mergeCell ref="A127:D127"/>
    <mergeCell ref="E127:F127"/>
    <mergeCell ref="D128:E128"/>
    <mergeCell ref="D129:E129"/>
    <mergeCell ref="A130:D130"/>
    <mergeCell ref="E130:F130"/>
    <mergeCell ref="A141:D141"/>
    <mergeCell ref="E141:F141"/>
    <mergeCell ref="A142:D142"/>
    <mergeCell ref="E142:F142"/>
    <mergeCell ref="A143:D143"/>
    <mergeCell ref="E143:F143"/>
    <mergeCell ref="D135:E135"/>
    <mergeCell ref="D136:E136"/>
    <mergeCell ref="D137:E137"/>
    <mergeCell ref="D138:E138"/>
    <mergeCell ref="D139:E139"/>
    <mergeCell ref="D140:E140"/>
    <mergeCell ref="A154:D154"/>
    <mergeCell ref="E154:F154"/>
    <mergeCell ref="A155:D155"/>
    <mergeCell ref="E155:F155"/>
    <mergeCell ref="A149:D149"/>
    <mergeCell ref="E149:F149"/>
    <mergeCell ref="D144:E144"/>
    <mergeCell ref="D145:E145"/>
    <mergeCell ref="D146:E146"/>
    <mergeCell ref="D147:E147"/>
    <mergeCell ref="A148:D148"/>
    <mergeCell ref="E148:F148"/>
    <mergeCell ref="D150:E150"/>
    <mergeCell ref="D162:E162"/>
    <mergeCell ref="D163:E163"/>
    <mergeCell ref="D164:E164"/>
    <mergeCell ref="A165:D165"/>
    <mergeCell ref="E165:F165"/>
    <mergeCell ref="D166:E166"/>
    <mergeCell ref="A158:D158"/>
    <mergeCell ref="E158:F158"/>
    <mergeCell ref="A159:D159"/>
    <mergeCell ref="E159:F159"/>
    <mergeCell ref="A175:D175"/>
    <mergeCell ref="E175:F175"/>
    <mergeCell ref="A176:D176"/>
    <mergeCell ref="E176:F176"/>
    <mergeCell ref="A172:D172"/>
    <mergeCell ref="E172:F172"/>
    <mergeCell ref="A173:D173"/>
    <mergeCell ref="E173:F173"/>
    <mergeCell ref="D167:E167"/>
    <mergeCell ref="D168:E168"/>
    <mergeCell ref="D169:E169"/>
    <mergeCell ref="D170:E170"/>
    <mergeCell ref="A171:D171"/>
    <mergeCell ref="E171:F171"/>
    <mergeCell ref="A184:D184"/>
    <mergeCell ref="E184:F184"/>
    <mergeCell ref="A185:D185"/>
    <mergeCell ref="E185:F185"/>
    <mergeCell ref="D179:E179"/>
    <mergeCell ref="A180:D180"/>
    <mergeCell ref="E180:F180"/>
    <mergeCell ref="A181:D181"/>
    <mergeCell ref="E181:F181"/>
    <mergeCell ref="A182:A183"/>
    <mergeCell ref="D182:E182"/>
    <mergeCell ref="D183:E183"/>
    <mergeCell ref="D192:E192"/>
    <mergeCell ref="D193:E193"/>
    <mergeCell ref="A194:D194"/>
    <mergeCell ref="E194:F194"/>
    <mergeCell ref="A195:D195"/>
    <mergeCell ref="E195:F195"/>
    <mergeCell ref="A188:D188"/>
    <mergeCell ref="E188:F188"/>
    <mergeCell ref="A189:D189"/>
    <mergeCell ref="E189:F189"/>
    <mergeCell ref="D201:E201"/>
    <mergeCell ref="A202:D202"/>
    <mergeCell ref="E202:F202"/>
    <mergeCell ref="A203:D203"/>
    <mergeCell ref="E203:F203"/>
    <mergeCell ref="A204:D204"/>
    <mergeCell ref="E204:F204"/>
    <mergeCell ref="D196:E196"/>
    <mergeCell ref="D197:E197"/>
    <mergeCell ref="D198:E198"/>
    <mergeCell ref="A199:D199"/>
    <mergeCell ref="E199:F199"/>
    <mergeCell ref="D200:E200"/>
    <mergeCell ref="A211:D211"/>
    <mergeCell ref="E211:F211"/>
    <mergeCell ref="A212:D212"/>
    <mergeCell ref="E212:F212"/>
    <mergeCell ref="D213:E213"/>
    <mergeCell ref="A214:D214"/>
    <mergeCell ref="E214:F214"/>
    <mergeCell ref="D205:E205"/>
    <mergeCell ref="D206:E206"/>
    <mergeCell ref="D207:E207"/>
    <mergeCell ref="D208:E208"/>
    <mergeCell ref="D209:E209"/>
    <mergeCell ref="D210:E210"/>
    <mergeCell ref="F217:F218"/>
    <mergeCell ref="D219:E219"/>
    <mergeCell ref="D220:E220"/>
    <mergeCell ref="D221:E221"/>
    <mergeCell ref="D222:E222"/>
    <mergeCell ref="A223:D223"/>
    <mergeCell ref="E223:F223"/>
    <mergeCell ref="D215:E215"/>
    <mergeCell ref="D216:E216"/>
    <mergeCell ref="A217:A218"/>
    <mergeCell ref="C217:C218"/>
    <mergeCell ref="D217:E218"/>
    <mergeCell ref="D230:E230"/>
    <mergeCell ref="A231:D231"/>
    <mergeCell ref="E231:F231"/>
    <mergeCell ref="A232:D232"/>
    <mergeCell ref="E232:F232"/>
    <mergeCell ref="D233:E233"/>
    <mergeCell ref="D224:E224"/>
    <mergeCell ref="D225:E225"/>
    <mergeCell ref="D226:E226"/>
    <mergeCell ref="D227:E227"/>
    <mergeCell ref="D228:E228"/>
    <mergeCell ref="D229:E229"/>
    <mergeCell ref="D238:E238"/>
    <mergeCell ref="D239:E239"/>
    <mergeCell ref="D240:E240"/>
    <mergeCell ref="D241:E241"/>
    <mergeCell ref="D242:E242"/>
    <mergeCell ref="A243:D243"/>
    <mergeCell ref="E243:F243"/>
    <mergeCell ref="D234:E234"/>
    <mergeCell ref="A235:D235"/>
    <mergeCell ref="E235:F235"/>
    <mergeCell ref="A236:D236"/>
    <mergeCell ref="E236:F236"/>
    <mergeCell ref="D237:E237"/>
    <mergeCell ref="E257:F257"/>
    <mergeCell ref="D248:E248"/>
    <mergeCell ref="A249:D249"/>
    <mergeCell ref="E249:F249"/>
    <mergeCell ref="A250:D250"/>
    <mergeCell ref="E250:F250"/>
    <mergeCell ref="D251:E251"/>
    <mergeCell ref="A244:D244"/>
    <mergeCell ref="E244:F244"/>
    <mergeCell ref="A245:D245"/>
    <mergeCell ref="E245:F245"/>
    <mergeCell ref="A274:D274"/>
    <mergeCell ref="E274:F274"/>
    <mergeCell ref="A275:D275"/>
    <mergeCell ref="E275:F275"/>
    <mergeCell ref="A276:D276"/>
    <mergeCell ref="E276:F276"/>
    <mergeCell ref="A269:D269"/>
    <mergeCell ref="E269:F269"/>
    <mergeCell ref="A264:D264"/>
    <mergeCell ref="E264:F264"/>
    <mergeCell ref="D265:E265"/>
    <mergeCell ref="D266:E266"/>
    <mergeCell ref="D267:E267"/>
    <mergeCell ref="A268:D268"/>
    <mergeCell ref="E268:F268"/>
    <mergeCell ref="D282:E282"/>
    <mergeCell ref="D283:E283"/>
    <mergeCell ref="D284:E284"/>
    <mergeCell ref="D285:E285"/>
    <mergeCell ref="D286:E286"/>
    <mergeCell ref="D287:E287"/>
    <mergeCell ref="D277:E277"/>
    <mergeCell ref="D278:E278"/>
    <mergeCell ref="D279:E279"/>
    <mergeCell ref="A280:D280"/>
    <mergeCell ref="E280:F280"/>
    <mergeCell ref="A281:D281"/>
    <mergeCell ref="E281:F281"/>
    <mergeCell ref="D293:E293"/>
    <mergeCell ref="A294:D294"/>
    <mergeCell ref="E294:F294"/>
    <mergeCell ref="D295:E295"/>
    <mergeCell ref="A296:D296"/>
    <mergeCell ref="E296:F296"/>
    <mergeCell ref="D288:E288"/>
    <mergeCell ref="D289:E289"/>
    <mergeCell ref="A290:D290"/>
    <mergeCell ref="E290:F290"/>
    <mergeCell ref="D291:E291"/>
    <mergeCell ref="A292:D292"/>
    <mergeCell ref="E292:F292"/>
    <mergeCell ref="A302:D302"/>
    <mergeCell ref="E302:F302"/>
    <mergeCell ref="A303:D303"/>
    <mergeCell ref="E303:F303"/>
    <mergeCell ref="A297:D297"/>
    <mergeCell ref="E297:F297"/>
    <mergeCell ref="D298:E298"/>
    <mergeCell ref="D299:E299"/>
    <mergeCell ref="D300:E300"/>
    <mergeCell ref="A301:D301"/>
    <mergeCell ref="E301:F301"/>
    <mergeCell ref="F309:F310"/>
    <mergeCell ref="A311:D311"/>
    <mergeCell ref="E311:F311"/>
    <mergeCell ref="A312:D312"/>
    <mergeCell ref="E312:F312"/>
    <mergeCell ref="D306:E306"/>
    <mergeCell ref="D307:E307"/>
    <mergeCell ref="D308:E308"/>
    <mergeCell ref="A309:A310"/>
    <mergeCell ref="C309:C310"/>
    <mergeCell ref="D309:E310"/>
    <mergeCell ref="D320:E320"/>
    <mergeCell ref="D321:E321"/>
    <mergeCell ref="A322:D322"/>
    <mergeCell ref="E322:F322"/>
    <mergeCell ref="A323:D323"/>
    <mergeCell ref="E323:F323"/>
    <mergeCell ref="D314:E314"/>
    <mergeCell ref="D315:E315"/>
    <mergeCell ref="D316:E316"/>
    <mergeCell ref="D317:E317"/>
    <mergeCell ref="D318:E318"/>
    <mergeCell ref="D319:E319"/>
    <mergeCell ref="D328:E328"/>
    <mergeCell ref="D329:E329"/>
    <mergeCell ref="A330:D330"/>
    <mergeCell ref="E330:F330"/>
    <mergeCell ref="D331:E331"/>
    <mergeCell ref="D332:E332"/>
    <mergeCell ref="D324:E324"/>
    <mergeCell ref="D325:E325"/>
    <mergeCell ref="A326:D326"/>
    <mergeCell ref="E326:F326"/>
    <mergeCell ref="A327:D327"/>
    <mergeCell ref="E327:F327"/>
    <mergeCell ref="D338:E338"/>
    <mergeCell ref="D339:E339"/>
    <mergeCell ref="A340:F340"/>
    <mergeCell ref="A341:F341"/>
    <mergeCell ref="D342:E342"/>
    <mergeCell ref="A343:F343"/>
    <mergeCell ref="D333:E333"/>
    <mergeCell ref="D334:E334"/>
    <mergeCell ref="A335:F335"/>
    <mergeCell ref="A336:A337"/>
    <mergeCell ref="C336:C337"/>
    <mergeCell ref="D336:E337"/>
    <mergeCell ref="F336:F337"/>
    <mergeCell ref="D350:E350"/>
    <mergeCell ref="D351:E351"/>
    <mergeCell ref="D352:E352"/>
    <mergeCell ref="D353:E353"/>
    <mergeCell ref="A354:D354"/>
    <mergeCell ref="E354:F354"/>
    <mergeCell ref="A344:F344"/>
    <mergeCell ref="D345:E345"/>
    <mergeCell ref="D346:E346"/>
    <mergeCell ref="D347:E347"/>
    <mergeCell ref="D348:E348"/>
    <mergeCell ref="A349:F349"/>
    <mergeCell ref="A359:D359"/>
    <mergeCell ref="E359:F359"/>
    <mergeCell ref="A360:D360"/>
    <mergeCell ref="E360:F360"/>
    <mergeCell ref="A355:D355"/>
    <mergeCell ref="E355:F355"/>
    <mergeCell ref="A356:D356"/>
    <mergeCell ref="E356:F356"/>
    <mergeCell ref="D357:E357"/>
    <mergeCell ref="D379:E379"/>
    <mergeCell ref="D380:E380"/>
    <mergeCell ref="D381:E381"/>
    <mergeCell ref="A382:D382"/>
    <mergeCell ref="E382:F382"/>
    <mergeCell ref="A383:D383"/>
    <mergeCell ref="E383:F383"/>
    <mergeCell ref="A374:D374"/>
    <mergeCell ref="E374:F374"/>
    <mergeCell ref="D390:E390"/>
    <mergeCell ref="D391:E391"/>
    <mergeCell ref="A392:F392"/>
    <mergeCell ref="D393:E393"/>
    <mergeCell ref="D394:E394"/>
    <mergeCell ref="D384:E384"/>
    <mergeCell ref="A385:D385"/>
    <mergeCell ref="E385:F385"/>
    <mergeCell ref="D386:E386"/>
    <mergeCell ref="D387:E387"/>
    <mergeCell ref="A388:D388"/>
    <mergeCell ref="E388:F388"/>
    <mergeCell ref="D408:E408"/>
    <mergeCell ref="D409:E409"/>
    <mergeCell ref="A83:F83"/>
    <mergeCell ref="D378:E378"/>
    <mergeCell ref="D403:E403"/>
    <mergeCell ref="D404:E404"/>
    <mergeCell ref="D405:E405"/>
    <mergeCell ref="A406:D406"/>
    <mergeCell ref="E406:F406"/>
    <mergeCell ref="D407:E407"/>
    <mergeCell ref="D399:E399"/>
    <mergeCell ref="A400:D400"/>
    <mergeCell ref="E400:F400"/>
    <mergeCell ref="A401:D401"/>
    <mergeCell ref="E401:F401"/>
    <mergeCell ref="D402:E402"/>
    <mergeCell ref="A395:D395"/>
    <mergeCell ref="E395:F395"/>
    <mergeCell ref="D396:E396"/>
    <mergeCell ref="A397:D397"/>
    <mergeCell ref="E397:F397"/>
    <mergeCell ref="A398:D398"/>
    <mergeCell ref="E398:F398"/>
    <mergeCell ref="D389:E389"/>
    <mergeCell ref="D313:E313"/>
    <mergeCell ref="D305:E305"/>
    <mergeCell ref="D304:E304"/>
    <mergeCell ref="D273:E273"/>
    <mergeCell ref="D272:E272"/>
    <mergeCell ref="D377:E377"/>
    <mergeCell ref="D376:E376"/>
    <mergeCell ref="D375:E375"/>
    <mergeCell ref="D362:E362"/>
    <mergeCell ref="D361:E361"/>
    <mergeCell ref="D358:E358"/>
    <mergeCell ref="D368:E368"/>
    <mergeCell ref="D369:E369"/>
    <mergeCell ref="D370:E370"/>
    <mergeCell ref="D371:E371"/>
    <mergeCell ref="D372:E372"/>
    <mergeCell ref="A373:D373"/>
    <mergeCell ref="E373:F373"/>
    <mergeCell ref="D363:E363"/>
    <mergeCell ref="D364:E364"/>
    <mergeCell ref="A365:D365"/>
    <mergeCell ref="E365:F365"/>
    <mergeCell ref="D366:E366"/>
    <mergeCell ref="D367:E367"/>
    <mergeCell ref="D187:E187"/>
    <mergeCell ref="D186:E186"/>
    <mergeCell ref="D178:E178"/>
    <mergeCell ref="D177:E177"/>
    <mergeCell ref="D161:E161"/>
    <mergeCell ref="D160:E160"/>
    <mergeCell ref="D271:E271"/>
    <mergeCell ref="D270:E270"/>
    <mergeCell ref="D247:E247"/>
    <mergeCell ref="D246:E246"/>
    <mergeCell ref="D191:E191"/>
    <mergeCell ref="D190:E190"/>
    <mergeCell ref="D258:E258"/>
    <mergeCell ref="D259:E259"/>
    <mergeCell ref="D260:E260"/>
    <mergeCell ref="D261:E261"/>
    <mergeCell ref="D262:E262"/>
    <mergeCell ref="D263:E263"/>
    <mergeCell ref="D252:E252"/>
    <mergeCell ref="D253:E253"/>
    <mergeCell ref="D254:E254"/>
    <mergeCell ref="D255:E255"/>
    <mergeCell ref="D256:E256"/>
    <mergeCell ref="A257:D257"/>
    <mergeCell ref="G336:G337"/>
    <mergeCell ref="D47:E47"/>
    <mergeCell ref="D14:E14"/>
    <mergeCell ref="D13:E13"/>
    <mergeCell ref="G56:G57"/>
    <mergeCell ref="G217:G218"/>
    <mergeCell ref="G309:G310"/>
    <mergeCell ref="D106:E106"/>
    <mergeCell ref="D105:E105"/>
    <mergeCell ref="D104:E104"/>
    <mergeCell ref="D103:E103"/>
    <mergeCell ref="D77:E77"/>
    <mergeCell ref="D76:E76"/>
    <mergeCell ref="D134:E134"/>
    <mergeCell ref="D116:E116"/>
    <mergeCell ref="D115:E115"/>
    <mergeCell ref="D114:E114"/>
    <mergeCell ref="D113:E113"/>
    <mergeCell ref="D112:E112"/>
    <mergeCell ref="D157:E157"/>
    <mergeCell ref="D156:E156"/>
    <mergeCell ref="D153:E153"/>
    <mergeCell ref="D152:E152"/>
    <mergeCell ref="D151:E15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RowHeight="13.2"/>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B87D4BCFE74A8D4FB019E0672E160482" ma:contentTypeVersion="6" ma:contentTypeDescription="Kurkite naują dokumentą." ma:contentTypeScope="" ma:versionID="1e92d3ff2fc1bd40a6fa9736524024bd">
  <xsd:schema xmlns:xsd="http://www.w3.org/2001/XMLSchema" xmlns:xs="http://www.w3.org/2001/XMLSchema" xmlns:p="http://schemas.microsoft.com/office/2006/metadata/properties" xmlns:ns3="e726bec3-c126-4072-9561-c86e144e30c1" targetNamespace="http://schemas.microsoft.com/office/2006/metadata/properties" ma:root="true" ma:fieldsID="79bf30b21a240a9fe518b870277f6d43" ns3:_="">
    <xsd:import namespace="e726bec3-c126-4072-9561-c86e144e30c1"/>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26bec3-c126-4072-9561-c86e144e30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726bec3-c126-4072-9561-c86e144e30c1" xsi:nil="true"/>
  </documentManagement>
</p:properties>
</file>

<file path=customXml/itemProps1.xml><?xml version="1.0" encoding="utf-8"?>
<ds:datastoreItem xmlns:ds="http://schemas.openxmlformats.org/officeDocument/2006/customXml" ds:itemID="{5A4BEF24-2AB9-4231-AC31-45A8F5E604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26bec3-c126-4072-9561-c86e144e30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2A7829-7002-47E1-BD84-507E36904F6A}">
  <ds:schemaRefs>
    <ds:schemaRef ds:uri="http://schemas.microsoft.com/sharepoint/v3/contenttype/forms"/>
  </ds:schemaRefs>
</ds:datastoreItem>
</file>

<file path=customXml/itemProps3.xml><?xml version="1.0" encoding="utf-8"?>
<ds:datastoreItem xmlns:ds="http://schemas.openxmlformats.org/officeDocument/2006/customXml" ds:itemID="{EDC32590-FA36-4FB5-8FBC-67B30DFAC1FD}">
  <ds:schemaRefs>
    <ds:schemaRef ds:uri="http://purl.org/dc/terms/"/>
    <ds:schemaRef ds:uri="http://purl.org/dc/dcmitype/"/>
    <ds:schemaRef ds:uri="http://schemas.microsoft.com/office/2006/documentManagement/types"/>
    <ds:schemaRef ds:uri="http://purl.org/dc/elements/1.1/"/>
    <ds:schemaRef ds:uri="e726bec3-c126-4072-9561-c86e144e30c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22</vt:i4>
      </vt:variant>
      <vt:variant>
        <vt:lpstr>Įvardytieji diapazonai</vt:lpstr>
      </vt:variant>
      <vt:variant>
        <vt:i4>17</vt:i4>
      </vt:variant>
    </vt:vector>
  </HeadingPairs>
  <TitlesOfParts>
    <vt:vector size="39" baseType="lpstr">
      <vt:lpstr>I skyrius </vt:lpstr>
      <vt:lpstr>II skyrius</vt:lpstr>
      <vt:lpstr>III skyrius. 2023-2030  m. </vt:lpstr>
      <vt:lpstr>IV skyrius</vt:lpstr>
      <vt:lpstr>V skyrius. Programos</vt:lpstr>
      <vt:lpstr>1 programa </vt:lpstr>
      <vt:lpstr>2 programa </vt:lpstr>
      <vt:lpstr>+3 programa</vt:lpstr>
      <vt:lpstr>ĮV-E-123 stebėsenos rodikliai</vt:lpstr>
      <vt:lpstr>4 programa</vt:lpstr>
      <vt:lpstr>+5 programa</vt:lpstr>
      <vt:lpstr>6 programa</vt:lpstr>
      <vt:lpstr>7 programa</vt:lpstr>
      <vt:lpstr>8 programa</vt:lpstr>
      <vt:lpstr>+9 programa</vt:lpstr>
      <vt:lpstr>10 programa</vt:lpstr>
      <vt:lpstr>VI skyrius VŠĮ+UAB rodikliai</vt:lpstr>
      <vt:lpstr>VšĮ Visagino ligoninė rodikl</vt:lpstr>
      <vt:lpstr>VII skyrius. Kita svarbi info</vt:lpstr>
      <vt:lpstr>Suvestinė pagal FŠ</vt:lpstr>
      <vt:lpstr>Vertinimo kriterijai</vt:lpstr>
      <vt:lpstr>Lapas3</vt:lpstr>
      <vt:lpstr>'II skyrius'!_Hlk122275804</vt:lpstr>
      <vt:lpstr>'VI skyrius VŠĮ+UAB rodikliai'!_Hlk219881047</vt:lpstr>
      <vt:lpstr>'VI skyrius VŠĮ+UAB rodikliai'!_Hlk92374960</vt:lpstr>
      <vt:lpstr>'VI skyrius VŠĮ+UAB rodikliai'!_Hlk92375563</vt:lpstr>
      <vt:lpstr>'VI skyrius VŠĮ+UAB rodikliai'!_Hlk92375700</vt:lpstr>
      <vt:lpstr>'VI skyrius VŠĮ+UAB rodikliai'!_Hlk92376639</vt:lpstr>
      <vt:lpstr>'VI skyrius VŠĮ+UAB rodikliai'!_Toc123901359</vt:lpstr>
      <vt:lpstr>'Vertinimo kriterijai'!_Toc506024955</vt:lpstr>
      <vt:lpstr>'+5 programa'!Print_Area</vt:lpstr>
      <vt:lpstr>'1 programa '!Print_Area</vt:lpstr>
      <vt:lpstr>'10 programa'!Print_Area</vt:lpstr>
      <vt:lpstr>'7 programa'!Print_Area</vt:lpstr>
      <vt:lpstr>'I skyrius '!Print_Area</vt:lpstr>
      <vt:lpstr>'II skyrius'!Print_Area</vt:lpstr>
      <vt:lpstr>'IV skyrius'!Print_Area</vt:lpstr>
      <vt:lpstr>'V skyrius. Programos'!Print_Area</vt:lpstr>
      <vt:lpstr>'VII skyrius. Kita svarbi info'!Print_Area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Liudmila</dc:creator>
  <cp:lastModifiedBy>bendras9</cp:lastModifiedBy>
  <cp:lastPrinted>2026-01-23T11:52:23Z</cp:lastPrinted>
  <dcterms:created xsi:type="dcterms:W3CDTF">2012-11-22T11:23:10Z</dcterms:created>
  <dcterms:modified xsi:type="dcterms:W3CDTF">2026-01-23T12:11:29Z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0x010100B87D4BCFE74A8D4FB019E0672E160482</vt:lpwstr>
  </property>
</Properties>
</file>